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0995" tabRatio="599" firstSheet="1" activeTab="8"/>
  </bookViews>
  <sheets>
    <sheet name="пр.2 по разд" sheetId="1" r:id="rId1"/>
    <sheet name="срав по раз" sheetId="2" r:id="rId2"/>
    <sheet name="пр.3" sheetId="3" r:id="rId3"/>
    <sheet name="пр.4 вед.стр." sheetId="4" r:id="rId4"/>
    <sheet name="МП пр.5" sheetId="5" r:id="rId5"/>
    <sheet name="пр.6 ист." sheetId="6" r:id="rId6"/>
    <sheet name="ПР.7" sheetId="7" r:id="rId7"/>
    <sheet name="ПР.8" sheetId="8" r:id="rId8"/>
    <sheet name="пр.9" sheetId="9" r:id="rId9"/>
  </sheets>
  <externalReferences>
    <externalReference r:id="rId12"/>
  </externalReferences>
  <definedNames>
    <definedName name="_xlnm.Print_Titles" localSheetId="3">'пр.4 вед.стр.'!$6:$6</definedName>
    <definedName name="_xlnm.Print_Area" localSheetId="4">'МП пр.5'!$A$1:$G$1001</definedName>
    <definedName name="_xlnm.Print_Area" localSheetId="0">'пр.2 по разд'!$A$1:$D$50</definedName>
    <definedName name="_xlnm.Print_Area" localSheetId="2">'пр.3'!$A$1:$F$1274</definedName>
    <definedName name="_xlnm.Print_Area" localSheetId="3">'пр.4 вед.стр.'!$A$1:$G$1409</definedName>
    <definedName name="_xlnm.Print_Area" localSheetId="5">'пр.6 ист.'!$A$1:$C$30</definedName>
    <definedName name="_xlnm.Print_Area" localSheetId="6">'ПР.7'!$A$1:$C$18</definedName>
    <definedName name="_xlnm.Print_Area" localSheetId="7">'ПР.8'!$A$1:$C$13</definedName>
    <definedName name="_xlnm.Print_Area" localSheetId="8">'пр.9'!$A$1:$G$16</definedName>
    <definedName name="_xlnm.Print_Area" localSheetId="1">'срав по раз'!$A$1:$G$49</definedName>
  </definedNames>
  <calcPr calcMode="autoNoTable" fullCalcOnLoad="1"/>
</workbook>
</file>

<file path=xl/sharedStrings.xml><?xml version="1.0" encoding="utf-8"?>
<sst xmlns="http://schemas.openxmlformats.org/spreadsheetml/2006/main" count="17588" uniqueCount="886">
  <si>
    <t>ГР</t>
  </si>
  <si>
    <t>тыс.руб.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</si>
  <si>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</si>
  <si>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</si>
  <si>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</si>
  <si>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</si>
  <si>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</si>
  <si>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Другие вопросы в области национальной экономики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</si>
  <si>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</si>
  <si>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</si>
  <si>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</si>
  <si>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</si>
  <si>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</si>
  <si>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Периодическая печать и издательства</t>
  </si>
  <si>
    <t>Увеличение остатков средств бюджетов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</si>
  <si>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</si>
  <si>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</si>
  <si>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</si>
  <si>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Доплаты к пенсиям, дополнительное пенсионное обеспечение</t>
  </si>
  <si>
    <t>Обеспечение деятельности финансовых, налоговых и таможенных органов и органов финансового (финансово-бюджетного надзора)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</si>
  <si>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</si>
  <si>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Руководитель контрольно-счетной палаты муниципального образования  и его заместители</t>
  </si>
  <si>
    <t>Увеличение прочих остатков средств бюджетов</t>
  </si>
  <si>
    <t>Увеличение прочих остатков денежных средств бюджетов</t>
  </si>
  <si>
    <t xml:space="preserve"> 01 00 00 00 00  0000 000</t>
  </si>
  <si>
    <t xml:space="preserve"> 01 02 00 00 00 0000 000</t>
  </si>
  <si>
    <t xml:space="preserve"> 01 02 00 00 00 0000 700</t>
  </si>
  <si>
    <t xml:space="preserve"> 01 02 00 00 00 0000 800</t>
  </si>
  <si>
    <t xml:space="preserve"> 01 03 00 00 00 0000 000</t>
  </si>
  <si>
    <t>Центры спортивной подготовки (сборные команды)</t>
  </si>
  <si>
    <t>Физкультурно-оздоровительная работа и спортивные  мероприятия</t>
  </si>
  <si>
    <t>Код</t>
  </si>
  <si>
    <t>Наименование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</si>
  <si>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</si>
  <si>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</si>
  <si>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</si>
  <si>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00</t>
  </si>
  <si>
    <t>Другие виды транспорта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</si>
  <si>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</si>
  <si>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</si>
  <si>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</si>
  <si>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</si>
  <si>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01 05 00 00 00 0000 600</t>
  </si>
  <si>
    <t xml:space="preserve"> 01 05 02 00 00 0000 600</t>
  </si>
  <si>
    <t>ВСЕГО:</t>
  </si>
  <si>
    <t>ПР</t>
  </si>
  <si>
    <t>РЗ</t>
  </si>
  <si>
    <t>ЦСР</t>
  </si>
  <si>
    <t>ВР</t>
  </si>
  <si>
    <t xml:space="preserve">Погашение кредитов, предоставленных кредитными организациями в валюте Российской Федерации </t>
  </si>
  <si>
    <t>Центральный аппарат</t>
  </si>
  <si>
    <t>Организационно-воспитательная работа с молодежью</t>
  </si>
  <si>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</si>
  <si>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</si>
  <si>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 xml:space="preserve">Получение кредитов от кредитных организаций  в валюте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</si>
  <si>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</si>
  <si>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</si>
  <si>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</si>
  <si>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Пенсионное обеспечение</t>
  </si>
  <si>
    <t>Детские дошкольные учреждения</t>
  </si>
  <si>
    <t>Школы-детские сады, школы начальные, неполные средние и средние</t>
  </si>
  <si>
    <t>Социальное обеспечение населения</t>
  </si>
  <si>
    <t>СОЦИАЛЬНАЯ ПОЛИТИКА</t>
  </si>
  <si>
    <t>Другие общегосударственные вопросы</t>
  </si>
  <si>
    <t>Рз</t>
  </si>
  <si>
    <t>Пр</t>
  </si>
  <si>
    <t>01</t>
  </si>
  <si>
    <t>02</t>
  </si>
  <si>
    <t>04</t>
  </si>
  <si>
    <t>07</t>
  </si>
  <si>
    <t>03</t>
  </si>
  <si>
    <t>10</t>
  </si>
  <si>
    <t>05</t>
  </si>
  <si>
    <t>08</t>
  </si>
  <si>
    <t>11</t>
  </si>
  <si>
    <t>09</t>
  </si>
  <si>
    <t>06</t>
  </si>
  <si>
    <t>ВСЕГО</t>
  </si>
  <si>
    <t>12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</si>
  <si>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</si>
  <si>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</si>
  <si>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Музеи и постоянные выставки</t>
  </si>
  <si>
    <t>Дорожное хозяйство (дорожные фонды)</t>
  </si>
  <si>
    <t>ФИЗИЧЕСКАЯ КУЛЬТУРА И СПОРТ</t>
  </si>
  <si>
    <t xml:space="preserve">Физическая культура </t>
  </si>
  <si>
    <t>СРЕДСТВА МАССОВОЙ ИНФОРМАЦИИ</t>
  </si>
  <si>
    <t>Другие вопросы в области культуры, кинематографии</t>
  </si>
  <si>
    <t>13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</si>
  <si>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</si>
  <si>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</si>
  <si>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</si>
  <si>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внутреннего и муниципального долга</t>
  </si>
  <si>
    <t>Бюджетные кредиты от других бюджетов бюджетной системы Российской Федерации</t>
  </si>
  <si>
    <t>Расходы на выплаты персоналу государственных (муниципальных) органов</t>
  </si>
  <si>
    <t>120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</si>
  <si>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</si>
  <si>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</si>
  <si>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</si>
  <si>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Иные закупки товаров, работ и услуг для обеспечения государственных и муниципальных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</si>
  <si>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</si>
  <si>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</si>
  <si>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</si>
  <si>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</si>
  <si>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</si>
  <si>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</si>
  <si>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</si>
  <si>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</si>
  <si>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</si>
  <si>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</si>
  <si>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</si>
  <si>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</si>
  <si>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бюджетным учреждениям</t>
  </si>
  <si>
    <t>610</t>
  </si>
  <si>
    <t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</si>
  <si>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</si>
  <si>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 бюджетным учреждениям на иные цели</t>
  </si>
  <si>
    <t>612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</si>
  <si>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</si>
  <si>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</si>
  <si>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</si>
  <si>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</si>
  <si>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</si>
  <si>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</si>
  <si>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Иные выплаты населению</t>
  </si>
  <si>
    <t>360</t>
  </si>
  <si>
    <t>700</t>
  </si>
  <si>
    <t>Обслуживание муниципального долга</t>
  </si>
  <si>
    <t>730</t>
  </si>
  <si>
    <t>Иные бюджетные ассигнования</t>
  </si>
  <si>
    <t>800</t>
  </si>
  <si>
    <t>810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</si>
  <si>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</si>
  <si>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</si>
  <si>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</si>
  <si>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</si>
  <si>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852</t>
  </si>
  <si>
    <t>320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</si>
  <si>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</si>
  <si>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</si>
  <si>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321</t>
  </si>
  <si>
    <t>Резервные средства</t>
  </si>
  <si>
    <t>870</t>
  </si>
  <si>
    <t xml:space="preserve"> 01 03 01 00 00 0000 800</t>
  </si>
  <si>
    <t xml:space="preserve"> 01 03 01 00 00 0000 700</t>
  </si>
  <si>
    <t xml:space="preserve"> 01 05 02 01 00 0000 610</t>
  </si>
  <si>
    <t>КУЛЬТУРА, КИНЕМАТОГРАФИЯ</t>
  </si>
  <si>
    <t>340</t>
  </si>
  <si>
    <t>Стипендии</t>
  </si>
  <si>
    <t>350</t>
  </si>
  <si>
    <t>Премии и гранты</t>
  </si>
  <si>
    <t>Жилищное хозяйство</t>
  </si>
  <si>
    <t>ЖИЛИЩНО- КОММУНАЛЬНОЕ ХОЗЯЙСТВО</t>
  </si>
  <si>
    <t>Другие вопросы в области социальной политики</t>
  </si>
  <si>
    <t>Администрация Сусуманского городского округа</t>
  </si>
  <si>
    <t>Комитет по финансам администрации Сусуманского городского округа</t>
  </si>
  <si>
    <t>Собрание представителей Сусуманского городского округа</t>
  </si>
  <si>
    <t>Комитет по образованию администрации Сусуманского городского округа</t>
  </si>
  <si>
    <t>Управление по делам молодежи, культуре и спорту администрации Сусуманского городского округа</t>
  </si>
  <si>
    <t xml:space="preserve">Фонд оплаты труда государственных 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</si>
  <si>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</si>
  <si>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</si>
  <si>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</si>
  <si>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Уплата иных платежей</t>
  </si>
  <si>
    <t>853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</si>
  <si>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</si>
  <si>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Библиотеки</t>
  </si>
  <si>
    <t>Председатель законодательного  (представительного) органа муниципального образования</t>
  </si>
  <si>
    <t>Комитет по управлению муниципальным имуществом администрации Сусуманского городского округа</t>
  </si>
  <si>
    <t>Оказание материальной помощи, единовременной выплаты</t>
  </si>
  <si>
    <t xml:space="preserve">7Г 0 00 00000 </t>
  </si>
  <si>
    <t xml:space="preserve">Приобретение технических средств и создание материального резерва в целях ликвидации чрезвычайных ситуаций </t>
  </si>
  <si>
    <t xml:space="preserve">7Ч 0 00 00000 </t>
  </si>
  <si>
    <t>Частичное возмещение транспортных расходов по доставке муки</t>
  </si>
  <si>
    <t xml:space="preserve">7И 0 00 00000 </t>
  </si>
  <si>
    <t xml:space="preserve">7Н 0 00 00000 </t>
  </si>
  <si>
    <t>Обслуживание систем видеонаблюдения, охранной сигнализации</t>
  </si>
  <si>
    <t xml:space="preserve">7Б 0 00 00000 </t>
  </si>
  <si>
    <t xml:space="preserve">7Ю 0 00 00000 </t>
  </si>
  <si>
    <t>Укрепление материально- технической базы</t>
  </si>
  <si>
    <t>Обслуживание АПС, КТС, систем дублирования сигналов о срабатывании АПС</t>
  </si>
  <si>
    <t xml:space="preserve">7П 0 00 00000 </t>
  </si>
  <si>
    <t xml:space="preserve">7Л 0 00 00000 </t>
  </si>
  <si>
    <t>Обработка сгораемых конструкций огнезащитными составами</t>
  </si>
  <si>
    <t xml:space="preserve">7Д 0 00 00000 </t>
  </si>
  <si>
    <t xml:space="preserve">Осуществление поддержки одаренных детей </t>
  </si>
  <si>
    <t>Расходы на выплаты по оплате труда несовершеннолетних граждан</t>
  </si>
  <si>
    <t xml:space="preserve">7У 0 00 00000 </t>
  </si>
  <si>
    <t>Мероприятия патриотической направленности</t>
  </si>
  <si>
    <t xml:space="preserve">7В 0 00 00000 </t>
  </si>
  <si>
    <t xml:space="preserve">7Т 0 00 00000 </t>
  </si>
  <si>
    <t>Оказание социальной помощи детям- сиротам, детям, оставшимся без попечения родителей</t>
  </si>
  <si>
    <t xml:space="preserve">7Р 0 00 00000 </t>
  </si>
  <si>
    <t>Повышение профессионального мастерства педагогов, повышение престижа учительской профессии путем материальной поддержки педагогов</t>
  </si>
  <si>
    <t>Приобретение и заправка огнетушителей, средств индивидуальной защиты</t>
  </si>
  <si>
    <t xml:space="preserve">7М 0 00 00000 </t>
  </si>
  <si>
    <t>Мероприятия, проводимые с участием молодежи</t>
  </si>
  <si>
    <t>Участие в областных и районных мероприятиях, семинарах, сборах, конкурсах</t>
  </si>
  <si>
    <t>Работа с молодыми семьями</t>
  </si>
  <si>
    <t>Работа по пропаганде здорового образа жизни и профилактике правонарушений</t>
  </si>
  <si>
    <t xml:space="preserve">Установка видеонаблюдения </t>
  </si>
  <si>
    <t xml:space="preserve">7Е 0 00 00000 </t>
  </si>
  <si>
    <t>Устройство спортивных сооружений</t>
  </si>
  <si>
    <t xml:space="preserve">7Ф 0 00 00000 </t>
  </si>
  <si>
    <t xml:space="preserve">7Ж 0 00 00000 </t>
  </si>
  <si>
    <t xml:space="preserve">Привлечение общественности к участию в добровольных формированиях правоохранительной направленности </t>
  </si>
  <si>
    <t>Реализация муниципальной политики в области приватизации и управления муниципальной собственностью</t>
  </si>
  <si>
    <t>Поддержка жилищного хозяйства</t>
  </si>
  <si>
    <t>Периодические издания, учрежденные органами местного самоуправления</t>
  </si>
  <si>
    <t>Коммунальное хозяйство</t>
  </si>
  <si>
    <t>Поддержка коммунального хозяйства</t>
  </si>
  <si>
    <t>Благоустройство</t>
  </si>
  <si>
    <t>Поддержка дорожного хозяйства</t>
  </si>
  <si>
    <t>Д8 0 00 00000</t>
  </si>
  <si>
    <t>В8 0 00 00000</t>
  </si>
  <si>
    <t>Р2 0 00 00000</t>
  </si>
  <si>
    <t>Г5 0 00 00000</t>
  </si>
  <si>
    <t>Д5 0 00 00000</t>
  </si>
  <si>
    <t>Ж5 0 00 00000</t>
  </si>
  <si>
    <t>Д4 0 00 00000</t>
  </si>
  <si>
    <t>Ч9 0 00 00000</t>
  </si>
  <si>
    <t>К5 0 00 00000</t>
  </si>
  <si>
    <t>Р7 0 00 00000</t>
  </si>
  <si>
    <t xml:space="preserve"> П5 0 00 00000</t>
  </si>
  <si>
    <t xml:space="preserve"> М6 0  00 00000</t>
  </si>
  <si>
    <t>П7 0 00 00000</t>
  </si>
  <si>
    <t>М8 0 00 00000</t>
  </si>
  <si>
    <t>Д7 0 00 00000</t>
  </si>
  <si>
    <t>Ш7 0 00 00000</t>
  </si>
  <si>
    <t>В7 0 00 00000</t>
  </si>
  <si>
    <t>Ц7 0 00 00000</t>
  </si>
  <si>
    <t>Б8 0 00 00000</t>
  </si>
  <si>
    <t>С8 0 00 00000</t>
  </si>
  <si>
    <t>С7 0 00 00000</t>
  </si>
  <si>
    <t xml:space="preserve"> Т4 0  00 00000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</si>
  <si>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местностях.</t>
  </si>
  <si>
    <t>Другие гарантии и компенсации</t>
  </si>
  <si>
    <t>Расходы на выплаты по оплате труда работников муниципальных органов</t>
  </si>
  <si>
    <t>Расходы на обеспечение функций муниципальных органов</t>
  </si>
  <si>
    <t>Р2 3 00 00000</t>
  </si>
  <si>
    <t>Р2 3 00 00210</t>
  </si>
  <si>
    <t>Р2 4 00 00000</t>
  </si>
  <si>
    <t>Р2 4 00 00210</t>
  </si>
  <si>
    <t>Р2 4 00 00290</t>
  </si>
  <si>
    <t>Основное мероприятие "Усиление роли общественности в профилактике правонарушений и борьбе с преступностью"</t>
  </si>
  <si>
    <t>Р2 7 00 00210</t>
  </si>
  <si>
    <t>Р2 7 00 00000</t>
  </si>
  <si>
    <t>Р2 8 00 00000</t>
  </si>
  <si>
    <t>Р2 8 00 00210</t>
  </si>
  <si>
    <t>Основное мероприятие "Создание условий для удовлетворения спроса населения на потребительские товары и услуги в широком ассортименте по доступным ценам в пределах территориальной доступности"</t>
  </si>
  <si>
    <t>Расходы на обеспечение деятельности (оказание услуг) муниципальных учреждений</t>
  </si>
  <si>
    <t>Основное мероприятие "Обеспечение выполнения функций органами местного самоуправления  и находящимися в их ведении муниципальными учреждениями"</t>
  </si>
  <si>
    <t>Основное мероприятие "Создание эффективной системы пожарной безопасности, обеспечение необходимого противопожарного уровня защиты"</t>
  </si>
  <si>
    <t>Основное мероприятие "Организация и обеспечение отдыха и оздоровления детей и подростков"</t>
  </si>
  <si>
    <t>Основное мероприятие "Создание условий для выявления, поддержки и развития одаренных детей"</t>
  </si>
  <si>
    <t>Основное мероприятие "Организация работы по совершенствованию системы патриотического воспитания жителей"</t>
  </si>
  <si>
    <t>Основное мероприятие "Модернизация системы образования"</t>
  </si>
  <si>
    <t>Основное мероприятие "Организационная работа"</t>
  </si>
  <si>
    <t>Основное мероприятие "Культурно- массовая работа"</t>
  </si>
  <si>
    <t>Основное мероприятие "Профилактика правонарушений по отдельным видам противоправной деятельности"</t>
  </si>
  <si>
    <t>Основное мероприятие "Сохранение культурного наследия и творческого потенциала"</t>
  </si>
  <si>
    <t>Основное мероприятие "Поддержка молодых семей в решении жилищной проблемы"</t>
  </si>
  <si>
    <t>Основное мероприятие "Приобщение различных слоев населения к регулярным занятиям физической культурой и спортом"</t>
  </si>
  <si>
    <t>Основное мероприятие "Обеспечение устойчивого развития малого и среднего предпринимательства, создание новых рабочих мест, насыщение рынка товарами и услугами"</t>
  </si>
  <si>
    <t>33 0 00 00000</t>
  </si>
  <si>
    <t>33 0 03 59300</t>
  </si>
  <si>
    <t>33 0 04 74030</t>
  </si>
  <si>
    <t>66 Э 00 74040</t>
  </si>
  <si>
    <t>Осуществление первичного воинского учета на территориях, где отсутствуют военные комиссариаты</t>
  </si>
  <si>
    <t>66 Э 00 51180</t>
  </si>
  <si>
    <t>Мобилизационная и вневойсковая подготовка</t>
  </si>
  <si>
    <t>Основное мероприятие "Мероприятия в области коммунального хозяйства"</t>
  </si>
  <si>
    <t>Дворцы, дома культуры</t>
  </si>
  <si>
    <t>НАЦИОНАЛЬНАЯ ОБОРОНА</t>
  </si>
  <si>
    <t>ОБСЛУЖИВАНИЕ ГОСУДАРСТВЕННОГО И МУНИЦИПАЛЬНОГО ДОЛГА</t>
  </si>
  <si>
    <t>Основное мероприятие "Оптимизация системы расселения в Сусуманском городском округе"</t>
  </si>
  <si>
    <t>Основное мероприятие «Субвенции бюджетам на государственную регистрацию актов гражданского состояния»</t>
  </si>
  <si>
    <t>33 0 03 00000</t>
  </si>
  <si>
    <t>Основное мероприятие «Обеспечение государственных полномочий по созданию и организации деятельности административных комиссий»</t>
  </si>
  <si>
    <t>33 0 04 00000</t>
  </si>
  <si>
    <t>Основное мероприятие "Обеспечение продовольственной безопасности, бесперебойное снабжение населения и учреждений бюджетной сферы хлебом"</t>
  </si>
  <si>
    <t>Основное мероприятие "Совершенствование системы укрепления здоровья учащихся и воспитанников образовательных организаций"</t>
  </si>
  <si>
    <t>Основное мероприятие "Обеспечение реализации программы"</t>
  </si>
  <si>
    <t xml:space="preserve">Основное мероприятие "Мероприятия в области жилищного хозяйства" </t>
  </si>
  <si>
    <t>Капитальный ремонт муниципального жилищного фонда</t>
  </si>
  <si>
    <t>7Я 0 00 00000</t>
  </si>
  <si>
    <t>Содержание мест захоронения</t>
  </si>
  <si>
    <t>Ведомственная целевая программа "Развитие государственно-правовых институтов Магаданской области" на 2016 - 2017 годы"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</si>
  <si>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</t>
  </si>
  <si>
    <t>Прочие мероприятия в области жилищного хозяйства</t>
  </si>
  <si>
    <t>Прочие мероприятия в области коммунального хозяйства</t>
  </si>
  <si>
    <t>Проведение замеров сопротивления изоляции электросетей и электрооборудования</t>
  </si>
  <si>
    <t>Основное мероприятие "Материально- техническое обеспечение охраны труда, техники безопасности, террористической защищенности"</t>
  </si>
  <si>
    <t>Проведение конкурсов, спартакиад, соревнований, акций и других мероприятий</t>
  </si>
  <si>
    <t>Субвенции бюджетам городских округов на осуществление государственных полномочий по созданию и организации деятельности административных комиссий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</si>
  <si>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</si>
  <si>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выплаты персоналу казенных учреждений</t>
  </si>
  <si>
    <t>112</t>
  </si>
  <si>
    <t>110</t>
  </si>
  <si>
    <t>111</t>
  </si>
  <si>
    <t>119</t>
  </si>
  <si>
    <t>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</si>
  <si>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</si>
  <si>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 01 02 00 00 04 0000 810</t>
  </si>
  <si>
    <t>Погашение бюджетами городских округов кредитов от кредитных организаций в валюте Российской Федерации</t>
  </si>
  <si>
    <t>01 03 01 00 04 0001 710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</si>
  <si>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кредиты, полученные по соглашениям с Министерством финансов Магаданской области)</t>
  </si>
  <si>
    <t>01 03 01 00 04 0000 710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</si>
  <si>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</t>
  </si>
  <si>
    <t>01 03 01 00 04 0001 810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</si>
  <si>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 (бюджетные кредиты, полученные по соглашениям с Министерством финансов Магаданской области)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</si>
  <si>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</si>
  <si>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01 03 01 00 04 0000 810</t>
  </si>
  <si>
    <t>01 05 02 01 04 0000 510</t>
  </si>
  <si>
    <t>Увеличение прочих остатков денежных средств бюджетов городских округов</t>
  </si>
  <si>
    <t>01 05 02 01 04 0000 610</t>
  </si>
  <si>
    <t>Уменьшение прочих остатков денежных средств бюджетов городских округов</t>
  </si>
  <si>
    <t xml:space="preserve"> 01 03 01 00 00 0000 000</t>
  </si>
  <si>
    <t>Бюджетные кредиты от других бюджетов бюджетной системы Российской Федерации в валюте Российской Федерации</t>
  </si>
  <si>
    <t>Учреждения дополнительного образования</t>
  </si>
  <si>
    <t xml:space="preserve">7Ч 0 01 00000 </t>
  </si>
  <si>
    <t xml:space="preserve">7Ч 0 01 96400 </t>
  </si>
  <si>
    <t xml:space="preserve">7Г 0 01 00000 </t>
  </si>
  <si>
    <t xml:space="preserve">7И 0 01 00000 </t>
  </si>
  <si>
    <t xml:space="preserve">7Н 0 01 00000 </t>
  </si>
  <si>
    <t xml:space="preserve">7Ю 0 01 00000 </t>
  </si>
  <si>
    <t xml:space="preserve">7П 0 01 00000 </t>
  </si>
  <si>
    <t xml:space="preserve">7П 0 01 94100 </t>
  </si>
  <si>
    <t xml:space="preserve">7П 0 01 94400 </t>
  </si>
  <si>
    <t xml:space="preserve">7П 0 01 94500 </t>
  </si>
  <si>
    <t xml:space="preserve">7Ю 0 01 93800 </t>
  </si>
  <si>
    <t xml:space="preserve">7П 0 01 94200 </t>
  </si>
  <si>
    <t xml:space="preserve">7Д 0 01 00000 </t>
  </si>
  <si>
    <t xml:space="preserve">7Д 0 01 92200 </t>
  </si>
  <si>
    <t xml:space="preserve">7У 0 01 00000 </t>
  </si>
  <si>
    <t>7У 0 01 92300</t>
  </si>
  <si>
    <t xml:space="preserve">7В 0 01 00000 </t>
  </si>
  <si>
    <t xml:space="preserve">7В 0 01 92400 </t>
  </si>
  <si>
    <t xml:space="preserve">7Л 0 01 00000 </t>
  </si>
  <si>
    <t xml:space="preserve">7Т 0 04 00000 </t>
  </si>
  <si>
    <t xml:space="preserve">7Р 0 01 00000 </t>
  </si>
  <si>
    <t xml:space="preserve">7Р 0 01 91900 </t>
  </si>
  <si>
    <t xml:space="preserve">7Р 0 01 92100 </t>
  </si>
  <si>
    <t xml:space="preserve">7П 0 01 94300 </t>
  </si>
  <si>
    <t xml:space="preserve">7М 0 01 00000 </t>
  </si>
  <si>
    <t xml:space="preserve">7М 0 01 92500 </t>
  </si>
  <si>
    <t xml:space="preserve">7М 0 02 00000 </t>
  </si>
  <si>
    <t xml:space="preserve">7М 0 02 92600 </t>
  </si>
  <si>
    <t xml:space="preserve">7М 0 02 92700 </t>
  </si>
  <si>
    <t>7М 0 02 92800</t>
  </si>
  <si>
    <t>7М 0 02 93000</t>
  </si>
  <si>
    <t xml:space="preserve">7Е 0 01 00000 </t>
  </si>
  <si>
    <t xml:space="preserve">7Ж 0 01 00000 </t>
  </si>
  <si>
    <t xml:space="preserve">7Ф 0 01 00000 </t>
  </si>
  <si>
    <t xml:space="preserve">7Ф 0 01 93100 </t>
  </si>
  <si>
    <t xml:space="preserve">7Ф 0 01 92500 </t>
  </si>
  <si>
    <t xml:space="preserve">7Ф 0 01 93200 </t>
  </si>
  <si>
    <t>7Я 0 01 00000</t>
  </si>
  <si>
    <t>7Я 0 01 98700</t>
  </si>
  <si>
    <t>Г5 0 01 00000</t>
  </si>
  <si>
    <t>Г5 0 01 00550</t>
  </si>
  <si>
    <t>Расходы, не отнесенные к публичным нормативным обязательствам</t>
  </si>
  <si>
    <t>Основное мероприятие "Гарантии и компенсации"</t>
  </si>
  <si>
    <t>Г5 0 01 00560</t>
  </si>
  <si>
    <t>Основное мероприятие "Гарантии и компенсации "</t>
  </si>
  <si>
    <t xml:space="preserve"> М6 0  01 00000</t>
  </si>
  <si>
    <t>Ж5 0 01 00000</t>
  </si>
  <si>
    <t>Ж5 0 01 08020</t>
  </si>
  <si>
    <t>П7 0 01 00000</t>
  </si>
  <si>
    <t>П7 0 01 00990</t>
  </si>
  <si>
    <t>Д7 0 01 00000</t>
  </si>
  <si>
    <t>Д7 0 01 00990</t>
  </si>
  <si>
    <t>Ш7 0 01 00000</t>
  </si>
  <si>
    <t>Ш7 0 01 00990</t>
  </si>
  <si>
    <t>В7 0 01 00000</t>
  </si>
  <si>
    <t>В7 0 01 00990</t>
  </si>
  <si>
    <t>Ц7 0 01 00000</t>
  </si>
  <si>
    <t>Финансовое обеспечение деятельности централизованной бухгалтерии</t>
  </si>
  <si>
    <t>Проведение мероприятий для детей и молодежи</t>
  </si>
  <si>
    <t>Д8 0 01 00000</t>
  </si>
  <si>
    <t>Д8 0 01 00990</t>
  </si>
  <si>
    <t>М8 0 01 00000</t>
  </si>
  <si>
    <t>Финансовое обеспечение деятельности музея</t>
  </si>
  <si>
    <t>Б8 0 01 00000</t>
  </si>
  <si>
    <t>Б8 0 01 00990</t>
  </si>
  <si>
    <t>Финансовое обеспечение деятельности группы хозяйственного обслуживания</t>
  </si>
  <si>
    <t>С7 0 01 00000</t>
  </si>
  <si>
    <t>С7 0 01 00990</t>
  </si>
  <si>
    <t>Мероприятия в области спорта и  физической культуры</t>
  </si>
  <si>
    <t>Ж5 0 01 08030</t>
  </si>
  <si>
    <t>К5 0 01 00000</t>
  </si>
  <si>
    <t>К5 0 01 08040</t>
  </si>
  <si>
    <t>К5 0 01 08050</t>
  </si>
  <si>
    <t>Содержание и обслуживание казны муниципального образования</t>
  </si>
  <si>
    <t xml:space="preserve"> М6 0  01 00480</t>
  </si>
  <si>
    <t>Финансовое обеспечение деятельности Единой дежурно- диспетчерской службы</t>
  </si>
  <si>
    <t>Ч9 0 01 00000</t>
  </si>
  <si>
    <t>Мероприятия в области дорожного хозяйства</t>
  </si>
  <si>
    <t>Д4 0 00 00150</t>
  </si>
  <si>
    <t>Расходы на доплату к пенсиям муниципальных служащих</t>
  </si>
  <si>
    <t xml:space="preserve"> П5 0 00 05030</t>
  </si>
  <si>
    <t>Ч9 0 01 08190</t>
  </si>
  <si>
    <t>Д5 0 00 08610</t>
  </si>
  <si>
    <t>Резервные фонды местных администраций</t>
  </si>
  <si>
    <t>Р7 0 00 07050</t>
  </si>
  <si>
    <t>В8 0 00 08310</t>
  </si>
  <si>
    <t>М8 0 01 08410</t>
  </si>
  <si>
    <t>Ц7 0 01 08520</t>
  </si>
  <si>
    <t>Ц7 0 01 08530</t>
  </si>
  <si>
    <t>С8 0 00 08720</t>
  </si>
  <si>
    <t>721</t>
  </si>
  <si>
    <t>722</t>
  </si>
  <si>
    <t>723</t>
  </si>
  <si>
    <t>724</t>
  </si>
  <si>
    <t>725</t>
  </si>
  <si>
    <t>726</t>
  </si>
  <si>
    <t>727</t>
  </si>
  <si>
    <t>Руководство и управление в сфере установленных функций органов местного  самоуправления Сусуманского городского округа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</si>
  <si>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</si>
  <si>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Прочие непрограммные мероприятия</t>
  </si>
  <si>
    <t>66 0 00 00000</t>
  </si>
  <si>
    <t>Межбюджетные трансферты, не включенные в программные мероприятия</t>
  </si>
  <si>
    <t>66 Э 00 00000</t>
  </si>
  <si>
    <t>Субвенции на реализацию Закона Магаданской области от 28 декабря 2009 года № 1220-ОЗ «О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местностей»</t>
  </si>
  <si>
    <t>Муниципальная программа "Профилактика правонарушений и борьба с преступностью на территории Сусуманского городского округа  на 2017 год"</t>
  </si>
  <si>
    <t xml:space="preserve">7Т 0 04 95000 </t>
  </si>
  <si>
    <t>Муниципальная программа "Развитие муниципальной службы в муниципальном образовании  "Сусуманский городской округ" на 2017 год"</t>
  </si>
  <si>
    <t>7R 0 00 00000</t>
  </si>
  <si>
    <t xml:space="preserve">Основное мероприятие " Организация повышения квалификации лиц, замещающих муниципальные должности и муниципальных служащих"                          </t>
  </si>
  <si>
    <t>7R 0 01 00000</t>
  </si>
  <si>
    <t>Повышение профессионального уровня муниципальных служащих</t>
  </si>
  <si>
    <t>7R 0 01 98600</t>
  </si>
  <si>
    <t>Муниципальная программа "Защита населения и территории Сусуманского городского округа от чрезвычайных ситуаций природного и техногенного характера на 2017 год"</t>
  </si>
  <si>
    <t>Основное мероприятие "Резерв материальных ресурсов для ликвидации чрезвычайных ситуаций природного и техногенного характера и в целях гражданской обороны на территории Сусуманского городского округа"</t>
  </si>
  <si>
    <t xml:space="preserve"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 </t>
  </si>
  <si>
    <t>Иные выплаты персоналу учреждений, за исключением фонда оплаты труда</t>
  </si>
  <si>
    <t xml:space="preserve">Обеспечение вызова экстренных оперативных служб по единому номеру "112" на базе единой дежурно- диспетчерской службы </t>
  </si>
  <si>
    <t>Основное мероприятие "Обеспечение выполнения функций органами местного самоуправления  Сусуманского городского округа"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</si>
  <si>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</si>
  <si>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</si>
  <si>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Муниципальная программа  "Развитие малого и среднего предпринимательства в Сусуманском городском округе  на 2017 год"</t>
  </si>
  <si>
    <t xml:space="preserve">7И 0 01 S3360 </t>
  </si>
  <si>
    <t>Муниципальная программа "Развитие торговли  на территории Сусуманского городского округа на 2017 год"</t>
  </si>
  <si>
    <t>7Н 0 01 73900</t>
  </si>
  <si>
    <t xml:space="preserve">7Н 0 01 S3900 </t>
  </si>
  <si>
    <t>Муниципальная  программа  "Развитие образования в Сусуманском городском округе  на 2017 год"</t>
  </si>
  <si>
    <t>7Р 0 00 00000</t>
  </si>
  <si>
    <t>Основное мероприятие "Обеспечение выполнения функций органами местного самоуправления Сусуманского городского округа"</t>
  </si>
  <si>
    <t>Осуществление государственных полномочий по созданию и организации деятельности комиссий по делам несовершеннолетних и защите их прав за счет средств областного бюджета</t>
  </si>
  <si>
    <t xml:space="preserve"> Муниципальная программа  "Содействие в расселении граждан, проживающих в населенных пунктах, расположенных на территории Сусуманского городского округа на 2017 год"</t>
  </si>
  <si>
    <t>Муниципальная программа "Социальная защита населения Сусуманского городского округа на 2017 год"</t>
  </si>
  <si>
    <t>7G 0 00 00000</t>
  </si>
  <si>
    <t>Основное мероприятие "Реализация мероприятий по оказанию адресной помощи населению"</t>
  </si>
  <si>
    <t>7G 0 01 00000</t>
  </si>
  <si>
    <t>7G 0 01 91200</t>
  </si>
  <si>
    <t>Оплата подписки на газету "Горняк Севера" ветеранам Великой Отечественной войны</t>
  </si>
  <si>
    <t>7G 0 01 91310</t>
  </si>
  <si>
    <t>Предоставление льготы по оплате жилищно- коммунальных услуг</t>
  </si>
  <si>
    <t>7G 0 01 91410</t>
  </si>
  <si>
    <t>Осуществление государственных полномочий по организации и осуществлению деятельности органов опеки и попечительства за счет средств областного бюджета</t>
  </si>
  <si>
    <t>7G 0 02 00000</t>
  </si>
  <si>
    <t>7G 0 02 74090</t>
  </si>
  <si>
    <t>Основное мероприятие "Формирование доступной среды в Сусуманском городском округе"</t>
  </si>
  <si>
    <t>7G 0 03 00000</t>
  </si>
  <si>
    <t xml:space="preserve">Софинансирование мероприятий, направленных на адаптацию социально-значимых объектов для инвалидов и маломобильных групп населения </t>
  </si>
  <si>
    <t>7G 0 03 S3330</t>
  </si>
  <si>
    <t>Основное мероприятие "Оказание финансовой поддержки деятельности социально ориентированных некоммерческих организаций"</t>
  </si>
  <si>
    <t>7G 0 04 00000</t>
  </si>
  <si>
    <t>Софинансирование мероприятий по поддержке социально ориентированных некоммерческих организаций</t>
  </si>
  <si>
    <t>7G 0 04 S3280</t>
  </si>
  <si>
    <t>Субсидии некоммерческим организациям (за исключением государственных (муниципальных) учреждений)</t>
  </si>
  <si>
    <t>630</t>
  </si>
  <si>
    <t>Управление государственной (муниципальной) собственностью</t>
  </si>
  <si>
    <t>М5 0 00 00000</t>
  </si>
  <si>
    <t>Основное мероприятие "Обеспечение выполнения функций органами местного самоуправления Сусуманского городского округа и находящимися в их ведении муниципальными учреждениями"</t>
  </si>
  <si>
    <t>М5 0 01 00000</t>
  </si>
  <si>
    <t>М5 0 01 00990</t>
  </si>
  <si>
    <t>Иные выплаты персоналу 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</si>
  <si>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</si>
  <si>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 xml:space="preserve"> М6 0  01 00491</t>
  </si>
  <si>
    <t>Муниципальная программа "Поддержка хозяйствующих субъектов, осуществляющих производство хлеба на территории Сусуманского городского округа на 2017 год"</t>
  </si>
  <si>
    <t xml:space="preserve">7Ц 0 00 00000 </t>
  </si>
  <si>
    <t xml:space="preserve">7Ц 0 01 00000 </t>
  </si>
  <si>
    <t xml:space="preserve">7Ц 0 01 91100 </t>
  </si>
  <si>
    <t>Другие вопросы в области охраны окружающей среды</t>
  </si>
  <si>
    <t>Муниципальная программа "Развитие системы обращения с отходами производства и потребления на территории муниципального образования "Сусуманский городской округ" на 2017 год"</t>
  </si>
  <si>
    <t>7F 0 00 00000</t>
  </si>
  <si>
    <t>7F 0 01 00000</t>
  </si>
  <si>
    <t>7F 0 01 73710</t>
  </si>
  <si>
    <t>7F 0 01 S3710</t>
  </si>
  <si>
    <t>Основное мероприятие "Приобретение оборудования для термического уничтожения различного типа (вида) отходов (утилизации отходов) для Сусуманского городского округа"</t>
  </si>
  <si>
    <t>7F 0 02 00000</t>
  </si>
  <si>
    <t>Охрана семьи и детства</t>
  </si>
  <si>
    <t>Основное мероприятие «Реализация мероприятий по обеспечению благоустроенными жилыми помещениями детей-сирот, детей, оставшихся без попечения родителей»</t>
  </si>
  <si>
    <t>7G 0 05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</si>
  <si>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</si>
  <si>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</si>
  <si>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</si>
  <si>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</si>
  <si>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</si>
  <si>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</si>
  <si>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</si>
  <si>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Основное мероприятие "Управление развитием отрасти образования"</t>
  </si>
  <si>
    <t>7Р 0 03 00000</t>
  </si>
  <si>
    <t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за счет средств областного бюджета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</si>
  <si>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за счет средств областного бюджета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</si>
  <si>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за счет средств областного бюджета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</si>
  <si>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за счет средств областного бюджета</t>
  </si>
  <si>
    <t>Муниципальная  программа        "Безопасность образовательного процесса в образовательных учреждениях Сусуманского городского округа  на 2017 год"</t>
  </si>
  <si>
    <t xml:space="preserve">7Б 0 04 00000 </t>
  </si>
  <si>
    <t xml:space="preserve">7Б 0 04 91600 </t>
  </si>
  <si>
    <t>Муниципальная  программа  "Здоровье обучающихся и воспитанников в Сусуманском городском округе  на 2017 год"</t>
  </si>
  <si>
    <t>Укрепление материально- технической базы медицинских кабинетов</t>
  </si>
  <si>
    <t xml:space="preserve">7Ю 0 01 92520 </t>
  </si>
  <si>
    <t>Муниципальная программа  "Пожарная безопасность в Сусуманском городском округе на 2017 год"</t>
  </si>
  <si>
    <t>Обучение сотрудников по пожарной безопасности</t>
  </si>
  <si>
    <t xml:space="preserve">7П 0 01 94510 </t>
  </si>
  <si>
    <t>Финансовое обеспечение муниципальных общеобразовательных организаций в части реализации ими государственного стандарта общего образования за счет средств областного бюджета</t>
  </si>
  <si>
    <t>Обеспечение ежемесячного денежного вознаграждения за классное руководство за счет средств областного бюджета</t>
  </si>
  <si>
    <t>Установка видеонаблюдения</t>
  </si>
  <si>
    <t xml:space="preserve">7Б 0 04 95100 </t>
  </si>
  <si>
    <t>Установка освещения территории образовательного учреждения</t>
  </si>
  <si>
    <t>7Б 0 04 95120</t>
  </si>
  <si>
    <t>Финансирование мероприятия "Совершенствование питания учащихся в общеобразовательных организациях" за счет средств областного бюджета</t>
  </si>
  <si>
    <t>7Ю 0 01 73440</t>
  </si>
  <si>
    <t>Софинансирование мероприятия "Совершенствование питания учащихся в общеобразовательных организациях"</t>
  </si>
  <si>
    <t>7Ю 0 01 S3440</t>
  </si>
  <si>
    <t>Расходы на питание (завтрак или полдник) детей из многодетных семей, обучающихся в общеобразовательных организациях за счет средств областного бюджета</t>
  </si>
  <si>
    <t xml:space="preserve">7Ю 0 01 73950 </t>
  </si>
  <si>
    <t>Софинансирование мероприятия "Расходы на питание (завтрак или полдник) детей из многодетных семей, обучающихся в общеобразовательных организациях"</t>
  </si>
  <si>
    <t xml:space="preserve">7Ю 0 01 S3950 </t>
  </si>
  <si>
    <t>Дополнительное образование детей</t>
  </si>
  <si>
    <t>Муниципальная  программа "Одарённые дети  на 2017 год"</t>
  </si>
  <si>
    <t>Проведение слетов, научных конференций, олимпиад</t>
  </si>
  <si>
    <t xml:space="preserve">7Д 0 01 92210 </t>
  </si>
  <si>
    <t>Муниципальная программа "Создание временных дополнительных и сохранение рабочих мест в Сусуманском городском округе на 2017 год"</t>
  </si>
  <si>
    <t>Основное мероприятие "Создание временных дополнительных и сохранение рабочих мест в целях трудовой адаптации несовершеннолетних граждан в возрасте от 14 до 18 лет в свободное от учебы время ( в том числе детей- сирот)"</t>
  </si>
  <si>
    <t>Муниципальная программа "Патриотическое воспитание  жителей Сусуманского городского округа  на 2017 год"</t>
  </si>
  <si>
    <t>Муниципальная программа "Лето-детям  на 2017 год"</t>
  </si>
  <si>
    <t>Финансирование мероприятий на организацию отдыха и оздоровление детей в лагерях дневного пребывания за счет средств областного бюджета</t>
  </si>
  <si>
    <t xml:space="preserve">7Л 0 01 73210 </t>
  </si>
  <si>
    <t xml:space="preserve">Софинансирование мероприятий на организацию отдыха и оздоровление детей в лагерях дневного пребывания </t>
  </si>
  <si>
    <t xml:space="preserve">7Л 0 01 S3210 </t>
  </si>
  <si>
    <t>Основное мероприятие "Профилактика  правонарушений среди несовершеннолетних и молодежи"</t>
  </si>
  <si>
    <t xml:space="preserve">7Т 0 07 00000 </t>
  </si>
  <si>
    <t xml:space="preserve">7Т 0 07 95200 </t>
  </si>
  <si>
    <t xml:space="preserve">Фонд оплаты труда учреждений </t>
  </si>
  <si>
    <t xml:space="preserve">Совершенствование содержания и технологий образования </t>
  </si>
  <si>
    <t>Муниципальная программа  "Развитие молодежной политики в Сусуманском городском округе  на 2017 год"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</si>
  <si>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</si>
  <si>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</si>
  <si>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 xml:space="preserve">7Т 0 05 00000 </t>
  </si>
  <si>
    <t xml:space="preserve">7Т 0 05 95100 </t>
  </si>
  <si>
    <t>Муниципальная программа "Развитие культуры в Сусуманском городском округе на 2017 год"</t>
  </si>
  <si>
    <t>Основное мероприятие "Комплектование книжных фондов библиотек Сусуманского городского округа"</t>
  </si>
  <si>
    <t>7Е 0 01 73160</t>
  </si>
  <si>
    <t>7Е 0 01 S3160</t>
  </si>
  <si>
    <t xml:space="preserve">7Е 0 03 00000 </t>
  </si>
  <si>
    <t xml:space="preserve">7Е 0 03 75010 </t>
  </si>
  <si>
    <t xml:space="preserve">7Е 0 02 00000 </t>
  </si>
  <si>
    <t>Фонд оплаты труда государственных (муниципальных) органов и взносы по обязательному социальному страхованию</t>
  </si>
  <si>
    <t>Муниципальная программа "Обеспечение жильем молодых семей  в Сусуманском городском округе  на 2017 год"</t>
  </si>
  <si>
    <t xml:space="preserve">7Ж 0 01 L0200 </t>
  </si>
  <si>
    <t>Субсидии гражданам на приобретение жилья</t>
  </si>
  <si>
    <t>322</t>
  </si>
  <si>
    <t>Муниципальная программа " Развитие физической культуры и спорта в Сусуманском городском округе на 2017 год"</t>
  </si>
  <si>
    <t>Оздоровительная, спортивно- массовая работа с населением, проведение мероприятий</t>
  </si>
  <si>
    <t>Управление городского хозяйства и жизнеобеспечения территории Сусуманского городского округа</t>
  </si>
  <si>
    <t>Водное хозяйство</t>
  </si>
  <si>
    <t>Основное мероприятие "Составление декларации безопасности на объект "Берегоукрепление и устройство дамбы обвалования в г. Сусумане на р. "Берелех" (включая государственную экспертизу)"</t>
  </si>
  <si>
    <t xml:space="preserve">7Ч 0 03 00000 </t>
  </si>
  <si>
    <t>7Ч 0 03 73340</t>
  </si>
  <si>
    <t xml:space="preserve">Софинансирование мероприятия "Составление декларации безопасности на объект "Берегоукрепление и устройство дамбы обвалования в г. Сусумане на р. "Берелех" (включая государственную экспертизу) </t>
  </si>
  <si>
    <t xml:space="preserve">7Ч 0 03 S3340 </t>
  </si>
  <si>
    <t>Муниципальная программа "Содержание автомобильных дорог общего пользования местного значения Сусуманского городского округа на 2017 год"</t>
  </si>
  <si>
    <t xml:space="preserve">7S 0 00 00000 </t>
  </si>
  <si>
    <t xml:space="preserve">7S 0 01 00000 </t>
  </si>
  <si>
    <t>Содержание автомобильных дорог общего пользования местного значения Сусуманского городского округа</t>
  </si>
  <si>
    <t xml:space="preserve">7S 0 01 95310 </t>
  </si>
  <si>
    <t>Муниципальная программа "Повышение безопасности дорожного движения на территории Сусуманского городского округа в 2017 году"</t>
  </si>
  <si>
    <t>7D 0 00 00000</t>
  </si>
  <si>
    <t>7D 0 01 00000</t>
  </si>
  <si>
    <t xml:space="preserve">Разработка комплексных схем организации дорожного движения на территории Сусуманского городского округа </t>
  </si>
  <si>
    <t>7D 0 01 95410</t>
  </si>
  <si>
    <t xml:space="preserve">7Г 0 01 96610 </t>
  </si>
  <si>
    <t>Муниципальная программа "Финансовая поддержка организаций коммунального комплекса Сусуманского городского округа на 2017 год"</t>
  </si>
  <si>
    <t>Проведение своевременной и качественной подготовки объектов ЖКХ к работе в осенне- зимних условиях</t>
  </si>
  <si>
    <t>Частичное возмещение недополученных доходов по оказанию жилищно- коммунальных услуг населению</t>
  </si>
  <si>
    <t>7Я 0 01 98710</t>
  </si>
  <si>
    <t>Муниципальная программа "Благоустройство Сусуманского городского округа на 2017 год"</t>
  </si>
  <si>
    <t>7Z 0 00 00000</t>
  </si>
  <si>
    <t>7Z 0 01 00000</t>
  </si>
  <si>
    <t>Финансирование мероприятия по благоустройству территории Сусуманского городского округа за счет средств областного бюджета</t>
  </si>
  <si>
    <t>7Z 0 01 62010</t>
  </si>
  <si>
    <t xml:space="preserve">Софинансирование мероприятий по благоустройству территории Сусуманского городского округа </t>
  </si>
  <si>
    <t>7Z 0 01 S2010</t>
  </si>
  <si>
    <t xml:space="preserve"> Наружное (уличное) освещение</t>
  </si>
  <si>
    <t>7Z 0 01 98300</t>
  </si>
  <si>
    <t xml:space="preserve">Ремонт и обслуживание линий электропередач уличного освещения </t>
  </si>
  <si>
    <t>7Z 0 01 98310</t>
  </si>
  <si>
    <t>Прочие работы по благоустройству</t>
  </si>
  <si>
    <t>7Z 0 01 98500</t>
  </si>
  <si>
    <t>К6 0 00 00000</t>
  </si>
  <si>
    <t>К6 0 00 08650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</si>
  <si>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</si>
  <si>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ОХРАНА ОКРУЖАЮЩЕЙ СРЕДЫ </t>
  </si>
  <si>
    <t>Социальная защита детей- сирот, детей, оставшихся без попечения родителей и детей из семей "группы риска"</t>
  </si>
  <si>
    <t xml:space="preserve">Оптимизация жилищного фонда в виде расселения </t>
  </si>
  <si>
    <t>Оптимизация жилищного фонда в виде расселения</t>
  </si>
  <si>
    <t>814</t>
  </si>
  <si>
    <t>Иные 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</si>
  <si>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Закупка товаров, работ и услуг для обеспечения государственных (муниципальных) нужд</t>
  </si>
  <si>
    <t>Проведение проверок исправности и ремонт систем противопожарного водоснабжения, приобретение и обслуживание гидрантов</t>
  </si>
  <si>
    <t>Молодежная политика</t>
  </si>
  <si>
    <t xml:space="preserve">Молодежная политика </t>
  </si>
  <si>
    <t>7Р 0 03 74020</t>
  </si>
  <si>
    <t>7Р 0 02 00000</t>
  </si>
  <si>
    <t>7Р 0 02 74060</t>
  </si>
  <si>
    <t>7Р 0 02 74070</t>
  </si>
  <si>
    <t>7Р 0 02 74120</t>
  </si>
  <si>
    <t>7Р 0 02 75010</t>
  </si>
  <si>
    <t>7Р 0 02 74050</t>
  </si>
  <si>
    <t>7Р 0 02 74130</t>
  </si>
  <si>
    <t>7Р 0 03 74090</t>
  </si>
  <si>
    <t>7F 0 02 73П06</t>
  </si>
  <si>
    <t>7F 0 02 S3П06</t>
  </si>
  <si>
    <t>Профилактика безнадзорности, правонарушений и вредных привычек несовершеннолетних</t>
  </si>
  <si>
    <t xml:space="preserve">7Т 0 07 93810 </t>
  </si>
  <si>
    <t>Проведение и участие в конкурсах, фестивалях, выставках, концертах, мастер- классах</t>
  </si>
  <si>
    <t xml:space="preserve">7Е 0 02 96120 </t>
  </si>
  <si>
    <t>634</t>
  </si>
  <si>
    <t>Иные субсидии некоммерческим организациям (за исключением государственных (муниципальных) учреждений)</t>
  </si>
  <si>
    <t>Жилищно- коммунальное хозяйство</t>
  </si>
  <si>
    <t>Субсидиарная ответственность</t>
  </si>
  <si>
    <t>Субсидиарная ответственность администрации Сусуманского городского округа по исполнительным документам Арбитражного суда Магаданской области</t>
  </si>
  <si>
    <t>Исполнение судебных актов</t>
  </si>
  <si>
    <t>830</t>
  </si>
  <si>
    <t xml:space="preserve">Исполнение судебных актов Российской Федерации и мировых соглашений по возмещению причиненного вреда
</t>
  </si>
  <si>
    <t>831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</si>
  <si>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</si>
  <si>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</si>
  <si>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Приложение № 6</t>
  </si>
  <si>
    <t>Приложение № 5</t>
  </si>
  <si>
    <t>тыс.рублей</t>
  </si>
  <si>
    <t>Муниципальная  программа "Социальная защита населения Сусуманского городского округа  на 2017 год"</t>
  </si>
  <si>
    <t xml:space="preserve">Основное мероприятие "Реализация мероприятий по оказанию адресной помощи населению" </t>
  </si>
  <si>
    <t xml:space="preserve">7G 0 01 91200 </t>
  </si>
  <si>
    <t xml:space="preserve">7G 0 01 91310 </t>
  </si>
  <si>
    <t xml:space="preserve">7G 0 01 91410 </t>
  </si>
  <si>
    <t>Закупка товаров, работ и услуг для обеспечения  государственных (муниципальных) нужд</t>
  </si>
  <si>
    <t>КУЛЬТУРА И КИНЕМАТОГРАФИЯ</t>
  </si>
  <si>
    <t xml:space="preserve">Основное мероприятие "Оказание финансовой поддержки деятельности социально ориентированных некоммерческих организаций" </t>
  </si>
  <si>
    <t xml:space="preserve">Общее образование  </t>
  </si>
  <si>
    <t>7Д 0 01 92210</t>
  </si>
  <si>
    <t>Муниципальная программа "Развитие физической культуры и спорта в Сусуманском городском округе на 2017 год"</t>
  </si>
  <si>
    <t>Безвозмездные перечисления государственным и муниципальным организациям</t>
  </si>
  <si>
    <t>Софинасирование мероприятия "Совершенствование питания учащихся в общеобразовательных организациях"</t>
  </si>
  <si>
    <t xml:space="preserve">7Ч 0 03 73340 </t>
  </si>
  <si>
    <t xml:space="preserve">7Ч 0 03 73640 </t>
  </si>
  <si>
    <t>Финансирование мероприятий по благоустройству территории Сусуманского городского округа за счет средств областного бюджета</t>
  </si>
  <si>
    <t>Муниципальная программа "Финансовая поддержка организаций коммунального комплекса  Сусуманского городского округа на 2017 год"</t>
  </si>
  <si>
    <t>Муниципальная программа "Развитие муниципальной службы в муниципальном образовании "Сусуманский городской округ" на 2017 год"</t>
  </si>
  <si>
    <t xml:space="preserve">Основное мероприятие " Организация повышения квалификации лиц, замещающих муниципальные должности и муниципальных служащих"                        </t>
  </si>
  <si>
    <t>ОХРАНА ОКРУЖАЮЩЕЙ СРЕДЫ</t>
  </si>
  <si>
    <t>Прочие работы, услуги</t>
  </si>
  <si>
    <t xml:space="preserve">Распределение расходов бюджета муниципального образования "Сусуманский городской округ" на 2017 год                     по разделам и подразделам  классификации расходов бюджетов Российской Федерации </t>
  </si>
  <si>
    <t>к  решению Собрания представителей Сусуманского городского округа</t>
  </si>
  <si>
    <t xml:space="preserve">Распределение ассигнований из бюджета муниципального образования "Сусуманский городской округ" на 2017 год по разделам и подразделам, целевым статьям и видам расходов  классификации расходов бюджетов Российской Федерации </t>
  </si>
  <si>
    <t>Ведомственная структура расходов бюджета муниципального образования "Сусуманский городской округ" на 2017 год</t>
  </si>
  <si>
    <t>Распределение бюджетных ассигнований на реализацию муниципальных программ на 2017 год</t>
  </si>
  <si>
    <t>Источники внутреннего финансирования дефицита бюджета                                                                                                            муниципального образования "Сусуманский  городской округ"  на 2017 год</t>
  </si>
  <si>
    <t>7Е 0 01 R5190</t>
  </si>
  <si>
    <t>Основное мерориятие "Развитие и поддержка муниципальных учреждений культуры и искусства"</t>
  </si>
  <si>
    <t>Финансирование мероприятий по реконструкции и капитальному ремонту учреждений культуры и искусства Сусуманского городского округа за счет средств областного бюджета</t>
  </si>
  <si>
    <t>Софинансирование мероприятий по реконструкции и капитальному ремонту учреждений культуры и искусства Сусуманского городского округа</t>
  </si>
  <si>
    <t>7Е 0 04 00000</t>
  </si>
  <si>
    <t>7Е 0 04 73120</t>
  </si>
  <si>
    <t>7Е 0 04 S3120</t>
  </si>
  <si>
    <t>Муниципальная программа "Комплексное развитие систем коммунальной инфраструктуры муниципального образования "Сусуманский городской округ" на 2017 год"</t>
  </si>
  <si>
    <t>7N 0 00 00000</t>
  </si>
  <si>
    <t>7N 0 01 00000</t>
  </si>
  <si>
    <t>7N 0 01 62110</t>
  </si>
  <si>
    <t>7N 0 01  S2100</t>
  </si>
  <si>
    <t>Основное мероприятие "Подготовка коммунальной инфраструктуры Сусуманского городского округа к отопительным периодам"</t>
  </si>
  <si>
    <t>7К 0 00 00000</t>
  </si>
  <si>
    <t>7К 0 01 00000</t>
  </si>
  <si>
    <t>7К 0 01 R5550</t>
  </si>
  <si>
    <t>7W 0 00 00000</t>
  </si>
  <si>
    <t>7W 0 01 00000</t>
  </si>
  <si>
    <t>7W 0 01 73520</t>
  </si>
  <si>
    <t>7W 0 01 S3520</t>
  </si>
  <si>
    <t xml:space="preserve">Охрана окружающкей среды </t>
  </si>
  <si>
    <t>Укрепление материально- технической базы учреждений культуры</t>
  </si>
  <si>
    <t xml:space="preserve">7Е 0 02 92510 </t>
  </si>
  <si>
    <t>Финансовое обеспечение деятельности отдела записи актов гражданского состояния (местный бюджет)</t>
  </si>
  <si>
    <t>Р2 5 00 00000</t>
  </si>
  <si>
    <t>Р2 5 00 00210</t>
  </si>
  <si>
    <t>Р2 5 00 00290</t>
  </si>
  <si>
    <t>Повышение устойчивости основных объектов и систем жизнеобеспечения на территории Сусуманского городского округа</t>
  </si>
  <si>
    <t>Ч8 0 00 00000</t>
  </si>
  <si>
    <t>Ч8 0 01 00000</t>
  </si>
  <si>
    <t>Неустойка и судебные расходы на основании вступивших в законную силу судебных актов</t>
  </si>
  <si>
    <t xml:space="preserve"> Ч8 0 01 08190</t>
  </si>
  <si>
    <t xml:space="preserve">Основное мероприятие "Строительство 16- квартирного жилого дома из каркасно- панельных деревянных элементов в г. Сусумане" </t>
  </si>
  <si>
    <t>Проценты за пользование чужими денежными средствами на основании вступивших в законную силу судебных актов</t>
  </si>
  <si>
    <t>Ж5 0 02 00000</t>
  </si>
  <si>
    <t>Ж5 0 02 08090</t>
  </si>
  <si>
    <t>Ж5 0 02 08190</t>
  </si>
  <si>
    <t>Обеспечение выполнения функций органами местного самоуправления  Сусуманского городского округа в рамках непрограммных мероприятий</t>
  </si>
  <si>
    <t>66 1 00 00000</t>
  </si>
  <si>
    <t>Погашение кредиторской задолженности за поставленный уголь  в рамках заключенных договоров прошлых лет</t>
  </si>
  <si>
    <t>66 1 00 08081</t>
  </si>
  <si>
    <t xml:space="preserve"> 66 0 01 08190</t>
  </si>
  <si>
    <t>Субсидии на проведение отдельных мероприятий по другим видам транспорта</t>
  </si>
  <si>
    <t xml:space="preserve"> Т4 0  00 03170</t>
  </si>
  <si>
    <t>К6 0 00 74170</t>
  </si>
  <si>
    <t xml:space="preserve">Сравнительная таблица по расходам  на внесение изменений по бюджету Сусуманского городского округа  на 2017 год </t>
  </si>
  <si>
    <t>к  решению  Собрания представителей Сусуманского городского округа</t>
  </si>
  <si>
    <t>№            п/п</t>
  </si>
  <si>
    <t>"+" "-" ассигно-ваний</t>
  </si>
  <si>
    <t>1.</t>
  </si>
  <si>
    <t>1.1.</t>
  </si>
  <si>
    <t>1.2.</t>
  </si>
  <si>
    <t>1.3.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</si>
  <si>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администраций.</t>
  </si>
  <si>
    <t>1.4.</t>
  </si>
  <si>
    <t>1.5.</t>
  </si>
  <si>
    <t>1.6.</t>
  </si>
  <si>
    <t>2.</t>
  </si>
  <si>
    <t>2.1.</t>
  </si>
  <si>
    <t>3.</t>
  </si>
  <si>
    <t>3.1.</t>
  </si>
  <si>
    <t>Предупреждение и ликвидация последствий чрезвычайных ситуаций природного и техногенного характера, гражданская оборона</t>
  </si>
  <si>
    <t>4.</t>
  </si>
  <si>
    <t>4.1.</t>
  </si>
  <si>
    <t>4.3.</t>
  </si>
  <si>
    <t>4.4.</t>
  </si>
  <si>
    <t>4.5.</t>
  </si>
  <si>
    <t>5.</t>
  </si>
  <si>
    <t>5.2.</t>
  </si>
  <si>
    <t>5.3.</t>
  </si>
  <si>
    <t>6.</t>
  </si>
  <si>
    <t>6.1.</t>
  </si>
  <si>
    <t>7.</t>
  </si>
  <si>
    <t>7.1.</t>
  </si>
  <si>
    <t>7.2.</t>
  </si>
  <si>
    <t>7.3.</t>
  </si>
  <si>
    <t>7.4.</t>
  </si>
  <si>
    <t>7.5.</t>
  </si>
  <si>
    <t>8.</t>
  </si>
  <si>
    <t>КУЛЬТУРА,КИНЕМАТОГРАФИЯ</t>
  </si>
  <si>
    <t>8.1</t>
  </si>
  <si>
    <t>8.2.</t>
  </si>
  <si>
    <t xml:space="preserve">Другие вопросы в области культуры, кинематографии </t>
  </si>
  <si>
    <t>9.</t>
  </si>
  <si>
    <t>9.1.</t>
  </si>
  <si>
    <t>9.2.</t>
  </si>
  <si>
    <t>9.3.</t>
  </si>
  <si>
    <t>9.4.</t>
  </si>
  <si>
    <t>10.</t>
  </si>
  <si>
    <t>10.1.</t>
  </si>
  <si>
    <t>11.</t>
  </si>
  <si>
    <t>11.1.</t>
  </si>
  <si>
    <t>12.</t>
  </si>
  <si>
    <t>12.1.</t>
  </si>
  <si>
    <t>Утверждено по бюджету на 2017 год</t>
  </si>
  <si>
    <t>Уточнен-ный план на 2017 год</t>
  </si>
  <si>
    <t>7U 0 00 00000</t>
  </si>
  <si>
    <t>7U 0 01 00000</t>
  </si>
  <si>
    <t>7U 0 01 73880</t>
  </si>
  <si>
    <t>7U 0 01 S3880</t>
  </si>
  <si>
    <t>Муниципальная программа "Энергосбережение и повышение энергетической эффективности на территории Сусуманского городского округа в 2017 году"</t>
  </si>
  <si>
    <t>Муниципальная программа "Экологическая безопасность и охрана окружающей среды муниципального образования "Сусуманский городской округ" на 2017 год"</t>
  </si>
  <si>
    <t>Основное мероприятие "Снос ветхого, заброшенного жилья на территории Сусуманского городского округа"</t>
  </si>
  <si>
    <t>Финансирование мероприятия "Снос ветхого, заброшенного жилья в действующих поселках и полностью заброшенных поселках, в том числе вдоль автомобильных дорог, расположенных на территории  Сусуманского городского округа" за счет средств областного бюджета</t>
  </si>
  <si>
    <t xml:space="preserve">Софинансирование мероприятия "Снос ветхого, заброшенного жилья в действующих поселках и полностью заброшенных поселках, в том числе вдоль автомобильных дорог, расположенных на территории  Сусуманского городского округа" </t>
  </si>
  <si>
    <t>Основное мероприятие "Установка общедомовых приборов учета энергетических ресурсов "</t>
  </si>
  <si>
    <t>Финансирование мероприятия "Приобретение и монтаж общедомовых приборов учета  энергетических ресурсов" за счет средств областного бюджета</t>
  </si>
  <si>
    <t xml:space="preserve">Софинансирование мероприятия  "Приобретение и монтаж общедомовых приборов учета энергетических ресурсов" </t>
  </si>
  <si>
    <t>Муниципальная программа "Формирование современной городской среды муниципального образования "Сусуманский городской округ" на 2017 год"</t>
  </si>
  <si>
    <t>Основное мероприятие "Формирование современной городской среды при реализации проектов благоустройства территорий муниципальных образований"</t>
  </si>
  <si>
    <t>7G 0 05 R0820</t>
  </si>
  <si>
    <t>7К 0 01 L5550</t>
  </si>
  <si>
    <t>Берегоукрепление и устройство дамбы обвалования в городе Сусумане на р. Берелех</t>
  </si>
  <si>
    <t>Д1 0 0 00000</t>
  </si>
  <si>
    <t>Погашение кредиторской задолженности за выполненные работы в рамках заключенных соглашений прошлых лет</t>
  </si>
  <si>
    <t>Д1 0 0 08080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</si>
  <si>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</si>
  <si>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</si>
  <si>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 xml:space="preserve">7Т 0 05 95110 </t>
  </si>
  <si>
    <t>Разработка сметы на оборудование мест массового пребывания людей системой видеонаблюдения</t>
  </si>
  <si>
    <t xml:space="preserve">Пособия, компенсации и иные социальные выплаты гражданам, кроме публичных нормативных обязательств </t>
  </si>
  <si>
    <t>Основное мероприятие "Управление развитием отрасли образования"</t>
  </si>
  <si>
    <t>Субсидии на частичное возмещение затрат по оказанию ритуальных услуг на территории Сусуманского городского округа</t>
  </si>
  <si>
    <t>К6 0 00 08653</t>
  </si>
  <si>
    <t>Услуги по захоронению не востребованных трупов</t>
  </si>
  <si>
    <t>К6 0 00 08654</t>
  </si>
  <si>
    <t>Осуществление государственных полномочий по отлову и содержанию безнадзорных животных за счет средств областного бюджета</t>
  </si>
  <si>
    <t xml:space="preserve">Охрана окружающей среды </t>
  </si>
  <si>
    <t>Основное мероприятие "Развитие и поддержка муниципальных учреждений культуры и искусства"</t>
  </si>
  <si>
    <t>7Е001L5190</t>
  </si>
  <si>
    <t>Обеспечение гарантированного комплектования фондов библиотек за счет средств местного бюджета</t>
  </si>
  <si>
    <t>7Ж 001 R0200</t>
  </si>
  <si>
    <t>Социальная выплата на приобретение (строительство) жилья молодым семьям</t>
  </si>
  <si>
    <t>Обеспечение гарантированного комплектования фондов библиотек</t>
  </si>
  <si>
    <t>Приобретение литературно-художественных изданий</t>
  </si>
  <si>
    <t>Приобретение литературно-художественных изданий за счет средств местного бюджета</t>
  </si>
  <si>
    <t>Социальная выплата на приобретение (строительство) жилья молодым семьям за счет средств местного бюджета</t>
  </si>
  <si>
    <t>7F0 00 00000</t>
  </si>
  <si>
    <t>Р5 000 00000</t>
  </si>
  <si>
    <t>Р5 000 09550</t>
  </si>
  <si>
    <t>7Е 001 L5190</t>
  </si>
  <si>
    <t>Приложение № 2</t>
  </si>
  <si>
    <t>Приложение 3</t>
  </si>
  <si>
    <t>Приложение № 4</t>
  </si>
  <si>
    <t xml:space="preserve">Приобретение оборудования для термического уничтожения различного типа (вида) отходов (утилизации отходов) для Сусуманского городского округа </t>
  </si>
  <si>
    <t>Приобретение оборудования для термического уничтожения различного типа (вида) отходов (утилизации отходов) для Сусуманского городского округа за счет средств местного бюджета</t>
  </si>
  <si>
    <t xml:space="preserve">Формирование современной городской среды при реализации проектов благоустройства территорий муниципальных образований  </t>
  </si>
  <si>
    <t xml:space="preserve"> Формирование современной городской среды при реализации проектов благоустройства территорий муниципальных образований за счет средств местного бюджета</t>
  </si>
  <si>
    <t xml:space="preserve">Мероприятия по организации и проведению областных универсальных совместных ярмарок товаров </t>
  </si>
  <si>
    <t>Мероприятия по организации и проведению областных универсальных совместных ярмарок товаров за счет средств местного бюджета</t>
  </si>
  <si>
    <t>Финансирование мероприятия "Составление декларации безопасности на объект "Берегоукрепление и устройство дамбы обвалования в г. Сусумане на р. "Берелех" (включая государственную экспертизу)" за счет средств областного бюджета</t>
  </si>
  <si>
    <t>Муниципальная программа "Развитие системы обращения с отходами производства и потребления на территории муниципального образования "Сусуманский городской округ" на 2017- 2018 годы"</t>
  </si>
  <si>
    <t>Разработка проектно-сметной документации и выполнение инженерных изысканий по объекту: "Межпоселенческий полигон ТКО в городе Сусуман"</t>
  </si>
  <si>
    <t>Основное мероприятие "Разработка проектно- сметной документации и выполнение инженерных изысканий по объекту: "Межпоселенческий полигон ТКО в городе Сусуман"</t>
  </si>
  <si>
    <t>Разработка проектно-сметной документации и выполнение инженерных изысканий по объекту: "Межпоселенческий полигон ТКО в городе Сусуман" за счет средств местного бюджета</t>
  </si>
  <si>
    <t>7Е 0 01 L5190</t>
  </si>
  <si>
    <t xml:space="preserve">Поддержка развития малого и среднего предпринимательства </t>
  </si>
  <si>
    <t xml:space="preserve">7И 0 01 73360 </t>
  </si>
  <si>
    <t>Поддержка развития малого и среднего предпринимательства за счет средств местного бюджета</t>
  </si>
  <si>
    <t>Поддержка социально ориентированных некоммерческих организаций</t>
  </si>
  <si>
    <t>7G 0 04 73280</t>
  </si>
  <si>
    <t xml:space="preserve">7Б 0 04 91700 </t>
  </si>
  <si>
    <t>Замена щитов освещения</t>
  </si>
  <si>
    <t>Укрепление материально- технической базы в области физической культуры и спорта</t>
  </si>
  <si>
    <t>7Ф 0 01 11830</t>
  </si>
  <si>
    <t>7Ф 0 01 S1830</t>
  </si>
  <si>
    <t>Частичное покрытие расходов, связанных с проведением аварийно- восстановительных работ по ликвидации последствий чрезвычайной ситуации, вызванной наводнением в августе 2016 года, на автомобильных дорогах местного значения</t>
  </si>
  <si>
    <t xml:space="preserve">7S 0 01 54640 </t>
  </si>
  <si>
    <t>Осуществление мероприятий по переселению граждан из ветхого и аварийного жилищного фонда</t>
  </si>
  <si>
    <t>Осуществление мероприятий по переселению граждан из ветхого и аварийного жилищного фонда за счет средств местного бюджета</t>
  </si>
  <si>
    <t xml:space="preserve">7Г 0 01 61000 </t>
  </si>
  <si>
    <t xml:space="preserve">7Г 0 01 S1000 </t>
  </si>
  <si>
    <t>Мероприятия в области водного хозяйства</t>
  </si>
  <si>
    <t>В5 0 00 00000</t>
  </si>
  <si>
    <t>Прочие мероприятия в области водного хозяйства</t>
  </si>
  <si>
    <t>В5 0 00 08030</t>
  </si>
  <si>
    <t>0,4</t>
  </si>
  <si>
    <t>Закупка товаров, работ и услуг в целях капитального ремонта государственного (муниципального) имущества</t>
  </si>
  <si>
    <t>243</t>
  </si>
  <si>
    <t>Сумма</t>
  </si>
  <si>
    <t xml:space="preserve"> </t>
  </si>
  <si>
    <t>Мероприятия по подготовке  к осенне-зимнему отопительному периоду</t>
  </si>
  <si>
    <t>Мероприятия по подготовке  к осенне-зимнему отопительному периоду за счет средств местного бюджета</t>
  </si>
  <si>
    <t xml:space="preserve">Частичное возмещение недополученных доходов от оказания населению услуг общественными банями на территории Сусуманского городского округа  </t>
  </si>
  <si>
    <t>Приобретение баннера антитеррористической тематики</t>
  </si>
  <si>
    <t xml:space="preserve">7Т 0 05 95140 </t>
  </si>
  <si>
    <t xml:space="preserve">Программа муниципальных внутренних заимствований </t>
  </si>
  <si>
    <t>муниципального образования "Сусуманский городской округ" на 2017 год</t>
  </si>
  <si>
    <t>Внутренние заимствования (привлечение/погашение)</t>
  </si>
  <si>
    <t>получение кредитов</t>
  </si>
  <si>
    <t>погашение кредитов</t>
  </si>
  <si>
    <t>Виды муниципального внутреннего долга муниципального образования "Сусуманский городской округ" на 2017 год</t>
  </si>
  <si>
    <t>Кредитные соглашения и договоры, заключенные от имени муниципального образования</t>
  </si>
  <si>
    <t>в том числе:</t>
  </si>
  <si>
    <t xml:space="preserve">Задолженность по бюджетному кредиту, полученному из областного бюджета, на покрытие временного кассового разрыва, возникшего при исполнении бюджета </t>
  </si>
  <si>
    <t xml:space="preserve">Кредиты, полученные в валюте Российской Федерации от кредитных организаций </t>
  </si>
  <si>
    <t>ИТОГО:</t>
  </si>
  <si>
    <t xml:space="preserve">Мероприятия по благоустройству </t>
  </si>
  <si>
    <t>Прочие мероприятия по благоустройству</t>
  </si>
  <si>
    <t>К6 0 00 08640</t>
  </si>
  <si>
    <t>Приложение № 7</t>
  </si>
  <si>
    <t>Приложение № 8</t>
  </si>
  <si>
    <t>Приобретение светоотражающих лент для образовательных учреждений</t>
  </si>
  <si>
    <t>7D 0 01 95420</t>
  </si>
  <si>
    <t>Бюджетные инвестиции в объекты капитального строительства государственной ( муниципальной собственности)</t>
  </si>
  <si>
    <t>Структура муниципаль-ного долга на 01.01.2017 г.</t>
  </si>
  <si>
    <t>Структура муниципаль-ного долга на 01.01.2018 г.</t>
  </si>
  <si>
    <t>к решению Собрания представителей Сусуманского городского округа</t>
  </si>
  <si>
    <t>ЦСТ</t>
  </si>
  <si>
    <t>Вед.</t>
  </si>
  <si>
    <t>Приложение № 9</t>
  </si>
  <si>
    <t>Распределение бюджетных ассигнований, направляемых на исполнение публичных нормативных обязательств  в 2017 году</t>
  </si>
  <si>
    <t xml:space="preserve">от     26.12.2017 г.   № 215   </t>
  </si>
  <si>
    <t xml:space="preserve">от      26.12.2017 г. № 215 </t>
  </si>
  <si>
    <t xml:space="preserve">от        26.12.2017 г. № 215 </t>
  </si>
  <si>
    <t xml:space="preserve">от    26.12.2017 г. № 215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</si>
</sst>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#,##0.00_ ;\-#,##0.00\ "/>
    <numFmt numFmtId="180" formatCode="#,##0.0_ ;\-#,##0.0\ "/>
    <numFmt numFmtId="181" formatCode="0.0000"/>
    <numFmt numFmtId="182" formatCode="0.000"/>
    <numFmt numFmtId="183" formatCode="0.00000"/>
    <numFmt numFmtId="184" formatCode="0.000000"/>
  </numFmts>
  <fonts count="6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70C0"/>
      <name val="Times New Roman"/>
      <family val="1"/>
    </font>
    <font>
      <sz val="10"/>
      <color rgb="FF0070C0"/>
      <name val="Times New Roman"/>
      <family val="1"/>
    </font>
    <font>
      <b/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Fill="1" applyAlignment="1">
      <alignment/>
    </xf>
    <xf numFmtId="0" fontId="9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172" fontId="7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vertical="top" wrapText="1"/>
    </xf>
    <xf numFmtId="0" fontId="55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/>
    </xf>
    <xf numFmtId="0" fontId="56" fillId="0" borderId="10" xfId="0" applyFont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172" fontId="6" fillId="34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172" fontId="7" fillId="34" borderId="10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/>
    </xf>
    <xf numFmtId="0" fontId="4" fillId="0" borderId="0" xfId="0" applyFont="1" applyAlignment="1">
      <alignment/>
    </xf>
    <xf numFmtId="0" fontId="55" fillId="33" borderId="0" xfId="0" applyFont="1" applyFill="1" applyAlignment="1">
      <alignment/>
    </xf>
    <xf numFmtId="0" fontId="7" fillId="0" borderId="0" xfId="0" applyFont="1" applyAlignment="1">
      <alignment/>
    </xf>
    <xf numFmtId="0" fontId="58" fillId="0" borderId="0" xfId="0" applyFont="1" applyFill="1" applyAlignment="1">
      <alignment/>
    </xf>
    <xf numFmtId="0" fontId="58" fillId="0" borderId="0" xfId="0" applyFont="1" applyAlignment="1">
      <alignment/>
    </xf>
    <xf numFmtId="0" fontId="59" fillId="0" borderId="10" xfId="0" applyFont="1" applyBorder="1" applyAlignment="1">
      <alignment/>
    </xf>
    <xf numFmtId="0" fontId="59" fillId="0" borderId="0" xfId="0" applyFont="1" applyFill="1" applyAlignment="1">
      <alignment/>
    </xf>
    <xf numFmtId="0" fontId="59" fillId="0" borderId="0" xfId="0" applyFont="1" applyAlignment="1">
      <alignment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177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 wrapText="1"/>
    </xf>
    <xf numFmtId="172" fontId="6" fillId="0" borderId="0" xfId="0" applyNumberFormat="1" applyFont="1" applyAlignment="1">
      <alignment/>
    </xf>
    <xf numFmtId="0" fontId="5" fillId="33" borderId="0" xfId="0" applyFont="1" applyFill="1" applyBorder="1" applyAlignment="1">
      <alignment/>
    </xf>
    <xf numFmtId="0" fontId="0" fillId="0" borderId="0" xfId="0" applyBorder="1" applyAlignment="1">
      <alignment horizontal="right" vertical="top"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72" fontId="7" fillId="0" borderId="0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72" fontId="7" fillId="33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top" wrapText="1" shrinkToFit="1"/>
    </xf>
    <xf numFmtId="0" fontId="55" fillId="0" borderId="0" xfId="0" applyFont="1" applyFill="1" applyBorder="1" applyAlignment="1">
      <alignment horizontal="left" vertical="top" wrapText="1" shrinkToFit="1"/>
    </xf>
    <xf numFmtId="0" fontId="5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 shrinkToFit="1"/>
    </xf>
    <xf numFmtId="172" fontId="7" fillId="0" borderId="10" xfId="0" applyNumberFormat="1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172" fontId="7" fillId="33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left" wrapText="1"/>
    </xf>
    <xf numFmtId="0" fontId="6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left" wrapText="1"/>
    </xf>
    <xf numFmtId="0" fontId="12" fillId="34" borderId="10" xfId="0" applyFont="1" applyFill="1" applyBorder="1" applyAlignment="1">
      <alignment horizontal="left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wrapText="1"/>
    </xf>
    <xf numFmtId="0" fontId="12" fillId="34" borderId="10" xfId="0" applyFont="1" applyFill="1" applyBorder="1" applyAlignment="1">
      <alignment vertical="top" wrapText="1"/>
    </xf>
    <xf numFmtId="0" fontId="11" fillId="34" borderId="10" xfId="0" applyFont="1" applyFill="1" applyBorder="1" applyAlignment="1">
      <alignment wrapText="1"/>
    </xf>
    <xf numFmtId="0" fontId="11" fillId="34" borderId="10" xfId="0" applyFont="1" applyFill="1" applyBorder="1" applyAlignment="1">
      <alignment vertical="top" wrapText="1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172" fontId="7" fillId="34" borderId="10" xfId="0" applyNumberFormat="1" applyFont="1" applyFill="1" applyBorder="1" applyAlignment="1">
      <alignment horizontal="center" vertical="center" wrapText="1"/>
    </xf>
    <xf numFmtId="172" fontId="6" fillId="34" borderId="10" xfId="0" applyNumberFormat="1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/>
    </xf>
    <xf numFmtId="177" fontId="6" fillId="34" borderId="10" xfId="0" applyNumberFormat="1" applyFont="1" applyFill="1" applyBorder="1" applyAlignment="1">
      <alignment horizontal="center" vertical="center"/>
    </xf>
    <xf numFmtId="172" fontId="6" fillId="34" borderId="10" xfId="0" applyNumberFormat="1" applyFont="1" applyFill="1" applyBorder="1" applyAlignment="1">
      <alignment horizontal="center"/>
    </xf>
    <xf numFmtId="2" fontId="7" fillId="34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vertical="justify" wrapText="1"/>
    </xf>
    <xf numFmtId="0" fontId="7" fillId="34" borderId="10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10" fillId="34" borderId="0" xfId="0" applyFont="1" applyFill="1" applyAlignment="1">
      <alignment wrapText="1"/>
    </xf>
    <xf numFmtId="0" fontId="10" fillId="34" borderId="10" xfId="0" applyFont="1" applyFill="1" applyBorder="1" applyAlignment="1">
      <alignment wrapText="1"/>
    </xf>
    <xf numFmtId="0" fontId="6" fillId="34" borderId="0" xfId="0" applyFont="1" applyFill="1" applyAlignment="1">
      <alignment wrapText="1"/>
    </xf>
    <xf numFmtId="0" fontId="7" fillId="34" borderId="10" xfId="0" applyFont="1" applyFill="1" applyBorder="1" applyAlignment="1">
      <alignment vertical="top"/>
    </xf>
    <xf numFmtId="0" fontId="6" fillId="34" borderId="10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 wrapText="1"/>
    </xf>
    <xf numFmtId="177" fontId="7" fillId="34" borderId="10" xfId="0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wrapText="1"/>
    </xf>
    <xf numFmtId="49" fontId="12" fillId="34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1" fillId="0" borderId="10" xfId="0" applyFont="1" applyFill="1" applyBorder="1" applyAlignment="1">
      <alignment horizontal="left" wrapText="1"/>
    </xf>
    <xf numFmtId="177" fontId="6" fillId="34" borderId="10" xfId="0" applyNumberFormat="1" applyFont="1" applyFill="1" applyBorder="1" applyAlignment="1">
      <alignment horizontal="center" vertical="center" wrapText="1"/>
    </xf>
    <xf numFmtId="172" fontId="55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wrapText="1"/>
    </xf>
    <xf numFmtId="0" fontId="6" fillId="34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72" fontId="11" fillId="0" borderId="10" xfId="0" applyNumberFormat="1" applyFont="1" applyFill="1" applyBorder="1" applyAlignment="1">
      <alignment horizontal="center" vertical="center"/>
    </xf>
    <xf numFmtId="172" fontId="1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Alignment="1">
      <alignment horizontal="right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vertical="top" wrapText="1"/>
    </xf>
    <xf numFmtId="172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172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172" fontId="13" fillId="0" borderId="10" xfId="0" applyNumberFormat="1" applyFont="1" applyBorder="1" applyAlignment="1">
      <alignment/>
    </xf>
    <xf numFmtId="172" fontId="10" fillId="0" borderId="10" xfId="0" applyNumberFormat="1" applyFont="1" applyBorder="1" applyAlignment="1">
      <alignment vertical="top" wrapText="1"/>
    </xf>
    <xf numFmtId="172" fontId="10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13" fillId="0" borderId="10" xfId="0" applyFont="1" applyBorder="1" applyAlignment="1">
      <alignment/>
    </xf>
    <xf numFmtId="172" fontId="13" fillId="0" borderId="10" xfId="0" applyNumberFormat="1" applyFont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6" fillId="33" borderId="0" xfId="0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8" fillId="0" borderId="0" xfId="0" applyFont="1" applyBorder="1" applyAlignment="1">
      <alignment/>
    </xf>
    <xf numFmtId="0" fontId="59" fillId="0" borderId="0" xfId="0" applyFont="1" applyFill="1" applyBorder="1" applyAlignment="1">
      <alignment/>
    </xf>
    <xf numFmtId="0" fontId="59" fillId="0" borderId="0" xfId="0" applyFont="1" applyBorder="1" applyAlignment="1">
      <alignment/>
    </xf>
    <xf numFmtId="0" fontId="60" fillId="0" borderId="0" xfId="0" applyFont="1" applyFill="1" applyBorder="1" applyAlignment="1">
      <alignment/>
    </xf>
    <xf numFmtId="0" fontId="55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6" fillId="0" borderId="0" xfId="0" applyFont="1" applyFill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top" wrapText="1"/>
    </xf>
    <xf numFmtId="0" fontId="6" fillId="33" borderId="0" xfId="0" applyFont="1" applyFill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/>
    </xf>
    <xf numFmtId="0" fontId="0" fillId="0" borderId="0" xfId="0" applyAlignment="1">
      <alignment/>
    </xf>
    <xf numFmtId="0" fontId="6" fillId="34" borderId="0" xfId="0" applyFont="1" applyFill="1" applyAlignment="1">
      <alignment horizontal="right" vertical="center"/>
    </xf>
    <xf numFmtId="0" fontId="0" fillId="34" borderId="0" xfId="0" applyFont="1" applyFill="1" applyAlignment="1">
      <alignment/>
    </xf>
    <xf numFmtId="0" fontId="6" fillId="34" borderId="0" xfId="0" applyFont="1" applyFill="1" applyBorder="1" applyAlignment="1">
      <alignment horizontal="right" vertical="top" wrapText="1"/>
    </xf>
    <xf numFmtId="0" fontId="7" fillId="34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justify"/>
    </xf>
    <xf numFmtId="0" fontId="0" fillId="0" borderId="0" xfId="0" applyAlignment="1">
      <alignment horizontal="right"/>
    </xf>
    <xf numFmtId="0" fontId="1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33\&#1086;&#1073;&#1097;&#1080;&#1077;%20&#1076;&#1086;&#1082;&#1091;&#1084;&#1077;&#1085;&#1090;&#1099;\&#1057;&#1101;&#1076;&#1080;\Documents\&#1041;&#1102;&#1076;&#1078;&#1077;&#1090;&#1099;\&#1073;&#1102;&#1076;&#1078;&#1077;&#1090;%20&#1085;&#1072;%202017%20&#1075;&#1086;&#1076;\&#1048;&#1079;&#1084;.&#1073;&#1102;&#1076;&#1078;.17.02.2017%20&#1075;.%204%20&#1074;&#1072;&#1088;\&#1055;&#1088;&#1080;&#1083;.%202,3,4,6%20&#1089;&#1088;&#1072;&#107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.2 по разд"/>
      <sheetName val="пр.3"/>
      <sheetName val="пр.6 ист."/>
      <sheetName val="пр.4 вед.стр."/>
      <sheetName val="срав."/>
    </sheetNames>
    <sheetDataSet>
      <sheetData sheetId="0">
        <row r="16">
          <cell r="D16">
            <v>375.5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A3" sqref="A3:D3"/>
    </sheetView>
  </sheetViews>
  <sheetFormatPr defaultColWidth="9.00390625" defaultRowHeight="12.75"/>
  <cols>
    <col min="1" max="1" width="78.125" style="1" customWidth="1"/>
    <col min="2" max="3" width="4.25390625" style="54" customWidth="1"/>
    <col min="4" max="4" width="10.00390625" style="54" customWidth="1"/>
    <col min="5" max="5" width="9.25390625" style="96" customWidth="1"/>
    <col min="6" max="11" width="7.875" style="96" customWidth="1"/>
    <col min="12" max="16384" width="9.125" style="1" customWidth="1"/>
  </cols>
  <sheetData>
    <row r="1" spans="1:11" s="26" customFormat="1" ht="13.5" customHeight="1">
      <c r="A1" s="230" t="s">
        <v>811</v>
      </c>
      <c r="B1" s="230"/>
      <c r="C1" s="230"/>
      <c r="D1" s="230"/>
      <c r="E1" s="94"/>
      <c r="F1" s="94"/>
      <c r="G1" s="94"/>
      <c r="H1" s="94"/>
      <c r="I1" s="94"/>
      <c r="J1" s="94"/>
      <c r="K1" s="94"/>
    </row>
    <row r="2" spans="1:5" ht="13.5" customHeight="1">
      <c r="A2" s="228" t="s">
        <v>665</v>
      </c>
      <c r="B2" s="228"/>
      <c r="C2" s="228"/>
      <c r="D2" s="228"/>
      <c r="E2" s="95"/>
    </row>
    <row r="3" spans="1:4" ht="13.5" customHeight="1">
      <c r="A3" s="228" t="s">
        <v>882</v>
      </c>
      <c r="B3" s="228"/>
      <c r="C3" s="228"/>
      <c r="D3" s="228"/>
    </row>
    <row r="4" spans="1:5" ht="30.75" customHeight="1">
      <c r="A4" s="232" t="s">
        <v>664</v>
      </c>
      <c r="B4" s="232"/>
      <c r="C4" s="232"/>
      <c r="D4" s="232"/>
      <c r="E4" s="97"/>
    </row>
    <row r="5" spans="1:11" ht="15.75">
      <c r="A5" s="5"/>
      <c r="B5" s="6"/>
      <c r="C5" s="6"/>
      <c r="D5" s="6" t="s">
        <v>1</v>
      </c>
      <c r="E5" s="24"/>
      <c r="F5" s="24"/>
      <c r="G5" s="24"/>
      <c r="H5" s="24"/>
      <c r="I5" s="24"/>
      <c r="J5" s="24"/>
      <c r="K5" s="24"/>
    </row>
    <row r="6" spans="1:11" ht="15.75">
      <c r="A6" s="20" t="s">
        <v>32</v>
      </c>
      <c r="B6" s="20" t="s">
        <v>64</v>
      </c>
      <c r="C6" s="20" t="s">
        <v>65</v>
      </c>
      <c r="D6" s="56" t="s">
        <v>849</v>
      </c>
      <c r="E6" s="24"/>
      <c r="F6" s="24"/>
      <c r="G6" s="24"/>
      <c r="H6" s="24"/>
      <c r="I6" s="24"/>
      <c r="J6" s="24"/>
      <c r="K6" s="24"/>
    </row>
    <row r="7" spans="1:11" ht="15.75">
      <c r="A7" s="20">
        <v>1</v>
      </c>
      <c r="B7" s="20">
        <v>2</v>
      </c>
      <c r="C7" s="20">
        <v>3</v>
      </c>
      <c r="D7" s="21">
        <v>4</v>
      </c>
      <c r="E7" s="24"/>
      <c r="F7" s="24"/>
      <c r="G7" s="24"/>
      <c r="H7" s="24"/>
      <c r="I7" s="24"/>
      <c r="J7" s="24"/>
      <c r="K7" s="24"/>
    </row>
    <row r="8" spans="1:11" ht="15.75">
      <c r="A8" s="86" t="s">
        <v>2</v>
      </c>
      <c r="B8" s="46" t="s">
        <v>66</v>
      </c>
      <c r="C8" s="46" t="s">
        <v>36</v>
      </c>
      <c r="D8" s="109">
        <f>SUM(D9:D14)</f>
        <v>159074.2</v>
      </c>
      <c r="E8" s="98"/>
      <c r="F8" s="98"/>
      <c r="G8" s="98"/>
      <c r="H8" s="24"/>
      <c r="I8" s="24"/>
      <c r="J8" s="24"/>
      <c r="K8" s="99"/>
    </row>
    <row r="9" spans="1:11" ht="25.5">
      <c r="A9" s="7" t="s">
        <v>15</v>
      </c>
      <c r="B9" s="43" t="s">
        <v>66</v>
      </c>
      <c r="C9" s="43" t="s">
        <v>67</v>
      </c>
      <c r="D9" s="110">
        <f>'пр.3'!F9</f>
        <v>4452.2</v>
      </c>
      <c r="E9" s="24"/>
      <c r="F9" s="24"/>
      <c r="G9" s="24"/>
      <c r="H9" s="24"/>
      <c r="I9" s="24"/>
      <c r="J9" s="24"/>
      <c r="K9" s="24"/>
    </row>
    <row r="10" spans="1:11" ht="25.5">
      <c r="A10" s="7" t="s">
        <v>20</v>
      </c>
      <c r="B10" s="43" t="s">
        <v>66</v>
      </c>
      <c r="C10" s="43" t="s">
        <v>70</v>
      </c>
      <c r="D10" s="110">
        <f>'пр.3'!F17</f>
        <v>4940.6</v>
      </c>
      <c r="E10" s="24"/>
      <c r="F10" s="24"/>
      <c r="G10" s="24"/>
      <c r="H10" s="24"/>
      <c r="I10" s="24"/>
      <c r="J10" s="24"/>
      <c r="K10" s="24"/>
    </row>
    <row r="11" spans="1:11" ht="27.75" customHeight="1">
      <c r="A11" s="8" t="s">
        <v>17</v>
      </c>
      <c r="B11" s="43" t="s">
        <v>66</v>
      </c>
      <c r="C11" s="43" t="s">
        <v>68</v>
      </c>
      <c r="D11" s="110">
        <f>'пр.3'!F47</f>
        <v>86825.4</v>
      </c>
      <c r="E11" s="24"/>
      <c r="F11" s="24"/>
      <c r="G11" s="24"/>
      <c r="H11" s="24"/>
      <c r="I11" s="24"/>
      <c r="J11" s="24"/>
      <c r="K11" s="24"/>
    </row>
    <row r="12" spans="1:11" ht="26.25">
      <c r="A12" s="8" t="s">
        <v>19</v>
      </c>
      <c r="B12" s="43" t="s">
        <v>66</v>
      </c>
      <c r="C12" s="43" t="s">
        <v>76</v>
      </c>
      <c r="D12" s="110">
        <f>'пр.3'!F78</f>
        <v>19401.800000000003</v>
      </c>
      <c r="E12" s="24"/>
      <c r="F12" s="24"/>
      <c r="G12" s="24"/>
      <c r="H12" s="24"/>
      <c r="I12" s="24"/>
      <c r="J12" s="24"/>
      <c r="K12" s="24"/>
    </row>
    <row r="13" spans="1:11" ht="15.75">
      <c r="A13" s="7" t="s">
        <v>3</v>
      </c>
      <c r="B13" s="44" t="s">
        <v>66</v>
      </c>
      <c r="C13" s="44" t="s">
        <v>74</v>
      </c>
      <c r="D13" s="110">
        <f>'пр.3'!F112</f>
        <v>1000</v>
      </c>
      <c r="E13" s="24"/>
      <c r="F13" s="24"/>
      <c r="G13" s="24"/>
      <c r="H13" s="24"/>
      <c r="I13" s="24"/>
      <c r="J13" s="24"/>
      <c r="K13" s="24"/>
    </row>
    <row r="14" spans="1:11" ht="15.75">
      <c r="A14" s="7" t="s">
        <v>63</v>
      </c>
      <c r="B14" s="44" t="s">
        <v>66</v>
      </c>
      <c r="C14" s="44" t="s">
        <v>87</v>
      </c>
      <c r="D14" s="110">
        <f>'пр.3'!F117</f>
        <v>42454.2</v>
      </c>
      <c r="E14" s="24"/>
      <c r="F14" s="24"/>
      <c r="G14" s="24"/>
      <c r="H14" s="24"/>
      <c r="I14" s="24"/>
      <c r="J14" s="24"/>
      <c r="K14" s="24"/>
    </row>
    <row r="15" spans="1:11" ht="15.75">
      <c r="A15" s="15" t="s">
        <v>272</v>
      </c>
      <c r="B15" s="32" t="s">
        <v>67</v>
      </c>
      <c r="C15" s="32" t="s">
        <v>36</v>
      </c>
      <c r="D15" s="109">
        <f>D16</f>
        <v>375.5</v>
      </c>
      <c r="E15" s="98"/>
      <c r="F15" s="24"/>
      <c r="G15" s="24"/>
      <c r="H15" s="24"/>
      <c r="I15" s="24"/>
      <c r="J15" s="24"/>
      <c r="K15" s="24"/>
    </row>
    <row r="16" spans="1:11" ht="15.75">
      <c r="A16" s="16" t="s">
        <v>269</v>
      </c>
      <c r="B16" s="19" t="s">
        <v>67</v>
      </c>
      <c r="C16" s="19" t="s">
        <v>70</v>
      </c>
      <c r="D16" s="110">
        <f>'пр.3'!F222</f>
        <v>375.5</v>
      </c>
      <c r="E16" s="24"/>
      <c r="F16" s="24"/>
      <c r="G16" s="24"/>
      <c r="H16" s="24"/>
      <c r="I16" s="24"/>
      <c r="J16" s="24"/>
      <c r="K16" s="24"/>
    </row>
    <row r="17" spans="1:11" ht="15.75">
      <c r="A17" s="9" t="s">
        <v>4</v>
      </c>
      <c r="B17" s="45" t="s">
        <v>70</v>
      </c>
      <c r="C17" s="46" t="s">
        <v>36</v>
      </c>
      <c r="D17" s="109">
        <f>D18</f>
        <v>3776.9</v>
      </c>
      <c r="E17" s="98"/>
      <c r="F17" s="24"/>
      <c r="G17" s="24"/>
      <c r="H17" s="24"/>
      <c r="I17" s="24"/>
      <c r="J17" s="24"/>
      <c r="K17" s="24"/>
    </row>
    <row r="18" spans="1:11" ht="24.75">
      <c r="A18" s="12" t="s">
        <v>80</v>
      </c>
      <c r="B18" s="43" t="s">
        <v>70</v>
      </c>
      <c r="C18" s="43" t="s">
        <v>75</v>
      </c>
      <c r="D18" s="110">
        <f>'пр.3'!F232</f>
        <v>3776.9</v>
      </c>
      <c r="E18" s="24"/>
      <c r="F18" s="24"/>
      <c r="G18" s="24"/>
      <c r="H18" s="24"/>
      <c r="I18" s="24"/>
      <c r="J18" s="24"/>
      <c r="K18" s="24"/>
    </row>
    <row r="19" spans="1:11" ht="15.75">
      <c r="A19" s="9" t="s">
        <v>5</v>
      </c>
      <c r="B19" s="47" t="s">
        <v>68</v>
      </c>
      <c r="C19" s="47" t="s">
        <v>36</v>
      </c>
      <c r="D19" s="109">
        <f>SUM(D20:D23)</f>
        <v>21916.4</v>
      </c>
      <c r="E19" s="98"/>
      <c r="F19" s="24"/>
      <c r="G19" s="98"/>
      <c r="H19" s="24"/>
      <c r="I19" s="24"/>
      <c r="J19" s="24"/>
      <c r="K19" s="24"/>
    </row>
    <row r="20" spans="1:11" ht="15.75">
      <c r="A20" s="16" t="s">
        <v>567</v>
      </c>
      <c r="B20" s="44" t="s">
        <v>68</v>
      </c>
      <c r="C20" s="44" t="s">
        <v>76</v>
      </c>
      <c r="D20" s="110">
        <f>'пр.3'!F263</f>
        <v>6807.8</v>
      </c>
      <c r="E20" s="24"/>
      <c r="F20" s="24"/>
      <c r="G20" s="24"/>
      <c r="H20" s="24"/>
      <c r="I20" s="24"/>
      <c r="J20" s="24"/>
      <c r="K20" s="24"/>
    </row>
    <row r="21" spans="1:11" ht="15.75">
      <c r="A21" s="7" t="s">
        <v>6</v>
      </c>
      <c r="B21" s="44" t="s">
        <v>68</v>
      </c>
      <c r="C21" s="44" t="s">
        <v>73</v>
      </c>
      <c r="D21" s="110">
        <f>'пр.3'!F287</f>
        <v>6600</v>
      </c>
      <c r="E21" s="24"/>
      <c r="F21" s="24"/>
      <c r="G21" s="24"/>
      <c r="H21" s="24"/>
      <c r="I21" s="24"/>
      <c r="J21" s="24"/>
      <c r="K21" s="24"/>
    </row>
    <row r="22" spans="1:11" ht="15.75">
      <c r="A22" s="7" t="s">
        <v>82</v>
      </c>
      <c r="B22" s="44" t="s">
        <v>68</v>
      </c>
      <c r="C22" s="44" t="s">
        <v>75</v>
      </c>
      <c r="D22" s="110">
        <f>'пр.3'!F293</f>
        <v>7426.200000000001</v>
      </c>
      <c r="E22" s="24"/>
      <c r="F22" s="24"/>
      <c r="G22" s="24"/>
      <c r="H22" s="24"/>
      <c r="I22" s="24"/>
      <c r="J22" s="24"/>
      <c r="K22" s="24"/>
    </row>
    <row r="23" spans="1:11" ht="15.75">
      <c r="A23" s="7" t="s">
        <v>7</v>
      </c>
      <c r="B23" s="44" t="s">
        <v>68</v>
      </c>
      <c r="C23" s="44" t="s">
        <v>78</v>
      </c>
      <c r="D23" s="110">
        <f>'пр.3'!F315</f>
        <v>1082.4</v>
      </c>
      <c r="E23" s="24"/>
      <c r="F23" s="24"/>
      <c r="G23" s="24"/>
      <c r="H23" s="24"/>
      <c r="I23" s="24"/>
      <c r="J23" s="24"/>
      <c r="K23" s="24"/>
    </row>
    <row r="24" spans="1:11" ht="15.75">
      <c r="A24" s="14" t="s">
        <v>151</v>
      </c>
      <c r="B24" s="47" t="s">
        <v>72</v>
      </c>
      <c r="C24" s="47" t="s">
        <v>36</v>
      </c>
      <c r="D24" s="109">
        <f>D25+D26+D27</f>
        <v>76747.5</v>
      </c>
      <c r="E24" s="98"/>
      <c r="F24" s="24"/>
      <c r="G24" s="24"/>
      <c r="H24" s="24"/>
      <c r="I24" s="24"/>
      <c r="J24" s="98"/>
      <c r="K24" s="24"/>
    </row>
    <row r="25" spans="1:11" ht="15.75">
      <c r="A25" s="7" t="s">
        <v>150</v>
      </c>
      <c r="B25" s="44" t="s">
        <v>72</v>
      </c>
      <c r="C25" s="44" t="s">
        <v>66</v>
      </c>
      <c r="D25" s="110">
        <f>'пр.3'!F343</f>
        <v>13331.4</v>
      </c>
      <c r="E25" s="24"/>
      <c r="F25" s="24"/>
      <c r="G25" s="24"/>
      <c r="H25" s="24"/>
      <c r="I25" s="24"/>
      <c r="J25" s="24"/>
      <c r="K25" s="24"/>
    </row>
    <row r="26" spans="1:11" ht="15.75">
      <c r="A26" s="16" t="s">
        <v>208</v>
      </c>
      <c r="B26" s="44" t="s">
        <v>72</v>
      </c>
      <c r="C26" s="44" t="s">
        <v>67</v>
      </c>
      <c r="D26" s="110">
        <f>'пр.3'!F381</f>
        <v>49721.4</v>
      </c>
      <c r="E26" s="24"/>
      <c r="F26" s="24"/>
      <c r="G26" s="24"/>
      <c r="H26" s="24"/>
      <c r="I26" s="24"/>
      <c r="J26" s="24"/>
      <c r="K26" s="24"/>
    </row>
    <row r="27" spans="1:11" ht="15.75">
      <c r="A27" s="16" t="s">
        <v>210</v>
      </c>
      <c r="B27" s="44" t="s">
        <v>72</v>
      </c>
      <c r="C27" s="44" t="s">
        <v>70</v>
      </c>
      <c r="D27" s="110">
        <f>'пр.3'!F439</f>
        <v>13694.699999999999</v>
      </c>
      <c r="E27" s="24"/>
      <c r="F27" s="24"/>
      <c r="G27" s="24"/>
      <c r="H27" s="24"/>
      <c r="I27" s="24"/>
      <c r="J27" s="24"/>
      <c r="K27" s="24"/>
    </row>
    <row r="28" spans="1:11" s="66" customFormat="1" ht="15.75">
      <c r="A28" s="15" t="s">
        <v>604</v>
      </c>
      <c r="B28" s="47" t="s">
        <v>76</v>
      </c>
      <c r="C28" s="47" t="s">
        <v>36</v>
      </c>
      <c r="D28" s="109">
        <f>D29</f>
        <v>2650</v>
      </c>
      <c r="E28" s="98"/>
      <c r="F28" s="100"/>
      <c r="G28" s="98"/>
      <c r="H28" s="100"/>
      <c r="I28" s="100"/>
      <c r="J28" s="98"/>
      <c r="K28" s="100"/>
    </row>
    <row r="29" spans="1:11" ht="15.75">
      <c r="A29" s="15" t="s">
        <v>483</v>
      </c>
      <c r="B29" s="44" t="s">
        <v>76</v>
      </c>
      <c r="C29" s="44" t="s">
        <v>72</v>
      </c>
      <c r="D29" s="110">
        <f>'пр.3'!F497</f>
        <v>2650</v>
      </c>
      <c r="E29" s="24"/>
      <c r="F29" s="24"/>
      <c r="G29" s="24"/>
      <c r="H29" s="24"/>
      <c r="I29" s="24"/>
      <c r="J29" s="24"/>
      <c r="K29" s="24"/>
    </row>
    <row r="30" spans="1:11" ht="15.75">
      <c r="A30" s="9" t="s">
        <v>8</v>
      </c>
      <c r="B30" s="47" t="s">
        <v>69</v>
      </c>
      <c r="C30" s="47" t="s">
        <v>36</v>
      </c>
      <c r="D30" s="109">
        <f>SUM(D31:D35)</f>
        <v>349687.5</v>
      </c>
      <c r="E30" s="98"/>
      <c r="F30" s="24"/>
      <c r="G30" s="24"/>
      <c r="H30" s="98"/>
      <c r="I30" s="98"/>
      <c r="J30" s="24"/>
      <c r="K30" s="24"/>
    </row>
    <row r="31" spans="1:11" ht="15.75">
      <c r="A31" s="7" t="s">
        <v>9</v>
      </c>
      <c r="B31" s="44" t="s">
        <v>69</v>
      </c>
      <c r="C31" s="44" t="s">
        <v>66</v>
      </c>
      <c r="D31" s="110">
        <f>'пр.3'!F528</f>
        <v>78054.00000000001</v>
      </c>
      <c r="E31" s="24"/>
      <c r="F31" s="24"/>
      <c r="G31" s="24"/>
      <c r="H31" s="24"/>
      <c r="I31" s="24"/>
      <c r="J31" s="24"/>
      <c r="K31" s="24"/>
    </row>
    <row r="32" spans="1:11" ht="15.75">
      <c r="A32" s="7" t="s">
        <v>10</v>
      </c>
      <c r="B32" s="44" t="s">
        <v>69</v>
      </c>
      <c r="C32" s="44" t="s">
        <v>67</v>
      </c>
      <c r="D32" s="110">
        <f>'пр.3'!F606</f>
        <v>166074.6</v>
      </c>
      <c r="E32" s="24"/>
      <c r="F32" s="24"/>
      <c r="G32" s="24"/>
      <c r="H32" s="24"/>
      <c r="I32" s="24"/>
      <c r="J32" s="24"/>
      <c r="K32" s="24"/>
    </row>
    <row r="33" spans="1:11" ht="15.75">
      <c r="A33" s="7" t="s">
        <v>530</v>
      </c>
      <c r="B33" s="44" t="s">
        <v>69</v>
      </c>
      <c r="C33" s="44" t="s">
        <v>70</v>
      </c>
      <c r="D33" s="110">
        <f>'пр.3'!F724</f>
        <v>56077.700000000004</v>
      </c>
      <c r="E33" s="24"/>
      <c r="F33" s="24"/>
      <c r="G33" s="24"/>
      <c r="H33" s="24"/>
      <c r="I33" s="24"/>
      <c r="J33" s="24"/>
      <c r="K33" s="24"/>
    </row>
    <row r="34" spans="1:11" ht="15.75">
      <c r="A34" s="7" t="s">
        <v>613</v>
      </c>
      <c r="B34" s="44" t="s">
        <v>69</v>
      </c>
      <c r="C34" s="44" t="s">
        <v>69</v>
      </c>
      <c r="D34" s="110">
        <f>'пр.3'!F794</f>
        <v>9012.6</v>
      </c>
      <c r="E34" s="24"/>
      <c r="F34" s="24"/>
      <c r="G34" s="24"/>
      <c r="H34" s="24"/>
      <c r="I34" s="24"/>
      <c r="J34" s="24"/>
      <c r="K34" s="24"/>
    </row>
    <row r="35" spans="1:11" ht="15.75">
      <c r="A35" s="7" t="s">
        <v>11</v>
      </c>
      <c r="B35" s="44" t="s">
        <v>69</v>
      </c>
      <c r="C35" s="44" t="s">
        <v>75</v>
      </c>
      <c r="D35" s="110">
        <f>'пр.3'!F881</f>
        <v>40468.6</v>
      </c>
      <c r="E35" s="24"/>
      <c r="F35" s="24"/>
      <c r="G35" s="24"/>
      <c r="H35" s="24"/>
      <c r="I35" s="24"/>
      <c r="J35" s="24"/>
      <c r="K35" s="24"/>
    </row>
    <row r="36" spans="1:11" ht="15.75">
      <c r="A36" s="13" t="s">
        <v>145</v>
      </c>
      <c r="B36" s="45" t="s">
        <v>73</v>
      </c>
      <c r="C36" s="46" t="s">
        <v>36</v>
      </c>
      <c r="D36" s="109">
        <f>D37+D38</f>
        <v>52385.9</v>
      </c>
      <c r="E36" s="98"/>
      <c r="F36" s="24"/>
      <c r="G36" s="24"/>
      <c r="H36" s="24"/>
      <c r="I36" s="98"/>
      <c r="J36" s="24"/>
      <c r="K36" s="24"/>
    </row>
    <row r="37" spans="1:11" ht="15.75">
      <c r="A37" s="7" t="s">
        <v>12</v>
      </c>
      <c r="B37" s="44" t="s">
        <v>73</v>
      </c>
      <c r="C37" s="44" t="s">
        <v>66</v>
      </c>
      <c r="D37" s="110">
        <f>'пр.3'!F960</f>
        <v>39547.9</v>
      </c>
      <c r="E37" s="24"/>
      <c r="F37" s="24"/>
      <c r="G37" s="24"/>
      <c r="H37" s="24"/>
      <c r="I37" s="24"/>
      <c r="J37" s="24"/>
      <c r="K37" s="24"/>
    </row>
    <row r="38" spans="1:11" ht="15.75">
      <c r="A38" s="12" t="s">
        <v>86</v>
      </c>
      <c r="B38" s="48" t="s">
        <v>73</v>
      </c>
      <c r="C38" s="48" t="s">
        <v>68</v>
      </c>
      <c r="D38" s="110">
        <f>'пр.3'!F1068</f>
        <v>12838</v>
      </c>
      <c r="E38" s="24"/>
      <c r="F38" s="24"/>
      <c r="G38" s="24"/>
      <c r="H38" s="24"/>
      <c r="I38" s="24"/>
      <c r="J38" s="24"/>
      <c r="K38" s="24"/>
    </row>
    <row r="39" spans="1:11" ht="15.75">
      <c r="A39" s="9" t="s">
        <v>62</v>
      </c>
      <c r="B39" s="47" t="s">
        <v>71</v>
      </c>
      <c r="C39" s="47" t="s">
        <v>36</v>
      </c>
      <c r="D39" s="109">
        <f>D40+D41+D43+D42</f>
        <v>9124.470000000001</v>
      </c>
      <c r="E39" s="98"/>
      <c r="F39" s="24"/>
      <c r="G39" s="98"/>
      <c r="H39" s="24"/>
      <c r="I39" s="24"/>
      <c r="J39" s="24"/>
      <c r="K39" s="24"/>
    </row>
    <row r="40" spans="1:11" ht="15.75">
      <c r="A40" s="7" t="s">
        <v>58</v>
      </c>
      <c r="B40" s="44" t="s">
        <v>71</v>
      </c>
      <c r="C40" s="44" t="s">
        <v>66</v>
      </c>
      <c r="D40" s="110">
        <f>'пр.3'!F1129</f>
        <v>3569</v>
      </c>
      <c r="E40" s="24"/>
      <c r="F40" s="24"/>
      <c r="G40" s="24"/>
      <c r="H40" s="24"/>
      <c r="I40" s="24"/>
      <c r="J40" s="24"/>
      <c r="K40" s="24"/>
    </row>
    <row r="41" spans="1:11" ht="15.75">
      <c r="A41" s="10" t="s">
        <v>61</v>
      </c>
      <c r="B41" s="34" t="s">
        <v>71</v>
      </c>
      <c r="C41" s="34" t="s">
        <v>70</v>
      </c>
      <c r="D41" s="110">
        <f>'пр.3'!F1135</f>
        <v>2031.5</v>
      </c>
      <c r="E41" s="24"/>
      <c r="F41" s="24"/>
      <c r="G41" s="24"/>
      <c r="H41" s="24"/>
      <c r="I41" s="24"/>
      <c r="J41" s="24"/>
      <c r="K41" s="24"/>
    </row>
    <row r="42" spans="1:11" ht="15.75">
      <c r="A42" s="16" t="s">
        <v>491</v>
      </c>
      <c r="B42" s="34" t="s">
        <v>71</v>
      </c>
      <c r="C42" s="34" t="s">
        <v>68</v>
      </c>
      <c r="D42" s="110">
        <f>'пр.3'!F1157</f>
        <v>454.00000000000006</v>
      </c>
      <c r="E42" s="24"/>
      <c r="F42" s="24"/>
      <c r="G42" s="24"/>
      <c r="H42" s="24"/>
      <c r="I42" s="24"/>
      <c r="J42" s="24"/>
      <c r="K42" s="24"/>
    </row>
    <row r="43" spans="1:11" ht="15.75">
      <c r="A43" s="37" t="s">
        <v>152</v>
      </c>
      <c r="B43" s="34" t="s">
        <v>71</v>
      </c>
      <c r="C43" s="34" t="s">
        <v>76</v>
      </c>
      <c r="D43" s="110">
        <f>'пр.3'!F1164</f>
        <v>3069.9700000000003</v>
      </c>
      <c r="E43" s="24"/>
      <c r="F43" s="24"/>
      <c r="G43" s="24"/>
      <c r="H43" s="24"/>
      <c r="I43" s="24"/>
      <c r="J43" s="24"/>
      <c r="K43" s="24"/>
    </row>
    <row r="44" spans="1:11" ht="15.75">
      <c r="A44" s="15" t="s">
        <v>83</v>
      </c>
      <c r="B44" s="35" t="s">
        <v>74</v>
      </c>
      <c r="C44" s="35" t="s">
        <v>36</v>
      </c>
      <c r="D44" s="109">
        <f>D45</f>
        <v>19123.6</v>
      </c>
      <c r="E44" s="98"/>
      <c r="F44" s="24"/>
      <c r="G44" s="24"/>
      <c r="H44" s="24"/>
      <c r="I44" s="98"/>
      <c r="J44" s="24"/>
      <c r="K44" s="24"/>
    </row>
    <row r="45" spans="1:11" ht="15.75">
      <c r="A45" s="16" t="s">
        <v>84</v>
      </c>
      <c r="B45" s="34" t="s">
        <v>74</v>
      </c>
      <c r="C45" s="34" t="s">
        <v>66</v>
      </c>
      <c r="D45" s="110">
        <f>'пр.3'!F1201</f>
        <v>19123.6</v>
      </c>
      <c r="E45" s="24"/>
      <c r="F45" s="24"/>
      <c r="G45" s="24"/>
      <c r="H45" s="24"/>
      <c r="I45" s="24"/>
      <c r="J45" s="24"/>
      <c r="K45" s="24"/>
    </row>
    <row r="46" spans="1:11" ht="15.75">
      <c r="A46" s="15" t="s">
        <v>85</v>
      </c>
      <c r="B46" s="35" t="s">
        <v>78</v>
      </c>
      <c r="C46" s="35" t="s">
        <v>36</v>
      </c>
      <c r="D46" s="109">
        <f>D47</f>
        <v>5617</v>
      </c>
      <c r="E46" s="98"/>
      <c r="F46" s="24"/>
      <c r="G46" s="24"/>
      <c r="H46" s="24"/>
      <c r="I46" s="24"/>
      <c r="J46" s="24"/>
      <c r="K46" s="24"/>
    </row>
    <row r="47" spans="1:11" ht="15.75">
      <c r="A47" s="15" t="s">
        <v>13</v>
      </c>
      <c r="B47" s="34" t="s">
        <v>78</v>
      </c>
      <c r="C47" s="34" t="s">
        <v>67</v>
      </c>
      <c r="D47" s="110">
        <f>'пр.3'!F1261</f>
        <v>5617</v>
      </c>
      <c r="E47" s="24"/>
      <c r="F47" s="24"/>
      <c r="G47" s="24"/>
      <c r="H47" s="24"/>
      <c r="I47" s="24"/>
      <c r="J47" s="24"/>
      <c r="K47" s="24"/>
    </row>
    <row r="48" spans="1:11" ht="15.75">
      <c r="A48" s="15" t="s">
        <v>273</v>
      </c>
      <c r="B48" s="38" t="s">
        <v>87</v>
      </c>
      <c r="C48" s="38" t="s">
        <v>36</v>
      </c>
      <c r="D48" s="109">
        <f>D49</f>
        <v>39.4</v>
      </c>
      <c r="E48" s="98"/>
      <c r="F48" s="24"/>
      <c r="G48" s="24"/>
      <c r="H48" s="24"/>
      <c r="I48" s="24"/>
      <c r="J48" s="24"/>
      <c r="K48" s="24"/>
    </row>
    <row r="49" spans="1:4" ht="14.25" customHeight="1">
      <c r="A49" s="16" t="s">
        <v>91</v>
      </c>
      <c r="B49" s="36" t="s">
        <v>87</v>
      </c>
      <c r="C49" s="36" t="s">
        <v>66</v>
      </c>
      <c r="D49" s="110">
        <f>'пр.3'!F1273</f>
        <v>39.4</v>
      </c>
    </row>
    <row r="50" spans="1:11" ht="15.75">
      <c r="A50" s="9" t="s">
        <v>44</v>
      </c>
      <c r="B50" s="47"/>
      <c r="C50" s="47"/>
      <c r="D50" s="111">
        <f>D8+D15+D17+D19+D24+D28+D30+D36+D39+D44+D46+D48</f>
        <v>700518.37</v>
      </c>
      <c r="E50" s="101"/>
      <c r="F50" s="99"/>
      <c r="G50" s="99"/>
      <c r="H50" s="24"/>
      <c r="I50" s="24"/>
      <c r="J50" s="24"/>
      <c r="K50" s="99"/>
    </row>
    <row r="51" spans="1:11" ht="15.75">
      <c r="A51" s="2"/>
      <c r="B51" s="49"/>
      <c r="C51" s="49"/>
      <c r="D51" s="50"/>
      <c r="E51" s="101"/>
      <c r="F51" s="101"/>
      <c r="G51" s="101"/>
      <c r="H51" s="101"/>
      <c r="I51" s="101"/>
      <c r="J51" s="101"/>
      <c r="K51" s="101"/>
    </row>
    <row r="52" spans="1:4" ht="15.75">
      <c r="A52" s="231"/>
      <c r="B52" s="231"/>
      <c r="C52" s="231"/>
      <c r="D52" s="231"/>
    </row>
    <row r="53" spans="1:4" ht="15.75">
      <c r="A53" s="3"/>
      <c r="B53" s="51"/>
      <c r="C53" s="51"/>
      <c r="D53" s="55"/>
    </row>
    <row r="54" spans="1:4" ht="15.75">
      <c r="A54" s="229"/>
      <c r="B54" s="229"/>
      <c r="C54" s="229"/>
      <c r="D54" s="229"/>
    </row>
    <row r="55" spans="1:4" ht="15.75">
      <c r="A55" s="229"/>
      <c r="B55" s="229"/>
      <c r="C55" s="229"/>
      <c r="D55" s="229"/>
    </row>
    <row r="56" spans="1:4" ht="15.75">
      <c r="A56" s="3"/>
      <c r="B56" s="51"/>
      <c r="C56" s="51"/>
      <c r="D56" s="52"/>
    </row>
    <row r="57" spans="1:3" ht="15.75">
      <c r="A57" s="4"/>
      <c r="B57" s="53"/>
      <c r="C57" s="53"/>
    </row>
    <row r="58" spans="1:3" ht="15.75">
      <c r="A58" s="4"/>
      <c r="B58" s="53"/>
      <c r="C58" s="53"/>
    </row>
    <row r="59" spans="1:3" ht="15.75">
      <c r="A59" s="4"/>
      <c r="B59" s="53"/>
      <c r="C59" s="53"/>
    </row>
    <row r="60" spans="1:3" ht="15.75">
      <c r="A60" s="4"/>
      <c r="B60" s="53"/>
      <c r="C60" s="53"/>
    </row>
    <row r="61" spans="1:3" ht="15.75">
      <c r="A61" s="4"/>
      <c r="B61" s="53"/>
      <c r="C61" s="53"/>
    </row>
    <row r="62" spans="1:3" ht="15.75">
      <c r="A62" s="4"/>
      <c r="B62" s="53"/>
      <c r="C62" s="53"/>
    </row>
    <row r="63" spans="1:3" ht="15.75">
      <c r="A63" s="4"/>
      <c r="B63" s="53"/>
      <c r="C63" s="53"/>
    </row>
    <row r="64" spans="1:3" ht="15.75">
      <c r="A64" s="4"/>
      <c r="B64" s="53"/>
      <c r="C64" s="53"/>
    </row>
    <row r="65" spans="1:3" ht="15.75">
      <c r="A65" s="4"/>
      <c r="B65" s="53"/>
      <c r="C65" s="53"/>
    </row>
    <row r="66" spans="1:3" ht="15.75">
      <c r="A66" s="4"/>
      <c r="B66" s="53"/>
      <c r="C66" s="53"/>
    </row>
    <row r="67" spans="1:3" ht="15.75">
      <c r="A67" s="4"/>
      <c r="B67" s="53"/>
      <c r="C67" s="53"/>
    </row>
    <row r="68" spans="1:3" ht="15.75">
      <c r="A68" s="4"/>
      <c r="B68" s="53"/>
      <c r="C68" s="53"/>
    </row>
    <row r="69" spans="1:3" ht="15.75">
      <c r="A69" s="4"/>
      <c r="B69" s="53"/>
      <c r="C69" s="53"/>
    </row>
    <row r="70" spans="1:3" ht="15.75">
      <c r="A70" s="4"/>
      <c r="B70" s="53"/>
      <c r="C70" s="53"/>
    </row>
  </sheetData>
  <sheetProtection/>
  <mergeCells count="7">
    <mergeCell ref="A3:D3"/>
    <mergeCell ref="A55:D55"/>
    <mergeCell ref="A1:D1"/>
    <mergeCell ref="A52:D52"/>
    <mergeCell ref="A54:D54"/>
    <mergeCell ref="A2:D2"/>
    <mergeCell ref="A4:D4"/>
  </mergeCells>
  <printOptions/>
  <pageMargins left="1.1811023622047245" right="0.3937007874015748" top="0.3937007874015748" bottom="0.3937007874015748" header="0.11811023622047245" footer="0.118110236220472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1" sqref="A1:G49"/>
    </sheetView>
  </sheetViews>
  <sheetFormatPr defaultColWidth="9.00390625" defaultRowHeight="12.75"/>
  <cols>
    <col min="1" max="1" width="5.75390625" style="0" customWidth="1"/>
    <col min="2" max="2" width="58.75390625" style="0" customWidth="1"/>
    <col min="3" max="3" width="5.25390625" style="0" customWidth="1"/>
    <col min="4" max="4" width="5.75390625" style="0" customWidth="1"/>
    <col min="5" max="6" width="11.125" style="0" customWidth="1"/>
    <col min="7" max="7" width="8.75390625" style="0" customWidth="1"/>
  </cols>
  <sheetData>
    <row r="1" spans="1:7" ht="27.75" customHeight="1">
      <c r="A1" s="5" t="s">
        <v>850</v>
      </c>
      <c r="B1" s="233" t="s">
        <v>715</v>
      </c>
      <c r="C1" s="233"/>
      <c r="D1" s="233"/>
      <c r="E1" s="233"/>
      <c r="F1" s="233"/>
      <c r="G1" s="233"/>
    </row>
    <row r="2" spans="1:7" ht="12.75">
      <c r="A2" s="78"/>
      <c r="B2" s="234" t="s">
        <v>716</v>
      </c>
      <c r="C2" s="234"/>
      <c r="D2" s="234"/>
      <c r="E2" s="234"/>
      <c r="F2" s="234"/>
      <c r="G2" s="234"/>
    </row>
    <row r="3" spans="1:7" ht="12.75">
      <c r="A3" s="234" t="str">
        <f>'пр.4 вед.стр.'!A3:G3</f>
        <v>от     26.12.2017 г.   № 215   </v>
      </c>
      <c r="B3" s="235"/>
      <c r="C3" s="235"/>
      <c r="D3" s="235"/>
      <c r="E3" s="235"/>
      <c r="F3" s="235"/>
      <c r="G3" s="235"/>
    </row>
    <row r="4" spans="1:7" ht="12.75">
      <c r="A4" s="5"/>
      <c r="B4" s="5"/>
      <c r="C4" s="79"/>
      <c r="D4" s="79"/>
      <c r="E4" s="80"/>
      <c r="F4" s="79"/>
      <c r="G4" s="79"/>
    </row>
    <row r="5" spans="1:7" ht="38.25">
      <c r="A5" s="81" t="s">
        <v>717</v>
      </c>
      <c r="B5" s="81" t="s">
        <v>32</v>
      </c>
      <c r="C5" s="81" t="s">
        <v>64</v>
      </c>
      <c r="D5" s="81" t="s">
        <v>65</v>
      </c>
      <c r="E5" s="82" t="s">
        <v>764</v>
      </c>
      <c r="F5" s="76" t="s">
        <v>765</v>
      </c>
      <c r="G5" s="56" t="s">
        <v>718</v>
      </c>
    </row>
    <row r="6" spans="1:7" ht="12.75">
      <c r="A6" s="83">
        <v>1</v>
      </c>
      <c r="B6" s="33">
        <v>2</v>
      </c>
      <c r="C6" s="33">
        <v>3</v>
      </c>
      <c r="D6" s="33">
        <v>4</v>
      </c>
      <c r="E6" s="33">
        <v>5</v>
      </c>
      <c r="F6" s="39">
        <v>6</v>
      </c>
      <c r="G6" s="39">
        <v>7</v>
      </c>
    </row>
    <row r="7" spans="1:7" ht="12.75">
      <c r="A7" s="84"/>
      <c r="B7" s="23" t="s">
        <v>44</v>
      </c>
      <c r="C7" s="33"/>
      <c r="D7" s="33"/>
      <c r="E7" s="85">
        <f>E8+E15+E17+E19+E24+E30+E36+E39+E44+E46+E48+E28</f>
        <v>694464.5</v>
      </c>
      <c r="F7" s="167">
        <f>F8+F15+F17+F19+F24+F30+F36+F39+F44+F46+F48+F28</f>
        <v>700518.37</v>
      </c>
      <c r="G7" s="85">
        <f>F7-E7</f>
        <v>6053.869999999995</v>
      </c>
    </row>
    <row r="8" spans="1:7" ht="12.75">
      <c r="A8" s="86" t="s">
        <v>719</v>
      </c>
      <c r="B8" s="86" t="s">
        <v>2</v>
      </c>
      <c r="C8" s="87" t="s">
        <v>66</v>
      </c>
      <c r="D8" s="87" t="s">
        <v>36</v>
      </c>
      <c r="E8" s="88">
        <f>SUM(E9:E14)</f>
        <v>157042.7</v>
      </c>
      <c r="F8" s="88">
        <f>SUM(F9:F14)</f>
        <v>159074.2</v>
      </c>
      <c r="G8" s="85">
        <f aca="true" t="shared" si="0" ref="G8:G49">F8-E8</f>
        <v>2031.5</v>
      </c>
    </row>
    <row r="9" spans="1:7" ht="26.25" customHeight="1">
      <c r="A9" s="89" t="s">
        <v>720</v>
      </c>
      <c r="B9" s="7" t="s">
        <v>15</v>
      </c>
      <c r="C9" s="90" t="s">
        <v>66</v>
      </c>
      <c r="D9" s="90" t="s">
        <v>67</v>
      </c>
      <c r="E9" s="91">
        <v>3933.2</v>
      </c>
      <c r="F9" s="91">
        <f>'пр.2 по разд'!D9</f>
        <v>4452.2</v>
      </c>
      <c r="G9" s="92">
        <f t="shared" si="0"/>
        <v>519</v>
      </c>
    </row>
    <row r="10" spans="1:7" ht="39" customHeight="1">
      <c r="A10" s="89" t="s">
        <v>721</v>
      </c>
      <c r="B10" s="7" t="s">
        <v>20</v>
      </c>
      <c r="C10" s="90" t="s">
        <v>66</v>
      </c>
      <c r="D10" s="90" t="s">
        <v>70</v>
      </c>
      <c r="E10" s="91">
        <v>5124.6</v>
      </c>
      <c r="F10" s="91">
        <f>'пр.2 по разд'!D10</f>
        <v>4940.6</v>
      </c>
      <c r="G10" s="92">
        <f t="shared" si="0"/>
        <v>-184</v>
      </c>
    </row>
    <row r="11" spans="1:7" ht="42" customHeight="1">
      <c r="A11" s="89" t="s">
        <v>722</v>
      </c>
      <c r="B11" s="7" t="s">
        <v>723</v>
      </c>
      <c r="C11" s="90" t="s">
        <v>66</v>
      </c>
      <c r="D11" s="90" t="s">
        <v>68</v>
      </c>
      <c r="E11" s="91">
        <v>84414.5</v>
      </c>
      <c r="F11" s="91">
        <f>'пр.2 по разд'!D11</f>
        <v>86825.4</v>
      </c>
      <c r="G11" s="92">
        <f t="shared" si="0"/>
        <v>2410.899999999994</v>
      </c>
    </row>
    <row r="12" spans="1:7" ht="30" customHeight="1">
      <c r="A12" s="90" t="s">
        <v>724</v>
      </c>
      <c r="B12" s="8" t="s">
        <v>79</v>
      </c>
      <c r="C12" s="90" t="s">
        <v>66</v>
      </c>
      <c r="D12" s="90" t="s">
        <v>76</v>
      </c>
      <c r="E12" s="91">
        <v>20562</v>
      </c>
      <c r="F12" s="91">
        <f>'пр.2 по разд'!D12</f>
        <v>19401.800000000003</v>
      </c>
      <c r="G12" s="92">
        <f t="shared" si="0"/>
        <v>-1160.199999999997</v>
      </c>
    </row>
    <row r="13" spans="1:7" ht="18" customHeight="1">
      <c r="A13" s="89" t="s">
        <v>725</v>
      </c>
      <c r="B13" s="7" t="s">
        <v>3</v>
      </c>
      <c r="C13" s="34" t="s">
        <v>66</v>
      </c>
      <c r="D13" s="34" t="s">
        <v>74</v>
      </c>
      <c r="E13" s="91">
        <v>1000</v>
      </c>
      <c r="F13" s="91">
        <f>'пр.2 по разд'!D13</f>
        <v>1000</v>
      </c>
      <c r="G13" s="92">
        <f t="shared" si="0"/>
        <v>0</v>
      </c>
    </row>
    <row r="14" spans="1:7" ht="15.75" customHeight="1">
      <c r="A14" s="89" t="s">
        <v>726</v>
      </c>
      <c r="B14" s="7" t="s">
        <v>63</v>
      </c>
      <c r="C14" s="34" t="s">
        <v>66</v>
      </c>
      <c r="D14" s="34" t="s">
        <v>87</v>
      </c>
      <c r="E14" s="91">
        <v>42008.4</v>
      </c>
      <c r="F14" s="91">
        <f>'пр.2 по разд'!D14</f>
        <v>42454.2</v>
      </c>
      <c r="G14" s="92">
        <f t="shared" si="0"/>
        <v>445.79999999999563</v>
      </c>
    </row>
    <row r="15" spans="1:7" ht="12.75" customHeight="1">
      <c r="A15" s="83" t="s">
        <v>727</v>
      </c>
      <c r="B15" s="15" t="s">
        <v>272</v>
      </c>
      <c r="C15" s="35" t="s">
        <v>67</v>
      </c>
      <c r="D15" s="35" t="s">
        <v>36</v>
      </c>
      <c r="E15" s="88">
        <f>E16</f>
        <v>375.5</v>
      </c>
      <c r="F15" s="88">
        <f>F16</f>
        <v>375.5</v>
      </c>
      <c r="G15" s="85">
        <f t="shared" si="0"/>
        <v>0</v>
      </c>
    </row>
    <row r="16" spans="1:7" ht="17.25" customHeight="1">
      <c r="A16" s="89" t="s">
        <v>728</v>
      </c>
      <c r="B16" s="16" t="s">
        <v>269</v>
      </c>
      <c r="C16" s="34" t="s">
        <v>67</v>
      </c>
      <c r="D16" s="34" t="s">
        <v>70</v>
      </c>
      <c r="E16" s="91">
        <v>375.5</v>
      </c>
      <c r="F16" s="91">
        <f>'[1]пр.2 по разд'!D16</f>
        <v>375.5</v>
      </c>
      <c r="G16" s="85">
        <f t="shared" si="0"/>
        <v>0</v>
      </c>
    </row>
    <row r="17" spans="1:7" ht="23.25" customHeight="1">
      <c r="A17" s="83" t="s">
        <v>729</v>
      </c>
      <c r="B17" s="9" t="s">
        <v>4</v>
      </c>
      <c r="C17" s="35" t="s">
        <v>70</v>
      </c>
      <c r="D17" s="87" t="s">
        <v>36</v>
      </c>
      <c r="E17" s="88">
        <f>E18</f>
        <v>3867.4</v>
      </c>
      <c r="F17" s="88">
        <f>F18</f>
        <v>3776.9</v>
      </c>
      <c r="G17" s="85">
        <f t="shared" si="0"/>
        <v>-90.5</v>
      </c>
    </row>
    <row r="18" spans="1:7" ht="31.5" customHeight="1">
      <c r="A18" s="89" t="s">
        <v>730</v>
      </c>
      <c r="B18" s="8" t="s">
        <v>731</v>
      </c>
      <c r="C18" s="34" t="s">
        <v>70</v>
      </c>
      <c r="D18" s="34" t="s">
        <v>75</v>
      </c>
      <c r="E18" s="91">
        <v>3867.4</v>
      </c>
      <c r="F18" s="91">
        <f>'пр.2 по разд'!D18</f>
        <v>3776.9</v>
      </c>
      <c r="G18" s="92">
        <f t="shared" si="0"/>
        <v>-90.5</v>
      </c>
    </row>
    <row r="19" spans="1:7" ht="14.25" customHeight="1">
      <c r="A19" s="83" t="s">
        <v>732</v>
      </c>
      <c r="B19" s="9" t="s">
        <v>5</v>
      </c>
      <c r="C19" s="35" t="s">
        <v>68</v>
      </c>
      <c r="D19" s="35" t="s">
        <v>36</v>
      </c>
      <c r="E19" s="88">
        <f>SUM(E20:E23)</f>
        <v>21116.4</v>
      </c>
      <c r="F19" s="88">
        <f>SUM(F20:F23)</f>
        <v>21916.4</v>
      </c>
      <c r="G19" s="85">
        <f t="shared" si="0"/>
        <v>800</v>
      </c>
    </row>
    <row r="20" spans="1:7" ht="12.75">
      <c r="A20" s="89" t="s">
        <v>733</v>
      </c>
      <c r="B20" s="16" t="s">
        <v>567</v>
      </c>
      <c r="C20" s="34" t="s">
        <v>68</v>
      </c>
      <c r="D20" s="34" t="s">
        <v>76</v>
      </c>
      <c r="E20" s="91">
        <v>6807.8</v>
      </c>
      <c r="F20" s="91">
        <f>'пр.2 по разд'!D20</f>
        <v>6807.8</v>
      </c>
      <c r="G20" s="92">
        <f t="shared" si="0"/>
        <v>0</v>
      </c>
    </row>
    <row r="21" spans="1:7" ht="12.75">
      <c r="A21" s="89" t="s">
        <v>734</v>
      </c>
      <c r="B21" s="7" t="s">
        <v>6</v>
      </c>
      <c r="C21" s="34" t="s">
        <v>68</v>
      </c>
      <c r="D21" s="34" t="s">
        <v>73</v>
      </c>
      <c r="E21" s="91">
        <v>5800</v>
      </c>
      <c r="F21" s="91">
        <f>'пр.2 по разд'!D21</f>
        <v>6600</v>
      </c>
      <c r="G21" s="92">
        <f t="shared" si="0"/>
        <v>800</v>
      </c>
    </row>
    <row r="22" spans="1:8" ht="18" customHeight="1">
      <c r="A22" s="89" t="s">
        <v>735</v>
      </c>
      <c r="B22" s="7" t="s">
        <v>82</v>
      </c>
      <c r="C22" s="34" t="s">
        <v>68</v>
      </c>
      <c r="D22" s="34" t="s">
        <v>75</v>
      </c>
      <c r="E22" s="91">
        <v>7426.2</v>
      </c>
      <c r="F22" s="91">
        <f>'пр.2 по разд'!D22</f>
        <v>7426.200000000001</v>
      </c>
      <c r="G22" s="177">
        <f t="shared" si="0"/>
        <v>0</v>
      </c>
      <c r="H22" s="139"/>
    </row>
    <row r="23" spans="1:8" ht="18" customHeight="1">
      <c r="A23" s="89" t="s">
        <v>736</v>
      </c>
      <c r="B23" s="7" t="s">
        <v>7</v>
      </c>
      <c r="C23" s="34" t="s">
        <v>68</v>
      </c>
      <c r="D23" s="34" t="s">
        <v>78</v>
      </c>
      <c r="E23" s="91">
        <v>1082.4</v>
      </c>
      <c r="F23" s="91">
        <f>'пр.2 по разд'!D23</f>
        <v>1082.4</v>
      </c>
      <c r="G23" s="177">
        <f t="shared" si="0"/>
        <v>0</v>
      </c>
      <c r="H23" s="139"/>
    </row>
    <row r="24" spans="1:8" ht="17.25" customHeight="1">
      <c r="A24" s="89" t="s">
        <v>737</v>
      </c>
      <c r="B24" s="14" t="s">
        <v>151</v>
      </c>
      <c r="C24" s="35" t="s">
        <v>72</v>
      </c>
      <c r="D24" s="35" t="s">
        <v>36</v>
      </c>
      <c r="E24" s="88">
        <f>E25+E26+E27</f>
        <v>76751.3</v>
      </c>
      <c r="F24" s="88">
        <f>F25+F26+F27</f>
        <v>76747.5</v>
      </c>
      <c r="G24" s="167">
        <f t="shared" si="0"/>
        <v>-3.8000000000029104</v>
      </c>
      <c r="H24" s="139"/>
    </row>
    <row r="25" spans="1:8" ht="16.5" customHeight="1">
      <c r="A25" s="89" t="s">
        <v>720</v>
      </c>
      <c r="B25" s="7" t="s">
        <v>150</v>
      </c>
      <c r="C25" s="34" t="s">
        <v>72</v>
      </c>
      <c r="D25" s="34" t="s">
        <v>66</v>
      </c>
      <c r="E25" s="91">
        <v>13025.4</v>
      </c>
      <c r="F25" s="91">
        <f>'пр.2 по разд'!D25</f>
        <v>13331.4</v>
      </c>
      <c r="G25" s="177">
        <f t="shared" si="0"/>
        <v>306</v>
      </c>
      <c r="H25" s="139"/>
    </row>
    <row r="26" spans="1:8" ht="12.75" customHeight="1">
      <c r="A26" s="89" t="s">
        <v>738</v>
      </c>
      <c r="B26" s="16" t="s">
        <v>208</v>
      </c>
      <c r="C26" s="44" t="s">
        <v>72</v>
      </c>
      <c r="D26" s="44" t="s">
        <v>67</v>
      </c>
      <c r="E26" s="91">
        <v>49320.9</v>
      </c>
      <c r="F26" s="91">
        <f>'пр.2 по разд'!D26</f>
        <v>49721.4</v>
      </c>
      <c r="G26" s="177">
        <f t="shared" si="0"/>
        <v>400.5</v>
      </c>
      <c r="H26" s="139"/>
    </row>
    <row r="27" spans="1:8" ht="12.75">
      <c r="A27" s="89" t="s">
        <v>739</v>
      </c>
      <c r="B27" s="16" t="s">
        <v>210</v>
      </c>
      <c r="C27" s="44" t="s">
        <v>72</v>
      </c>
      <c r="D27" s="44" t="s">
        <v>70</v>
      </c>
      <c r="E27" s="91">
        <v>14405</v>
      </c>
      <c r="F27" s="91">
        <f>'пр.2 по разд'!D27</f>
        <v>13694.699999999999</v>
      </c>
      <c r="G27" s="177">
        <f t="shared" si="0"/>
        <v>-710.3000000000011</v>
      </c>
      <c r="H27" s="139"/>
    </row>
    <row r="28" spans="1:8" ht="14.25" customHeight="1">
      <c r="A28" s="83" t="s">
        <v>740</v>
      </c>
      <c r="B28" s="15" t="s">
        <v>662</v>
      </c>
      <c r="C28" s="47" t="s">
        <v>76</v>
      </c>
      <c r="D28" s="47" t="s">
        <v>36</v>
      </c>
      <c r="E28" s="88">
        <f>E29</f>
        <v>2982</v>
      </c>
      <c r="F28" s="88">
        <f>F29</f>
        <v>2650</v>
      </c>
      <c r="G28" s="167">
        <f t="shared" si="0"/>
        <v>-332</v>
      </c>
      <c r="H28" s="139"/>
    </row>
    <row r="29" spans="1:8" ht="16.5" customHeight="1">
      <c r="A29" s="89" t="s">
        <v>741</v>
      </c>
      <c r="B29" s="16" t="s">
        <v>483</v>
      </c>
      <c r="C29" s="44" t="s">
        <v>76</v>
      </c>
      <c r="D29" s="44" t="s">
        <v>72</v>
      </c>
      <c r="E29" s="91">
        <v>2982</v>
      </c>
      <c r="F29" s="91">
        <f>'пр.2 по разд'!D29</f>
        <v>2650</v>
      </c>
      <c r="G29" s="177">
        <f t="shared" si="0"/>
        <v>-332</v>
      </c>
      <c r="H29" s="139"/>
    </row>
    <row r="30" spans="1:8" ht="12.75">
      <c r="A30" s="83" t="s">
        <v>742</v>
      </c>
      <c r="B30" s="9" t="s">
        <v>8</v>
      </c>
      <c r="C30" s="35" t="s">
        <v>69</v>
      </c>
      <c r="D30" s="35" t="s">
        <v>36</v>
      </c>
      <c r="E30" s="88">
        <f>SUM(E31:E35)</f>
        <v>343030.89999999997</v>
      </c>
      <c r="F30" s="88">
        <f>SUM(F31:F35)</f>
        <v>349687.5</v>
      </c>
      <c r="G30" s="167">
        <f t="shared" si="0"/>
        <v>6656.600000000035</v>
      </c>
      <c r="H30" s="139"/>
    </row>
    <row r="31" spans="1:8" ht="16.5" customHeight="1">
      <c r="A31" s="89" t="s">
        <v>743</v>
      </c>
      <c r="B31" s="7" t="s">
        <v>9</v>
      </c>
      <c r="C31" s="34" t="s">
        <v>69</v>
      </c>
      <c r="D31" s="34" t="s">
        <v>66</v>
      </c>
      <c r="E31" s="91">
        <v>75409.4</v>
      </c>
      <c r="F31" s="91">
        <f>'пр.2 по разд'!D31</f>
        <v>78054.00000000001</v>
      </c>
      <c r="G31" s="177">
        <f t="shared" si="0"/>
        <v>2644.6000000000204</v>
      </c>
      <c r="H31" s="139"/>
    </row>
    <row r="32" spans="1:8" ht="18" customHeight="1">
      <c r="A32" s="89" t="s">
        <v>744</v>
      </c>
      <c r="B32" s="7" t="s">
        <v>10</v>
      </c>
      <c r="C32" s="34" t="s">
        <v>69</v>
      </c>
      <c r="D32" s="34" t="s">
        <v>67</v>
      </c>
      <c r="E32" s="91">
        <v>165893.8</v>
      </c>
      <c r="F32" s="91">
        <f>'пр.2 по разд'!D32</f>
        <v>166074.6</v>
      </c>
      <c r="G32" s="177">
        <f t="shared" si="0"/>
        <v>180.80000000001746</v>
      </c>
      <c r="H32" s="139"/>
    </row>
    <row r="33" spans="1:8" ht="18" customHeight="1">
      <c r="A33" s="89" t="s">
        <v>745</v>
      </c>
      <c r="B33" s="7" t="s">
        <v>530</v>
      </c>
      <c r="C33" s="34" t="s">
        <v>69</v>
      </c>
      <c r="D33" s="34" t="s">
        <v>70</v>
      </c>
      <c r="E33" s="91">
        <v>55367.9</v>
      </c>
      <c r="F33" s="91">
        <f>'пр.2 по разд'!D33</f>
        <v>56077.700000000004</v>
      </c>
      <c r="G33" s="177">
        <f t="shared" si="0"/>
        <v>709.8000000000029</v>
      </c>
      <c r="H33" s="139"/>
    </row>
    <row r="34" spans="1:8" ht="18" customHeight="1">
      <c r="A34" s="89" t="s">
        <v>746</v>
      </c>
      <c r="B34" s="7" t="s">
        <v>613</v>
      </c>
      <c r="C34" s="34" t="s">
        <v>69</v>
      </c>
      <c r="D34" s="34" t="s">
        <v>69</v>
      </c>
      <c r="E34" s="91">
        <v>8221.5</v>
      </c>
      <c r="F34" s="91">
        <f>'пр.2 по разд'!D34</f>
        <v>9012.6</v>
      </c>
      <c r="G34" s="177">
        <f t="shared" si="0"/>
        <v>791.1000000000004</v>
      </c>
      <c r="H34" s="139"/>
    </row>
    <row r="35" spans="1:8" ht="18" customHeight="1">
      <c r="A35" s="89" t="s">
        <v>747</v>
      </c>
      <c r="B35" s="7" t="s">
        <v>11</v>
      </c>
      <c r="C35" s="34" t="s">
        <v>69</v>
      </c>
      <c r="D35" s="34" t="s">
        <v>75</v>
      </c>
      <c r="E35" s="91">
        <v>38138.3</v>
      </c>
      <c r="F35" s="91">
        <f>'пр.2 по разд'!D35</f>
        <v>40468.6</v>
      </c>
      <c r="G35" s="177">
        <f t="shared" si="0"/>
        <v>2330.2999999999956</v>
      </c>
      <c r="H35" s="139"/>
    </row>
    <row r="36" spans="1:8" ht="15" customHeight="1">
      <c r="A36" s="83" t="s">
        <v>748</v>
      </c>
      <c r="B36" s="9" t="s">
        <v>749</v>
      </c>
      <c r="C36" s="35" t="s">
        <v>73</v>
      </c>
      <c r="D36" s="87" t="s">
        <v>36</v>
      </c>
      <c r="E36" s="88">
        <f>E37+E38</f>
        <v>48995.5</v>
      </c>
      <c r="F36" s="88">
        <f>SUM(F37:F38)</f>
        <v>52385.9</v>
      </c>
      <c r="G36" s="167">
        <f t="shared" si="0"/>
        <v>3390.4000000000015</v>
      </c>
      <c r="H36" s="139"/>
    </row>
    <row r="37" spans="1:8" ht="12.75">
      <c r="A37" s="90" t="s">
        <v>750</v>
      </c>
      <c r="B37" s="7" t="s">
        <v>12</v>
      </c>
      <c r="C37" s="34" t="s">
        <v>73</v>
      </c>
      <c r="D37" s="34" t="s">
        <v>66</v>
      </c>
      <c r="E37" s="91">
        <v>36972.9</v>
      </c>
      <c r="F37" s="91">
        <f>'пр.2 по разд'!D37</f>
        <v>39547.9</v>
      </c>
      <c r="G37" s="177">
        <f t="shared" si="0"/>
        <v>2575</v>
      </c>
      <c r="H37" s="139"/>
    </row>
    <row r="38" spans="1:8" ht="20.25" customHeight="1">
      <c r="A38" s="89" t="s">
        <v>751</v>
      </c>
      <c r="B38" s="7" t="s">
        <v>752</v>
      </c>
      <c r="C38" s="34" t="s">
        <v>73</v>
      </c>
      <c r="D38" s="34" t="s">
        <v>68</v>
      </c>
      <c r="E38" s="91">
        <v>12022.6</v>
      </c>
      <c r="F38" s="91">
        <f>'пр.2 по разд'!D38</f>
        <v>12838</v>
      </c>
      <c r="G38" s="177">
        <f t="shared" si="0"/>
        <v>815.3999999999996</v>
      </c>
      <c r="H38" s="139"/>
    </row>
    <row r="39" spans="1:8" ht="16.5" customHeight="1">
      <c r="A39" s="83" t="s">
        <v>753</v>
      </c>
      <c r="B39" s="9" t="s">
        <v>62</v>
      </c>
      <c r="C39" s="35" t="s">
        <v>71</v>
      </c>
      <c r="D39" s="35" t="s">
        <v>36</v>
      </c>
      <c r="E39" s="88">
        <f>SUM(E40:E43)</f>
        <v>9406</v>
      </c>
      <c r="F39" s="88">
        <f>SUM(F40:F43)</f>
        <v>9124.470000000001</v>
      </c>
      <c r="G39" s="167">
        <f t="shared" si="0"/>
        <v>-281.52999999999884</v>
      </c>
      <c r="H39" s="139"/>
    </row>
    <row r="40" spans="1:8" ht="14.25" customHeight="1">
      <c r="A40" s="90" t="s">
        <v>754</v>
      </c>
      <c r="B40" s="7" t="s">
        <v>58</v>
      </c>
      <c r="C40" s="34" t="s">
        <v>71</v>
      </c>
      <c r="D40" s="34" t="s">
        <v>66</v>
      </c>
      <c r="E40" s="91">
        <v>3500</v>
      </c>
      <c r="F40" s="91">
        <f>'пр.2 по разд'!D40</f>
        <v>3569</v>
      </c>
      <c r="G40" s="177">
        <f t="shared" si="0"/>
        <v>69</v>
      </c>
      <c r="H40" s="139"/>
    </row>
    <row r="41" spans="1:8" ht="19.5" customHeight="1">
      <c r="A41" s="89" t="s">
        <v>755</v>
      </c>
      <c r="B41" s="10" t="s">
        <v>61</v>
      </c>
      <c r="C41" s="34" t="s">
        <v>71</v>
      </c>
      <c r="D41" s="34" t="s">
        <v>70</v>
      </c>
      <c r="E41" s="91">
        <v>1951.5</v>
      </c>
      <c r="F41" s="91">
        <f>'пр.2 по разд'!D41</f>
        <v>2031.5</v>
      </c>
      <c r="G41" s="177">
        <f t="shared" si="0"/>
        <v>80</v>
      </c>
      <c r="H41" s="139"/>
    </row>
    <row r="42" spans="1:8" ht="15" customHeight="1">
      <c r="A42" s="89" t="s">
        <v>756</v>
      </c>
      <c r="B42" s="16" t="s">
        <v>491</v>
      </c>
      <c r="C42" s="34" t="s">
        <v>71</v>
      </c>
      <c r="D42" s="34" t="s">
        <v>68</v>
      </c>
      <c r="E42" s="91">
        <v>613.7</v>
      </c>
      <c r="F42" s="91">
        <f>'пр.2 по разд'!D42</f>
        <v>454.00000000000006</v>
      </c>
      <c r="G42" s="177">
        <f t="shared" si="0"/>
        <v>-159.7</v>
      </c>
      <c r="H42" s="139"/>
    </row>
    <row r="43" spans="1:8" ht="12.75">
      <c r="A43" s="89" t="s">
        <v>757</v>
      </c>
      <c r="B43" s="37" t="s">
        <v>152</v>
      </c>
      <c r="C43" s="34" t="s">
        <v>71</v>
      </c>
      <c r="D43" s="34" t="s">
        <v>76</v>
      </c>
      <c r="E43" s="91">
        <v>3340.8</v>
      </c>
      <c r="F43" s="91">
        <f>'пр.2 по разд'!D43</f>
        <v>3069.9700000000003</v>
      </c>
      <c r="G43" s="177">
        <f t="shared" si="0"/>
        <v>-270.8299999999999</v>
      </c>
      <c r="H43" s="139"/>
    </row>
    <row r="44" spans="1:8" ht="16.5" customHeight="1">
      <c r="A44" s="83" t="s">
        <v>758</v>
      </c>
      <c r="B44" s="15" t="s">
        <v>83</v>
      </c>
      <c r="C44" s="35" t="s">
        <v>74</v>
      </c>
      <c r="D44" s="35" t="s">
        <v>36</v>
      </c>
      <c r="E44" s="88">
        <f>E45</f>
        <v>25243.8</v>
      </c>
      <c r="F44" s="88">
        <f>F45</f>
        <v>19123.6</v>
      </c>
      <c r="G44" s="167">
        <f t="shared" si="0"/>
        <v>-6120.200000000001</v>
      </c>
      <c r="H44" s="139"/>
    </row>
    <row r="45" spans="1:8" ht="15" customHeight="1">
      <c r="A45" s="89" t="s">
        <v>759</v>
      </c>
      <c r="B45" s="16" t="s">
        <v>84</v>
      </c>
      <c r="C45" s="34" t="s">
        <v>74</v>
      </c>
      <c r="D45" s="34" t="s">
        <v>66</v>
      </c>
      <c r="E45" s="91">
        <v>25243.8</v>
      </c>
      <c r="F45" s="91">
        <f>'пр.2 по разд'!D45</f>
        <v>19123.6</v>
      </c>
      <c r="G45" s="177">
        <f t="shared" si="0"/>
        <v>-6120.200000000001</v>
      </c>
      <c r="H45" s="139"/>
    </row>
    <row r="46" spans="1:8" ht="16.5" customHeight="1">
      <c r="A46" s="83" t="s">
        <v>760</v>
      </c>
      <c r="B46" s="15" t="s">
        <v>85</v>
      </c>
      <c r="C46" s="35" t="s">
        <v>78</v>
      </c>
      <c r="D46" s="35" t="s">
        <v>36</v>
      </c>
      <c r="E46" s="88">
        <f>E47</f>
        <v>5617</v>
      </c>
      <c r="F46" s="88">
        <f>F47</f>
        <v>5617</v>
      </c>
      <c r="G46" s="167">
        <f t="shared" si="0"/>
        <v>0</v>
      </c>
      <c r="H46" s="139"/>
    </row>
    <row r="47" spans="1:7" ht="15.75" customHeight="1">
      <c r="A47" s="89" t="s">
        <v>761</v>
      </c>
      <c r="B47" s="16" t="s">
        <v>13</v>
      </c>
      <c r="C47" s="34" t="s">
        <v>78</v>
      </c>
      <c r="D47" s="34" t="s">
        <v>67</v>
      </c>
      <c r="E47" s="91">
        <v>5617</v>
      </c>
      <c r="F47" s="91">
        <f>'пр.2 по разд'!D47</f>
        <v>5617</v>
      </c>
      <c r="G47" s="92">
        <f t="shared" si="0"/>
        <v>0</v>
      </c>
    </row>
    <row r="48" spans="1:7" ht="15" customHeight="1">
      <c r="A48" s="89" t="s">
        <v>762</v>
      </c>
      <c r="B48" s="15" t="s">
        <v>88</v>
      </c>
      <c r="C48" s="35" t="s">
        <v>87</v>
      </c>
      <c r="D48" s="35" t="s">
        <v>36</v>
      </c>
      <c r="E48" s="88">
        <f>E49</f>
        <v>36</v>
      </c>
      <c r="F48" s="88">
        <f>F49</f>
        <v>39.4</v>
      </c>
      <c r="G48" s="85">
        <f t="shared" si="0"/>
        <v>3.3999999999999986</v>
      </c>
    </row>
    <row r="49" spans="1:7" ht="17.25" customHeight="1">
      <c r="A49" s="89" t="s">
        <v>763</v>
      </c>
      <c r="B49" s="16" t="s">
        <v>91</v>
      </c>
      <c r="C49" s="34" t="s">
        <v>87</v>
      </c>
      <c r="D49" s="34" t="s">
        <v>66</v>
      </c>
      <c r="E49" s="91">
        <v>36</v>
      </c>
      <c r="F49" s="91">
        <f>'пр.2 по разд'!D49</f>
        <v>39.4</v>
      </c>
      <c r="G49" s="92">
        <f t="shared" si="0"/>
        <v>3.3999999999999986</v>
      </c>
    </row>
  </sheetData>
  <sheetProtection/>
  <mergeCells count="3">
    <mergeCell ref="B1:G1"/>
    <mergeCell ref="B2:G2"/>
    <mergeCell ref="A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394"/>
  <sheetViews>
    <sheetView zoomScalePageLayoutView="0" workbookViewId="0" topLeftCell="A1">
      <selection activeCell="A1" sqref="A1:F1274"/>
    </sheetView>
  </sheetViews>
  <sheetFormatPr defaultColWidth="9.00390625" defaultRowHeight="12.75"/>
  <cols>
    <col min="1" max="1" width="86.875" style="127" customWidth="1"/>
    <col min="2" max="2" width="4.375" style="140" customWidth="1"/>
    <col min="3" max="3" width="4.75390625" style="140" customWidth="1"/>
    <col min="4" max="4" width="14.00390625" style="140" customWidth="1"/>
    <col min="5" max="5" width="4.375" style="140" customWidth="1"/>
    <col min="6" max="6" width="9.625" style="140" customWidth="1"/>
    <col min="7" max="13" width="1.12109375" style="11" customWidth="1"/>
    <col min="14" max="14" width="43.125" style="102" customWidth="1"/>
    <col min="15" max="18" width="9.125" style="102" customWidth="1"/>
    <col min="19" max="16384" width="9.125" style="11" customWidth="1"/>
  </cols>
  <sheetData>
    <row r="1" spans="1:6" ht="12.75">
      <c r="A1" s="236" t="s">
        <v>812</v>
      </c>
      <c r="B1" s="237"/>
      <c r="C1" s="237"/>
      <c r="D1" s="237"/>
      <c r="E1" s="237"/>
      <c r="F1" s="237"/>
    </row>
    <row r="2" spans="1:7" ht="14.25" customHeight="1">
      <c r="A2" s="238" t="str">
        <f>'пр.2 по разд'!A2:D2</f>
        <v>к  решению Собрания представителей Сусуманского городского округа</v>
      </c>
      <c r="B2" s="238"/>
      <c r="C2" s="238"/>
      <c r="D2" s="238"/>
      <c r="E2" s="238"/>
      <c r="F2" s="238"/>
      <c r="G2" s="29"/>
    </row>
    <row r="3" spans="1:7" ht="14.25" customHeight="1">
      <c r="A3" s="238" t="str">
        <f>'пр.2 по разд'!A3:D3</f>
        <v>от     26.12.2017 г.   № 215   </v>
      </c>
      <c r="B3" s="238"/>
      <c r="C3" s="238"/>
      <c r="D3" s="238"/>
      <c r="E3" s="238"/>
      <c r="F3" s="238"/>
      <c r="G3" s="29"/>
    </row>
    <row r="4" spans="1:7" ht="43.5" customHeight="1">
      <c r="A4" s="239" t="s">
        <v>666</v>
      </c>
      <c r="B4" s="239"/>
      <c r="C4" s="239"/>
      <c r="D4" s="239"/>
      <c r="E4" s="239"/>
      <c r="F4" s="239"/>
      <c r="G4" s="31"/>
    </row>
    <row r="5" spans="5:17" ht="12.75">
      <c r="E5" s="140" t="s">
        <v>1</v>
      </c>
      <c r="N5" s="103"/>
      <c r="O5" s="103"/>
      <c r="P5" s="103"/>
      <c r="Q5" s="103"/>
    </row>
    <row r="6" spans="1:17" ht="12.75">
      <c r="A6" s="150" t="s">
        <v>32</v>
      </c>
      <c r="B6" s="141" t="s">
        <v>46</v>
      </c>
      <c r="C6" s="141" t="s">
        <v>45</v>
      </c>
      <c r="D6" s="141" t="s">
        <v>47</v>
      </c>
      <c r="E6" s="141" t="s">
        <v>48</v>
      </c>
      <c r="F6" s="76" t="s">
        <v>849</v>
      </c>
      <c r="N6" s="103"/>
      <c r="O6" s="103"/>
      <c r="P6" s="108"/>
      <c r="Q6" s="108"/>
    </row>
    <row r="7" spans="1:17" ht="12.75">
      <c r="A7" s="150">
        <v>1</v>
      </c>
      <c r="B7" s="141">
        <v>2</v>
      </c>
      <c r="C7" s="141">
        <v>3</v>
      </c>
      <c r="D7" s="141">
        <v>4</v>
      </c>
      <c r="E7" s="141">
        <v>5</v>
      </c>
      <c r="F7" s="141">
        <v>6</v>
      </c>
      <c r="N7" s="103"/>
      <c r="O7" s="103"/>
      <c r="P7" s="108"/>
      <c r="Q7" s="108"/>
    </row>
    <row r="8" spans="1:17" ht="15.75" customHeight="1">
      <c r="A8" s="61" t="s">
        <v>2</v>
      </c>
      <c r="B8" s="63" t="s">
        <v>66</v>
      </c>
      <c r="C8" s="63" t="s">
        <v>36</v>
      </c>
      <c r="D8" s="59"/>
      <c r="E8" s="59"/>
      <c r="F8" s="64">
        <f>F9+F17+F47+F78+F117+F112</f>
        <v>159074.2</v>
      </c>
      <c r="N8" s="103"/>
      <c r="O8" s="103"/>
      <c r="P8" s="108"/>
      <c r="Q8" s="108"/>
    </row>
    <row r="9" spans="1:17" ht="25.5">
      <c r="A9" s="152" t="s">
        <v>15</v>
      </c>
      <c r="B9" s="63" t="s">
        <v>66</v>
      </c>
      <c r="C9" s="63" t="s">
        <v>67</v>
      </c>
      <c r="D9" s="63"/>
      <c r="E9" s="63"/>
      <c r="F9" s="64">
        <f>F10</f>
        <v>4452.2</v>
      </c>
      <c r="N9" s="103"/>
      <c r="O9" s="103"/>
      <c r="P9" s="108"/>
      <c r="Q9" s="108"/>
    </row>
    <row r="10" spans="1:17" ht="25.5">
      <c r="A10" s="28" t="s">
        <v>416</v>
      </c>
      <c r="B10" s="59" t="s">
        <v>66</v>
      </c>
      <c r="C10" s="59" t="s">
        <v>67</v>
      </c>
      <c r="D10" s="59" t="s">
        <v>214</v>
      </c>
      <c r="E10" s="59"/>
      <c r="F10" s="58">
        <f>F11</f>
        <v>4452.2</v>
      </c>
      <c r="N10" s="103"/>
      <c r="O10" s="103"/>
      <c r="P10" s="108"/>
      <c r="Q10" s="108"/>
    </row>
    <row r="11" spans="1:18" s="30" customFormat="1" ht="12.75">
      <c r="A11" s="28" t="s">
        <v>16</v>
      </c>
      <c r="B11" s="59" t="s">
        <v>66</v>
      </c>
      <c r="C11" s="59" t="s">
        <v>67</v>
      </c>
      <c r="D11" s="59" t="s">
        <v>238</v>
      </c>
      <c r="E11" s="59"/>
      <c r="F11" s="58">
        <f>F12</f>
        <v>4452.2</v>
      </c>
      <c r="N11" s="103"/>
      <c r="O11" s="103"/>
      <c r="P11" s="108"/>
      <c r="Q11" s="108"/>
      <c r="R11" s="105"/>
    </row>
    <row r="12" spans="1:18" s="30" customFormat="1" ht="12.75">
      <c r="A12" s="28" t="s">
        <v>236</v>
      </c>
      <c r="B12" s="59" t="s">
        <v>66</v>
      </c>
      <c r="C12" s="59" t="s">
        <v>67</v>
      </c>
      <c r="D12" s="59" t="s">
        <v>239</v>
      </c>
      <c r="E12" s="59"/>
      <c r="F12" s="58">
        <f>F13</f>
        <v>4452.2</v>
      </c>
      <c r="N12" s="103"/>
      <c r="O12" s="103"/>
      <c r="P12" s="108"/>
      <c r="Q12" s="108"/>
      <c r="R12" s="105"/>
    </row>
    <row r="13" spans="1:17" ht="39" customHeight="1">
      <c r="A13" s="28" t="s">
        <v>102</v>
      </c>
      <c r="B13" s="59" t="s">
        <v>66</v>
      </c>
      <c r="C13" s="59" t="s">
        <v>67</v>
      </c>
      <c r="D13" s="59" t="s">
        <v>239</v>
      </c>
      <c r="E13" s="59" t="s">
        <v>103</v>
      </c>
      <c r="F13" s="58">
        <f>F14</f>
        <v>4452.2</v>
      </c>
      <c r="N13" s="103"/>
      <c r="O13" s="103"/>
      <c r="P13" s="108"/>
      <c r="Q13" s="108"/>
    </row>
    <row r="14" spans="1:17" ht="15.75" customHeight="1">
      <c r="A14" s="28" t="s">
        <v>93</v>
      </c>
      <c r="B14" s="59" t="s">
        <v>66</v>
      </c>
      <c r="C14" s="59" t="s">
        <v>67</v>
      </c>
      <c r="D14" s="59" t="s">
        <v>239</v>
      </c>
      <c r="E14" s="59" t="s">
        <v>94</v>
      </c>
      <c r="F14" s="58">
        <f>F15+F16</f>
        <v>4452.2</v>
      </c>
      <c r="N14" s="103"/>
      <c r="O14" s="103"/>
      <c r="P14" s="108"/>
      <c r="Q14" s="108"/>
    </row>
    <row r="15" spans="1:17" ht="12.75">
      <c r="A15" s="28" t="s">
        <v>158</v>
      </c>
      <c r="B15" s="59" t="s">
        <v>66</v>
      </c>
      <c r="C15" s="59" t="s">
        <v>67</v>
      </c>
      <c r="D15" s="59" t="s">
        <v>239</v>
      </c>
      <c r="E15" s="59" t="s">
        <v>95</v>
      </c>
      <c r="F15" s="58">
        <f>'пр.4 вед.стр.'!G16</f>
        <v>3751.1</v>
      </c>
      <c r="N15" s="103"/>
      <c r="O15" s="103"/>
      <c r="P15" s="108"/>
      <c r="Q15" s="108"/>
    </row>
    <row r="16" spans="1:17" ht="25.5">
      <c r="A16" s="28" t="s">
        <v>160</v>
      </c>
      <c r="B16" s="59" t="s">
        <v>66</v>
      </c>
      <c r="C16" s="59" t="s">
        <v>67</v>
      </c>
      <c r="D16" s="59" t="s">
        <v>239</v>
      </c>
      <c r="E16" s="59" t="s">
        <v>159</v>
      </c>
      <c r="F16" s="58">
        <f>'пр.4 вед.стр.'!G17</f>
        <v>701.1</v>
      </c>
      <c r="N16" s="103"/>
      <c r="O16" s="103"/>
      <c r="P16" s="108"/>
      <c r="Q16" s="108"/>
    </row>
    <row r="17" spans="1:17" ht="25.5">
      <c r="A17" s="152" t="s">
        <v>20</v>
      </c>
      <c r="B17" s="63" t="s">
        <v>66</v>
      </c>
      <c r="C17" s="63" t="s">
        <v>70</v>
      </c>
      <c r="D17" s="63"/>
      <c r="E17" s="63"/>
      <c r="F17" s="64">
        <f>F18+F24</f>
        <v>4940.6</v>
      </c>
      <c r="N17" s="103"/>
      <c r="O17" s="103"/>
      <c r="P17" s="108"/>
      <c r="Q17" s="108"/>
    </row>
    <row r="18" spans="1:17" ht="12.75">
      <c r="A18" s="28" t="s">
        <v>360</v>
      </c>
      <c r="B18" s="59" t="s">
        <v>66</v>
      </c>
      <c r="C18" s="59" t="s">
        <v>70</v>
      </c>
      <c r="D18" s="59" t="s">
        <v>215</v>
      </c>
      <c r="E18" s="59"/>
      <c r="F18" s="58">
        <f>F19</f>
        <v>185</v>
      </c>
      <c r="N18" s="103"/>
      <c r="O18" s="103"/>
      <c r="P18" s="108"/>
      <c r="Q18" s="108"/>
    </row>
    <row r="19" spans="1:17" ht="12.75">
      <c r="A19" s="28" t="s">
        <v>361</v>
      </c>
      <c r="B19" s="59" t="s">
        <v>66</v>
      </c>
      <c r="C19" s="59" t="s">
        <v>70</v>
      </c>
      <c r="D19" s="59" t="s">
        <v>358</v>
      </c>
      <c r="E19" s="59"/>
      <c r="F19" s="58">
        <f>F20</f>
        <v>185</v>
      </c>
      <c r="N19" s="103"/>
      <c r="O19" s="103"/>
      <c r="P19" s="108"/>
      <c r="Q19" s="108"/>
    </row>
    <row r="20" spans="1:17" ht="38.25">
      <c r="A20" s="28" t="s">
        <v>287</v>
      </c>
      <c r="B20" s="59" t="s">
        <v>66</v>
      </c>
      <c r="C20" s="59" t="s">
        <v>70</v>
      </c>
      <c r="D20" s="59" t="s">
        <v>359</v>
      </c>
      <c r="E20" s="59"/>
      <c r="F20" s="58">
        <f>F21</f>
        <v>185</v>
      </c>
      <c r="N20" s="103"/>
      <c r="O20" s="103"/>
      <c r="P20" s="108"/>
      <c r="Q20" s="108"/>
    </row>
    <row r="21" spans="1:17" ht="38.25">
      <c r="A21" s="28" t="s">
        <v>102</v>
      </c>
      <c r="B21" s="59" t="s">
        <v>66</v>
      </c>
      <c r="C21" s="59" t="s">
        <v>70</v>
      </c>
      <c r="D21" s="59" t="s">
        <v>359</v>
      </c>
      <c r="E21" s="59" t="s">
        <v>103</v>
      </c>
      <c r="F21" s="58">
        <f>F22</f>
        <v>185</v>
      </c>
      <c r="N21" s="103"/>
      <c r="O21" s="103"/>
      <c r="P21" s="108"/>
      <c r="Q21" s="108"/>
    </row>
    <row r="22" spans="1:17" ht="12.75">
      <c r="A22" s="28" t="s">
        <v>93</v>
      </c>
      <c r="B22" s="59" t="s">
        <v>66</v>
      </c>
      <c r="C22" s="59" t="s">
        <v>70</v>
      </c>
      <c r="D22" s="59" t="s">
        <v>359</v>
      </c>
      <c r="E22" s="59" t="s">
        <v>94</v>
      </c>
      <c r="F22" s="58">
        <f>F23</f>
        <v>185</v>
      </c>
      <c r="N22" s="103"/>
      <c r="O22" s="103"/>
      <c r="P22" s="108"/>
      <c r="Q22" s="108"/>
    </row>
    <row r="23" spans="1:17" ht="25.5">
      <c r="A23" s="28" t="s">
        <v>96</v>
      </c>
      <c r="B23" s="59" t="s">
        <v>66</v>
      </c>
      <c r="C23" s="59" t="s">
        <v>70</v>
      </c>
      <c r="D23" s="59" t="s">
        <v>359</v>
      </c>
      <c r="E23" s="59" t="s">
        <v>97</v>
      </c>
      <c r="F23" s="58">
        <f>'пр.4 вед.стр.'!G339</f>
        <v>185</v>
      </c>
      <c r="N23" s="103"/>
      <c r="O23" s="103"/>
      <c r="P23" s="108"/>
      <c r="Q23" s="108"/>
    </row>
    <row r="24" spans="1:17" ht="25.5">
      <c r="A24" s="28" t="s">
        <v>416</v>
      </c>
      <c r="B24" s="59" t="s">
        <v>66</v>
      </c>
      <c r="C24" s="59" t="s">
        <v>70</v>
      </c>
      <c r="D24" s="59" t="s">
        <v>214</v>
      </c>
      <c r="E24" s="59"/>
      <c r="F24" s="58">
        <f>F25+F41</f>
        <v>4755.6</v>
      </c>
      <c r="N24" s="103"/>
      <c r="O24" s="103"/>
      <c r="P24" s="108"/>
      <c r="Q24" s="108"/>
    </row>
    <row r="25" spans="1:17" ht="12.75">
      <c r="A25" s="28" t="s">
        <v>50</v>
      </c>
      <c r="B25" s="59" t="s">
        <v>66</v>
      </c>
      <c r="C25" s="59" t="s">
        <v>70</v>
      </c>
      <c r="D25" s="59" t="s">
        <v>240</v>
      </c>
      <c r="E25" s="59"/>
      <c r="F25" s="58">
        <f>F26+F32</f>
        <v>1302.6</v>
      </c>
      <c r="N25" s="103"/>
      <c r="O25" s="103"/>
      <c r="P25" s="108"/>
      <c r="Q25" s="108"/>
    </row>
    <row r="26" spans="1:17" ht="12.75">
      <c r="A26" s="28" t="s">
        <v>236</v>
      </c>
      <c r="B26" s="59" t="s">
        <v>66</v>
      </c>
      <c r="C26" s="59" t="s">
        <v>70</v>
      </c>
      <c r="D26" s="59" t="s">
        <v>241</v>
      </c>
      <c r="E26" s="59"/>
      <c r="F26" s="58">
        <f>F27</f>
        <v>964.6</v>
      </c>
      <c r="N26" s="103"/>
      <c r="O26" s="103"/>
      <c r="P26" s="108"/>
      <c r="Q26" s="108"/>
    </row>
    <row r="27" spans="1:17" ht="38.25">
      <c r="A27" s="28" t="s">
        <v>102</v>
      </c>
      <c r="B27" s="59" t="s">
        <v>66</v>
      </c>
      <c r="C27" s="59" t="s">
        <v>70</v>
      </c>
      <c r="D27" s="59" t="s">
        <v>241</v>
      </c>
      <c r="E27" s="59" t="s">
        <v>103</v>
      </c>
      <c r="F27" s="58">
        <f>F28</f>
        <v>964.6</v>
      </c>
      <c r="N27" s="103"/>
      <c r="O27" s="103"/>
      <c r="P27" s="108"/>
      <c r="Q27" s="108"/>
    </row>
    <row r="28" spans="1:17" ht="12.75">
      <c r="A28" s="28" t="s">
        <v>93</v>
      </c>
      <c r="B28" s="59" t="s">
        <v>66</v>
      </c>
      <c r="C28" s="59" t="s">
        <v>70</v>
      </c>
      <c r="D28" s="59" t="s">
        <v>241</v>
      </c>
      <c r="E28" s="59" t="s">
        <v>94</v>
      </c>
      <c r="F28" s="58">
        <f>F29+F30+F31</f>
        <v>964.6</v>
      </c>
      <c r="N28" s="103"/>
      <c r="O28" s="103"/>
      <c r="P28" s="108"/>
      <c r="Q28" s="108"/>
    </row>
    <row r="29" spans="1:17" ht="12.75">
      <c r="A29" s="28" t="s">
        <v>158</v>
      </c>
      <c r="B29" s="59" t="s">
        <v>66</v>
      </c>
      <c r="C29" s="59" t="s">
        <v>70</v>
      </c>
      <c r="D29" s="59" t="s">
        <v>241</v>
      </c>
      <c r="E29" s="59" t="s">
        <v>95</v>
      </c>
      <c r="F29" s="58">
        <f>'пр.4 вед.стр.'!G345</f>
        <v>736</v>
      </c>
      <c r="N29" s="103"/>
      <c r="O29" s="103"/>
      <c r="P29" s="108"/>
      <c r="Q29" s="108"/>
    </row>
    <row r="30" spans="1:17" ht="25.5">
      <c r="A30" s="28" t="s">
        <v>96</v>
      </c>
      <c r="B30" s="59" t="s">
        <v>66</v>
      </c>
      <c r="C30" s="59" t="s">
        <v>70</v>
      </c>
      <c r="D30" s="59" t="s">
        <v>241</v>
      </c>
      <c r="E30" s="59" t="s">
        <v>97</v>
      </c>
      <c r="F30" s="58">
        <f>'пр.4 вед.стр.'!G346</f>
        <v>10.5</v>
      </c>
      <c r="N30" s="103"/>
      <c r="O30" s="103"/>
      <c r="P30" s="108"/>
      <c r="Q30" s="108"/>
    </row>
    <row r="31" spans="1:17" ht="25.5">
      <c r="A31" s="28" t="s">
        <v>160</v>
      </c>
      <c r="B31" s="59" t="s">
        <v>66</v>
      </c>
      <c r="C31" s="59" t="s">
        <v>70</v>
      </c>
      <c r="D31" s="59" t="s">
        <v>241</v>
      </c>
      <c r="E31" s="59" t="s">
        <v>159</v>
      </c>
      <c r="F31" s="58">
        <f>'пр.4 вед.стр.'!G347</f>
        <v>218.1</v>
      </c>
      <c r="N31" s="103"/>
      <c r="O31" s="103"/>
      <c r="P31" s="108"/>
      <c r="Q31" s="108"/>
    </row>
    <row r="32" spans="1:17" ht="12.75">
      <c r="A32" s="28" t="s">
        <v>237</v>
      </c>
      <c r="B32" s="59" t="s">
        <v>66</v>
      </c>
      <c r="C32" s="59" t="s">
        <v>70</v>
      </c>
      <c r="D32" s="59" t="s">
        <v>242</v>
      </c>
      <c r="E32" s="59"/>
      <c r="F32" s="58">
        <f>F33+F36</f>
        <v>338</v>
      </c>
      <c r="N32" s="103"/>
      <c r="O32" s="103"/>
      <c r="P32" s="108"/>
      <c r="Q32" s="108"/>
    </row>
    <row r="33" spans="1:17" ht="12.75">
      <c r="A33" s="28" t="s">
        <v>610</v>
      </c>
      <c r="B33" s="59" t="s">
        <v>66</v>
      </c>
      <c r="C33" s="59" t="s">
        <v>70</v>
      </c>
      <c r="D33" s="59" t="s">
        <v>242</v>
      </c>
      <c r="E33" s="59" t="s">
        <v>104</v>
      </c>
      <c r="F33" s="58">
        <f>F34</f>
        <v>337</v>
      </c>
      <c r="N33" s="103"/>
      <c r="O33" s="103"/>
      <c r="P33" s="108"/>
      <c r="Q33" s="108"/>
    </row>
    <row r="34" spans="1:17" ht="14.25" customHeight="1">
      <c r="A34" s="28" t="s">
        <v>98</v>
      </c>
      <c r="B34" s="59" t="s">
        <v>66</v>
      </c>
      <c r="C34" s="59" t="s">
        <v>70</v>
      </c>
      <c r="D34" s="59" t="s">
        <v>242</v>
      </c>
      <c r="E34" s="59" t="s">
        <v>99</v>
      </c>
      <c r="F34" s="58">
        <f>F35</f>
        <v>337</v>
      </c>
      <c r="N34" s="103"/>
      <c r="O34" s="103"/>
      <c r="P34" s="108"/>
      <c r="Q34" s="108"/>
    </row>
    <row r="35" spans="1:17" ht="14.25" customHeight="1">
      <c r="A35" s="28" t="s">
        <v>100</v>
      </c>
      <c r="B35" s="59" t="s">
        <v>66</v>
      </c>
      <c r="C35" s="59" t="s">
        <v>70</v>
      </c>
      <c r="D35" s="59" t="s">
        <v>242</v>
      </c>
      <c r="E35" s="59" t="s">
        <v>101</v>
      </c>
      <c r="F35" s="58">
        <f>'пр.4 вед.стр.'!G351</f>
        <v>337</v>
      </c>
      <c r="N35" s="103"/>
      <c r="O35" s="103"/>
      <c r="P35" s="108"/>
      <c r="Q35" s="108"/>
    </row>
    <row r="36" spans="1:17" ht="12.75">
      <c r="A36" s="28" t="s">
        <v>128</v>
      </c>
      <c r="B36" s="59" t="s">
        <v>66</v>
      </c>
      <c r="C36" s="59" t="s">
        <v>70</v>
      </c>
      <c r="D36" s="59" t="s">
        <v>242</v>
      </c>
      <c r="E36" s="59" t="s">
        <v>129</v>
      </c>
      <c r="F36" s="58">
        <f>F37</f>
        <v>1</v>
      </c>
      <c r="N36" s="103"/>
      <c r="O36" s="103"/>
      <c r="P36" s="108"/>
      <c r="Q36" s="108"/>
    </row>
    <row r="37" spans="1:17" ht="12.75">
      <c r="A37" s="28" t="s">
        <v>131</v>
      </c>
      <c r="B37" s="59" t="s">
        <v>66</v>
      </c>
      <c r="C37" s="59" t="s">
        <v>70</v>
      </c>
      <c r="D37" s="59" t="s">
        <v>242</v>
      </c>
      <c r="E37" s="59" t="s">
        <v>132</v>
      </c>
      <c r="F37" s="58">
        <f>F38+F39+F40</f>
        <v>1</v>
      </c>
      <c r="N37" s="103"/>
      <c r="O37" s="103"/>
      <c r="P37" s="108"/>
      <c r="Q37" s="108"/>
    </row>
    <row r="38" spans="1:17" ht="12.75">
      <c r="A38" s="28" t="s">
        <v>133</v>
      </c>
      <c r="B38" s="59" t="s">
        <v>66</v>
      </c>
      <c r="C38" s="59" t="s">
        <v>70</v>
      </c>
      <c r="D38" s="59" t="s">
        <v>242</v>
      </c>
      <c r="E38" s="59" t="s">
        <v>134</v>
      </c>
      <c r="F38" s="58">
        <f>'пр.4 вед.стр.'!G354</f>
        <v>0</v>
      </c>
      <c r="N38" s="103"/>
      <c r="O38" s="103"/>
      <c r="P38" s="108"/>
      <c r="Q38" s="108"/>
    </row>
    <row r="39" spans="1:17" ht="12.75">
      <c r="A39" s="28" t="s">
        <v>161</v>
      </c>
      <c r="B39" s="59" t="s">
        <v>66</v>
      </c>
      <c r="C39" s="59" t="s">
        <v>70</v>
      </c>
      <c r="D39" s="59" t="s">
        <v>242</v>
      </c>
      <c r="E39" s="59" t="s">
        <v>135</v>
      </c>
      <c r="F39" s="58">
        <f>'пр.4 вед.стр.'!G355</f>
        <v>0</v>
      </c>
      <c r="N39" s="103"/>
      <c r="O39" s="103"/>
      <c r="P39" s="108"/>
      <c r="Q39" s="108"/>
    </row>
    <row r="40" spans="1:17" ht="12.75">
      <c r="A40" s="28" t="s">
        <v>162</v>
      </c>
      <c r="B40" s="59" t="s">
        <v>66</v>
      </c>
      <c r="C40" s="59" t="s">
        <v>70</v>
      </c>
      <c r="D40" s="59" t="s">
        <v>242</v>
      </c>
      <c r="E40" s="59" t="s">
        <v>163</v>
      </c>
      <c r="F40" s="58">
        <f>'пр.4 вед.стр.'!G356</f>
        <v>1</v>
      </c>
      <c r="N40" s="103"/>
      <c r="O40" s="103"/>
      <c r="P40" s="108"/>
      <c r="Q40" s="108"/>
    </row>
    <row r="41" spans="1:17" ht="12.75">
      <c r="A41" s="154" t="s">
        <v>166</v>
      </c>
      <c r="B41" s="59" t="s">
        <v>66</v>
      </c>
      <c r="C41" s="59" t="s">
        <v>70</v>
      </c>
      <c r="D41" s="59" t="s">
        <v>245</v>
      </c>
      <c r="E41" s="59"/>
      <c r="F41" s="58">
        <f>F42</f>
        <v>3453</v>
      </c>
      <c r="N41" s="103"/>
      <c r="O41" s="103"/>
      <c r="P41" s="108"/>
      <c r="Q41" s="108"/>
    </row>
    <row r="42" spans="1:17" ht="12.75">
      <c r="A42" s="28" t="s">
        <v>236</v>
      </c>
      <c r="B42" s="59" t="s">
        <v>66</v>
      </c>
      <c r="C42" s="59" t="s">
        <v>70</v>
      </c>
      <c r="D42" s="59" t="s">
        <v>244</v>
      </c>
      <c r="E42" s="59"/>
      <c r="F42" s="58">
        <f>F43</f>
        <v>3453</v>
      </c>
      <c r="N42" s="103"/>
      <c r="O42" s="103"/>
      <c r="P42" s="108"/>
      <c r="Q42" s="108"/>
    </row>
    <row r="43" spans="1:17" ht="38.25">
      <c r="A43" s="28" t="s">
        <v>102</v>
      </c>
      <c r="B43" s="59" t="s">
        <v>66</v>
      </c>
      <c r="C43" s="59" t="s">
        <v>70</v>
      </c>
      <c r="D43" s="59" t="s">
        <v>244</v>
      </c>
      <c r="E43" s="59" t="s">
        <v>103</v>
      </c>
      <c r="F43" s="58">
        <f>F44</f>
        <v>3453</v>
      </c>
      <c r="N43" s="104"/>
      <c r="O43" s="103"/>
      <c r="P43" s="108"/>
      <c r="Q43" s="108"/>
    </row>
    <row r="44" spans="1:17" ht="12.75">
      <c r="A44" s="28" t="s">
        <v>93</v>
      </c>
      <c r="B44" s="59" t="s">
        <v>66</v>
      </c>
      <c r="C44" s="59" t="s">
        <v>70</v>
      </c>
      <c r="D44" s="59" t="s">
        <v>244</v>
      </c>
      <c r="E44" s="59" t="s">
        <v>94</v>
      </c>
      <c r="F44" s="58">
        <f>F45+F46</f>
        <v>3453</v>
      </c>
      <c r="N44" s="103"/>
      <c r="O44" s="103"/>
      <c r="P44" s="108"/>
      <c r="Q44" s="108"/>
    </row>
    <row r="45" spans="1:17" ht="12.75">
      <c r="A45" s="28" t="s">
        <v>158</v>
      </c>
      <c r="B45" s="59" t="s">
        <v>66</v>
      </c>
      <c r="C45" s="59" t="s">
        <v>70</v>
      </c>
      <c r="D45" s="59" t="s">
        <v>244</v>
      </c>
      <c r="E45" s="59" t="s">
        <v>95</v>
      </c>
      <c r="F45" s="58">
        <f>'пр.4 вед.стр.'!G361</f>
        <v>2886</v>
      </c>
      <c r="N45" s="104"/>
      <c r="O45" s="103"/>
      <c r="P45" s="108"/>
      <c r="Q45" s="108"/>
    </row>
    <row r="46" spans="1:17" ht="25.5">
      <c r="A46" s="28" t="s">
        <v>160</v>
      </c>
      <c r="B46" s="59" t="s">
        <v>66</v>
      </c>
      <c r="C46" s="59" t="s">
        <v>70</v>
      </c>
      <c r="D46" s="59" t="s">
        <v>244</v>
      </c>
      <c r="E46" s="59" t="s">
        <v>159</v>
      </c>
      <c r="F46" s="58">
        <f>'пр.4 вед.стр.'!G362</f>
        <v>567</v>
      </c>
      <c r="N46" s="103"/>
      <c r="O46" s="103"/>
      <c r="P46" s="108"/>
      <c r="Q46" s="108"/>
    </row>
    <row r="47" spans="1:17" ht="30.75" customHeight="1">
      <c r="A47" s="61" t="s">
        <v>17</v>
      </c>
      <c r="B47" s="63" t="s">
        <v>66</v>
      </c>
      <c r="C47" s="63" t="s">
        <v>68</v>
      </c>
      <c r="D47" s="63"/>
      <c r="E47" s="63"/>
      <c r="F47" s="64">
        <f>F49+F61</f>
        <v>86825.4</v>
      </c>
      <c r="N47" s="103"/>
      <c r="O47" s="103"/>
      <c r="P47" s="108"/>
      <c r="Q47" s="108"/>
    </row>
    <row r="48" spans="1:17" ht="18" customHeight="1">
      <c r="A48" s="28" t="s">
        <v>360</v>
      </c>
      <c r="B48" s="59" t="s">
        <v>66</v>
      </c>
      <c r="C48" s="59" t="s">
        <v>68</v>
      </c>
      <c r="D48" s="59" t="s">
        <v>215</v>
      </c>
      <c r="E48" s="63"/>
      <c r="F48" s="64">
        <f>F49</f>
        <v>2436</v>
      </c>
      <c r="N48" s="103"/>
      <c r="O48" s="103"/>
      <c r="P48" s="108"/>
      <c r="Q48" s="108"/>
    </row>
    <row r="49" spans="1:17" ht="16.5" customHeight="1">
      <c r="A49" s="28" t="s">
        <v>361</v>
      </c>
      <c r="B49" s="59" t="s">
        <v>66</v>
      </c>
      <c r="C49" s="59" t="s">
        <v>68</v>
      </c>
      <c r="D49" s="59" t="s">
        <v>358</v>
      </c>
      <c r="E49" s="59"/>
      <c r="F49" s="58">
        <f>F50+F54</f>
        <v>2436</v>
      </c>
      <c r="N49" s="103"/>
      <c r="O49" s="103"/>
      <c r="P49" s="108"/>
      <c r="Q49" s="108"/>
    </row>
    <row r="50" spans="1:17" ht="41.25" customHeight="1">
      <c r="A50" s="28" t="s">
        <v>287</v>
      </c>
      <c r="B50" s="59" t="s">
        <v>66</v>
      </c>
      <c r="C50" s="59" t="s">
        <v>68</v>
      </c>
      <c r="D50" s="59" t="s">
        <v>359</v>
      </c>
      <c r="E50" s="59"/>
      <c r="F50" s="58">
        <f>F51</f>
        <v>2100</v>
      </c>
      <c r="N50" s="103"/>
      <c r="O50" s="103"/>
      <c r="P50" s="108"/>
      <c r="Q50" s="108"/>
    </row>
    <row r="51" spans="1:17" ht="42" customHeight="1">
      <c r="A51" s="28" t="s">
        <v>102</v>
      </c>
      <c r="B51" s="59" t="s">
        <v>66</v>
      </c>
      <c r="C51" s="59" t="s">
        <v>68</v>
      </c>
      <c r="D51" s="59" t="s">
        <v>359</v>
      </c>
      <c r="E51" s="59" t="s">
        <v>103</v>
      </c>
      <c r="F51" s="58">
        <f>F52</f>
        <v>2100</v>
      </c>
      <c r="N51" s="103"/>
      <c r="O51" s="103"/>
      <c r="P51" s="108"/>
      <c r="Q51" s="108"/>
    </row>
    <row r="52" spans="1:17" ht="16.5" customHeight="1">
      <c r="A52" s="28" t="s">
        <v>93</v>
      </c>
      <c r="B52" s="59" t="s">
        <v>66</v>
      </c>
      <c r="C52" s="59" t="s">
        <v>68</v>
      </c>
      <c r="D52" s="59" t="s">
        <v>359</v>
      </c>
      <c r="E52" s="59" t="s">
        <v>94</v>
      </c>
      <c r="F52" s="58">
        <f>F53</f>
        <v>2100</v>
      </c>
      <c r="N52" s="103"/>
      <c r="O52" s="103"/>
      <c r="P52" s="108"/>
      <c r="Q52" s="108"/>
    </row>
    <row r="53" spans="1:6" ht="28.5" customHeight="1">
      <c r="A53" s="28" t="s">
        <v>96</v>
      </c>
      <c r="B53" s="59" t="s">
        <v>66</v>
      </c>
      <c r="C53" s="59" t="s">
        <v>68</v>
      </c>
      <c r="D53" s="59" t="s">
        <v>359</v>
      </c>
      <c r="E53" s="59" t="s">
        <v>97</v>
      </c>
      <c r="F53" s="58">
        <f>'пр.4 вед.стр.'!G24</f>
        <v>2100</v>
      </c>
    </row>
    <row r="54" spans="1:6" ht="18" customHeight="1">
      <c r="A54" s="28" t="s">
        <v>235</v>
      </c>
      <c r="B54" s="59" t="s">
        <v>66</v>
      </c>
      <c r="C54" s="59" t="s">
        <v>68</v>
      </c>
      <c r="D54" s="59" t="s">
        <v>362</v>
      </c>
      <c r="E54" s="59"/>
      <c r="F54" s="58">
        <f>F55+F58</f>
        <v>336</v>
      </c>
    </row>
    <row r="55" spans="1:6" ht="40.5" customHeight="1">
      <c r="A55" s="28" t="s">
        <v>102</v>
      </c>
      <c r="B55" s="59" t="s">
        <v>66</v>
      </c>
      <c r="C55" s="59" t="s">
        <v>68</v>
      </c>
      <c r="D55" s="59" t="s">
        <v>362</v>
      </c>
      <c r="E55" s="59" t="s">
        <v>103</v>
      </c>
      <c r="F55" s="58">
        <f>F56</f>
        <v>286</v>
      </c>
    </row>
    <row r="56" spans="1:6" ht="18" customHeight="1">
      <c r="A56" s="28" t="s">
        <v>93</v>
      </c>
      <c r="B56" s="59" t="s">
        <v>66</v>
      </c>
      <c r="C56" s="59" t="s">
        <v>68</v>
      </c>
      <c r="D56" s="59" t="s">
        <v>362</v>
      </c>
      <c r="E56" s="59" t="s">
        <v>94</v>
      </c>
      <c r="F56" s="58">
        <f>F57</f>
        <v>286</v>
      </c>
    </row>
    <row r="57" spans="1:6" ht="28.5" customHeight="1">
      <c r="A57" s="28" t="s">
        <v>96</v>
      </c>
      <c r="B57" s="59" t="s">
        <v>66</v>
      </c>
      <c r="C57" s="59" t="s">
        <v>68</v>
      </c>
      <c r="D57" s="59" t="s">
        <v>362</v>
      </c>
      <c r="E57" s="59" t="s">
        <v>97</v>
      </c>
      <c r="F57" s="58">
        <f>'пр.4 вед.стр.'!G28</f>
        <v>286</v>
      </c>
    </row>
    <row r="58" spans="1:6" ht="21" customHeight="1">
      <c r="A58" s="28" t="s">
        <v>117</v>
      </c>
      <c r="B58" s="59" t="s">
        <v>66</v>
      </c>
      <c r="C58" s="59" t="s">
        <v>68</v>
      </c>
      <c r="D58" s="59" t="s">
        <v>362</v>
      </c>
      <c r="E58" s="59" t="s">
        <v>118</v>
      </c>
      <c r="F58" s="58">
        <f>F59</f>
        <v>50</v>
      </c>
    </row>
    <row r="59" spans="1:6" ht="17.25" customHeight="1">
      <c r="A59" s="28" t="s">
        <v>137</v>
      </c>
      <c r="B59" s="59" t="s">
        <v>66</v>
      </c>
      <c r="C59" s="59" t="s">
        <v>68</v>
      </c>
      <c r="D59" s="59" t="s">
        <v>362</v>
      </c>
      <c r="E59" s="59" t="s">
        <v>136</v>
      </c>
      <c r="F59" s="58">
        <f>F60</f>
        <v>50</v>
      </c>
    </row>
    <row r="60" spans="1:6" ht="30" customHeight="1">
      <c r="A60" s="28" t="s">
        <v>790</v>
      </c>
      <c r="B60" s="59" t="s">
        <v>66</v>
      </c>
      <c r="C60" s="59" t="s">
        <v>68</v>
      </c>
      <c r="D60" s="59" t="s">
        <v>362</v>
      </c>
      <c r="E60" s="59" t="s">
        <v>139</v>
      </c>
      <c r="F60" s="58">
        <f>'пр.4 вед.стр.'!G31</f>
        <v>50</v>
      </c>
    </row>
    <row r="61" spans="1:6" ht="28.5" customHeight="1">
      <c r="A61" s="28" t="s">
        <v>416</v>
      </c>
      <c r="B61" s="59" t="s">
        <v>66</v>
      </c>
      <c r="C61" s="59" t="s">
        <v>68</v>
      </c>
      <c r="D61" s="59" t="s">
        <v>214</v>
      </c>
      <c r="E61" s="59"/>
      <c r="F61" s="58">
        <f>F62</f>
        <v>84389.4</v>
      </c>
    </row>
    <row r="62" spans="1:6" ht="15" customHeight="1">
      <c r="A62" s="28" t="s">
        <v>50</v>
      </c>
      <c r="B62" s="59" t="s">
        <v>66</v>
      </c>
      <c r="C62" s="59" t="s">
        <v>68</v>
      </c>
      <c r="D62" s="59" t="s">
        <v>240</v>
      </c>
      <c r="E62" s="59"/>
      <c r="F62" s="58">
        <f>F63+F69</f>
        <v>84389.4</v>
      </c>
    </row>
    <row r="63" spans="1:6" ht="15" customHeight="1">
      <c r="A63" s="28" t="s">
        <v>236</v>
      </c>
      <c r="B63" s="59" t="s">
        <v>66</v>
      </c>
      <c r="C63" s="59" t="s">
        <v>68</v>
      </c>
      <c r="D63" s="59" t="s">
        <v>241</v>
      </c>
      <c r="E63" s="59"/>
      <c r="F63" s="58">
        <f>F64</f>
        <v>78981</v>
      </c>
    </row>
    <row r="64" spans="1:6" ht="42" customHeight="1">
      <c r="A64" s="28" t="s">
        <v>102</v>
      </c>
      <c r="B64" s="59" t="s">
        <v>66</v>
      </c>
      <c r="C64" s="59" t="s">
        <v>68</v>
      </c>
      <c r="D64" s="59" t="s">
        <v>241</v>
      </c>
      <c r="E64" s="59" t="s">
        <v>103</v>
      </c>
      <c r="F64" s="58">
        <f>F65</f>
        <v>78981</v>
      </c>
    </row>
    <row r="65" spans="1:6" ht="17.25" customHeight="1">
      <c r="A65" s="28" t="s">
        <v>93</v>
      </c>
      <c r="B65" s="59" t="s">
        <v>66</v>
      </c>
      <c r="C65" s="59" t="s">
        <v>68</v>
      </c>
      <c r="D65" s="59" t="s">
        <v>241</v>
      </c>
      <c r="E65" s="59" t="s">
        <v>94</v>
      </c>
      <c r="F65" s="58">
        <f>F66+F67+F68</f>
        <v>78981</v>
      </c>
    </row>
    <row r="66" spans="1:6" ht="17.25" customHeight="1">
      <c r="A66" s="28" t="s">
        <v>158</v>
      </c>
      <c r="B66" s="59" t="s">
        <v>66</v>
      </c>
      <c r="C66" s="59" t="s">
        <v>68</v>
      </c>
      <c r="D66" s="59" t="s">
        <v>241</v>
      </c>
      <c r="E66" s="59" t="s">
        <v>95</v>
      </c>
      <c r="F66" s="58">
        <f>'пр.4 вед.стр.'!G37</f>
        <v>62284</v>
      </c>
    </row>
    <row r="67" spans="1:6" ht="28.5" customHeight="1">
      <c r="A67" s="28" t="s">
        <v>96</v>
      </c>
      <c r="B67" s="59" t="s">
        <v>66</v>
      </c>
      <c r="C67" s="59" t="s">
        <v>68</v>
      </c>
      <c r="D67" s="59" t="s">
        <v>241</v>
      </c>
      <c r="E67" s="59" t="s">
        <v>97</v>
      </c>
      <c r="F67" s="58">
        <f>'пр.4 вед.стр.'!G38</f>
        <v>497</v>
      </c>
    </row>
    <row r="68" spans="1:6" ht="25.5">
      <c r="A68" s="28" t="s">
        <v>160</v>
      </c>
      <c r="B68" s="59" t="s">
        <v>66</v>
      </c>
      <c r="C68" s="59" t="s">
        <v>68</v>
      </c>
      <c r="D68" s="59" t="s">
        <v>241</v>
      </c>
      <c r="E68" s="59" t="s">
        <v>159</v>
      </c>
      <c r="F68" s="58">
        <f>'пр.4 вед.стр.'!G39</f>
        <v>16200</v>
      </c>
    </row>
    <row r="69" spans="1:6" ht="12.75">
      <c r="A69" s="28" t="s">
        <v>237</v>
      </c>
      <c r="B69" s="59" t="s">
        <v>66</v>
      </c>
      <c r="C69" s="59" t="s">
        <v>68</v>
      </c>
      <c r="D69" s="59" t="s">
        <v>242</v>
      </c>
      <c r="E69" s="59"/>
      <c r="F69" s="58">
        <f>F70+F73</f>
        <v>5408.400000000001</v>
      </c>
    </row>
    <row r="70" spans="1:6" ht="12.75">
      <c r="A70" s="28" t="s">
        <v>610</v>
      </c>
      <c r="B70" s="59" t="s">
        <v>66</v>
      </c>
      <c r="C70" s="59" t="s">
        <v>68</v>
      </c>
      <c r="D70" s="59" t="s">
        <v>242</v>
      </c>
      <c r="E70" s="59" t="s">
        <v>104</v>
      </c>
      <c r="F70" s="58">
        <f>F71</f>
        <v>4494.000000000001</v>
      </c>
    </row>
    <row r="71" spans="1:6" ht="15.75" customHeight="1">
      <c r="A71" s="28" t="s">
        <v>98</v>
      </c>
      <c r="B71" s="59" t="s">
        <v>66</v>
      </c>
      <c r="C71" s="59" t="s">
        <v>68</v>
      </c>
      <c r="D71" s="59" t="s">
        <v>242</v>
      </c>
      <c r="E71" s="59" t="s">
        <v>99</v>
      </c>
      <c r="F71" s="58">
        <f>F72</f>
        <v>4494.000000000001</v>
      </c>
    </row>
    <row r="72" spans="1:6" ht="18" customHeight="1">
      <c r="A72" s="28" t="s">
        <v>100</v>
      </c>
      <c r="B72" s="59" t="s">
        <v>66</v>
      </c>
      <c r="C72" s="59" t="s">
        <v>68</v>
      </c>
      <c r="D72" s="59" t="s">
        <v>242</v>
      </c>
      <c r="E72" s="59" t="s">
        <v>101</v>
      </c>
      <c r="F72" s="58">
        <f>'пр.4 вед.стр.'!G43+'пр.4 вед.стр.'!G1217</f>
        <v>4494.000000000001</v>
      </c>
    </row>
    <row r="73" spans="1:6" ht="12.75">
      <c r="A73" s="28" t="s">
        <v>128</v>
      </c>
      <c r="B73" s="59" t="s">
        <v>66</v>
      </c>
      <c r="C73" s="59" t="s">
        <v>68</v>
      </c>
      <c r="D73" s="59" t="s">
        <v>242</v>
      </c>
      <c r="E73" s="59" t="s">
        <v>129</v>
      </c>
      <c r="F73" s="58">
        <f>F74</f>
        <v>914.4</v>
      </c>
    </row>
    <row r="74" spans="1:6" ht="12.75">
      <c r="A74" s="28" t="s">
        <v>131</v>
      </c>
      <c r="B74" s="59" t="s">
        <v>66</v>
      </c>
      <c r="C74" s="59" t="s">
        <v>68</v>
      </c>
      <c r="D74" s="59" t="s">
        <v>242</v>
      </c>
      <c r="E74" s="59" t="s">
        <v>132</v>
      </c>
      <c r="F74" s="58">
        <f>F75+F76+F77</f>
        <v>914.4</v>
      </c>
    </row>
    <row r="75" spans="1:6" ht="12.75">
      <c r="A75" s="28" t="s">
        <v>133</v>
      </c>
      <c r="B75" s="59" t="s">
        <v>66</v>
      </c>
      <c r="C75" s="59" t="s">
        <v>68</v>
      </c>
      <c r="D75" s="59" t="s">
        <v>242</v>
      </c>
      <c r="E75" s="59" t="s">
        <v>134</v>
      </c>
      <c r="F75" s="58">
        <f>'пр.4 вед.стр.'!G46</f>
        <v>178.3</v>
      </c>
    </row>
    <row r="76" spans="1:6" ht="12.75">
      <c r="A76" s="28" t="s">
        <v>161</v>
      </c>
      <c r="B76" s="59" t="s">
        <v>66</v>
      </c>
      <c r="C76" s="59" t="s">
        <v>68</v>
      </c>
      <c r="D76" s="59" t="s">
        <v>242</v>
      </c>
      <c r="E76" s="59" t="s">
        <v>135</v>
      </c>
      <c r="F76" s="58">
        <f>'пр.4 вед.стр.'!G47</f>
        <v>32.7</v>
      </c>
    </row>
    <row r="77" spans="1:6" ht="12.75">
      <c r="A77" s="28" t="s">
        <v>162</v>
      </c>
      <c r="B77" s="59" t="s">
        <v>66</v>
      </c>
      <c r="C77" s="59" t="s">
        <v>68</v>
      </c>
      <c r="D77" s="59" t="s">
        <v>242</v>
      </c>
      <c r="E77" s="59" t="s">
        <v>163</v>
      </c>
      <c r="F77" s="58">
        <f>'пр.4 вед.стр.'!G48</f>
        <v>703.4</v>
      </c>
    </row>
    <row r="78" spans="1:6" ht="25.5">
      <c r="A78" s="61" t="s">
        <v>79</v>
      </c>
      <c r="B78" s="63" t="s">
        <v>66</v>
      </c>
      <c r="C78" s="63" t="s">
        <v>76</v>
      </c>
      <c r="D78" s="63"/>
      <c r="E78" s="63"/>
      <c r="F78" s="64">
        <f>F79+F89</f>
        <v>19401.800000000003</v>
      </c>
    </row>
    <row r="79" spans="1:6" ht="12.75">
      <c r="A79" s="28" t="s">
        <v>360</v>
      </c>
      <c r="B79" s="59" t="s">
        <v>66</v>
      </c>
      <c r="C79" s="59" t="s">
        <v>76</v>
      </c>
      <c r="D79" s="59" t="s">
        <v>215</v>
      </c>
      <c r="E79" s="59"/>
      <c r="F79" s="58">
        <f>F80</f>
        <v>398</v>
      </c>
    </row>
    <row r="80" spans="1:6" ht="12.75">
      <c r="A80" s="28" t="s">
        <v>363</v>
      </c>
      <c r="B80" s="59" t="s">
        <v>66</v>
      </c>
      <c r="C80" s="59" t="s">
        <v>76</v>
      </c>
      <c r="D80" s="59" t="s">
        <v>358</v>
      </c>
      <c r="E80" s="59"/>
      <c r="F80" s="58">
        <f>F81+F85</f>
        <v>398</v>
      </c>
    </row>
    <row r="81" spans="1:6" ht="38.25">
      <c r="A81" s="28" t="s">
        <v>287</v>
      </c>
      <c r="B81" s="59" t="s">
        <v>66</v>
      </c>
      <c r="C81" s="59" t="s">
        <v>76</v>
      </c>
      <c r="D81" s="59" t="s">
        <v>359</v>
      </c>
      <c r="E81" s="59"/>
      <c r="F81" s="58">
        <f>F82</f>
        <v>307.9</v>
      </c>
    </row>
    <row r="82" spans="1:6" ht="38.25">
      <c r="A82" s="28" t="s">
        <v>102</v>
      </c>
      <c r="B82" s="59" t="s">
        <v>66</v>
      </c>
      <c r="C82" s="59" t="s">
        <v>76</v>
      </c>
      <c r="D82" s="59" t="s">
        <v>359</v>
      </c>
      <c r="E82" s="59" t="s">
        <v>103</v>
      </c>
      <c r="F82" s="58">
        <f>F83</f>
        <v>307.9</v>
      </c>
    </row>
    <row r="83" spans="1:6" ht="12.75">
      <c r="A83" s="28" t="s">
        <v>93</v>
      </c>
      <c r="B83" s="59" t="s">
        <v>66</v>
      </c>
      <c r="C83" s="59" t="s">
        <v>76</v>
      </c>
      <c r="D83" s="59" t="s">
        <v>359</v>
      </c>
      <c r="E83" s="59" t="s">
        <v>94</v>
      </c>
      <c r="F83" s="58">
        <f>F84</f>
        <v>307.9</v>
      </c>
    </row>
    <row r="84" spans="1:6" ht="25.5">
      <c r="A84" s="28" t="s">
        <v>96</v>
      </c>
      <c r="B84" s="59" t="s">
        <v>66</v>
      </c>
      <c r="C84" s="59" t="s">
        <v>76</v>
      </c>
      <c r="D84" s="59" t="s">
        <v>359</v>
      </c>
      <c r="E84" s="59" t="s">
        <v>97</v>
      </c>
      <c r="F84" s="58">
        <f>'пр.4 вед.стр.'!G369+'пр.4 вед.стр.'!G298</f>
        <v>307.9</v>
      </c>
    </row>
    <row r="85" spans="1:6" ht="12.75">
      <c r="A85" s="28" t="s">
        <v>235</v>
      </c>
      <c r="B85" s="59" t="s">
        <v>66</v>
      </c>
      <c r="C85" s="59" t="s">
        <v>76</v>
      </c>
      <c r="D85" s="59" t="s">
        <v>362</v>
      </c>
      <c r="E85" s="59"/>
      <c r="F85" s="58">
        <f>F86</f>
        <v>90.1</v>
      </c>
    </row>
    <row r="86" spans="1:6" ht="38.25">
      <c r="A86" s="28" t="s">
        <v>102</v>
      </c>
      <c r="B86" s="59" t="s">
        <v>66</v>
      </c>
      <c r="C86" s="59" t="s">
        <v>76</v>
      </c>
      <c r="D86" s="59" t="s">
        <v>362</v>
      </c>
      <c r="E86" s="59" t="s">
        <v>103</v>
      </c>
      <c r="F86" s="58">
        <f>F87</f>
        <v>90.1</v>
      </c>
    </row>
    <row r="87" spans="1:6" ht="12.75">
      <c r="A87" s="28" t="s">
        <v>93</v>
      </c>
      <c r="B87" s="59" t="s">
        <v>66</v>
      </c>
      <c r="C87" s="59" t="s">
        <v>76</v>
      </c>
      <c r="D87" s="59" t="s">
        <v>362</v>
      </c>
      <c r="E87" s="59" t="s">
        <v>94</v>
      </c>
      <c r="F87" s="58">
        <f>F88</f>
        <v>90.1</v>
      </c>
    </row>
    <row r="88" spans="1:6" ht="25.5">
      <c r="A88" s="28" t="s">
        <v>96</v>
      </c>
      <c r="B88" s="59" t="s">
        <v>66</v>
      </c>
      <c r="C88" s="59" t="s">
        <v>76</v>
      </c>
      <c r="D88" s="59" t="s">
        <v>362</v>
      </c>
      <c r="E88" s="59" t="s">
        <v>97</v>
      </c>
      <c r="F88" s="58">
        <f>'пр.4 вед.стр.'!G373+'пр.4 вед.стр.'!G302</f>
        <v>90.1</v>
      </c>
    </row>
    <row r="89" spans="1:6" ht="25.5">
      <c r="A89" s="28" t="s">
        <v>416</v>
      </c>
      <c r="B89" s="59" t="s">
        <v>66</v>
      </c>
      <c r="C89" s="59" t="s">
        <v>76</v>
      </c>
      <c r="D89" s="59" t="s">
        <v>214</v>
      </c>
      <c r="E89" s="59"/>
      <c r="F89" s="58">
        <f>F90+F106</f>
        <v>19003.800000000003</v>
      </c>
    </row>
    <row r="90" spans="1:6" ht="12.75">
      <c r="A90" s="28" t="s">
        <v>50</v>
      </c>
      <c r="B90" s="59" t="s">
        <v>66</v>
      </c>
      <c r="C90" s="59" t="s">
        <v>76</v>
      </c>
      <c r="D90" s="59" t="s">
        <v>240</v>
      </c>
      <c r="E90" s="59"/>
      <c r="F90" s="58">
        <f>F91+F97</f>
        <v>16942.800000000003</v>
      </c>
    </row>
    <row r="91" spans="1:6" ht="12.75">
      <c r="A91" s="28" t="s">
        <v>236</v>
      </c>
      <c r="B91" s="59" t="s">
        <v>66</v>
      </c>
      <c r="C91" s="59" t="s">
        <v>76</v>
      </c>
      <c r="D91" s="59" t="s">
        <v>241</v>
      </c>
      <c r="E91" s="59"/>
      <c r="F91" s="58">
        <f>F92</f>
        <v>15707.300000000001</v>
      </c>
    </row>
    <row r="92" spans="1:6" ht="38.25">
      <c r="A92" s="28" t="s">
        <v>102</v>
      </c>
      <c r="B92" s="59" t="s">
        <v>66</v>
      </c>
      <c r="C92" s="59" t="s">
        <v>76</v>
      </c>
      <c r="D92" s="59" t="s">
        <v>241</v>
      </c>
      <c r="E92" s="59" t="s">
        <v>103</v>
      </c>
      <c r="F92" s="58">
        <f>F93</f>
        <v>15707.300000000001</v>
      </c>
    </row>
    <row r="93" spans="1:6" ht="12.75">
      <c r="A93" s="28" t="s">
        <v>93</v>
      </c>
      <c r="B93" s="59" t="s">
        <v>66</v>
      </c>
      <c r="C93" s="59" t="s">
        <v>76</v>
      </c>
      <c r="D93" s="59" t="s">
        <v>241</v>
      </c>
      <c r="E93" s="59" t="s">
        <v>94</v>
      </c>
      <c r="F93" s="58">
        <f>F94+F95+F96</f>
        <v>15707.300000000001</v>
      </c>
    </row>
    <row r="94" spans="1:6" ht="12.75">
      <c r="A94" s="28" t="s">
        <v>158</v>
      </c>
      <c r="B94" s="59" t="s">
        <v>66</v>
      </c>
      <c r="C94" s="59" t="s">
        <v>76</v>
      </c>
      <c r="D94" s="59" t="s">
        <v>241</v>
      </c>
      <c r="E94" s="59" t="s">
        <v>95</v>
      </c>
      <c r="F94" s="58">
        <f>'пр.4 вед.стр.'!G308+'пр.4 вед.стр.'!G379</f>
        <v>12379.1</v>
      </c>
    </row>
    <row r="95" spans="1:6" ht="25.5">
      <c r="A95" s="28" t="s">
        <v>96</v>
      </c>
      <c r="B95" s="59" t="s">
        <v>66</v>
      </c>
      <c r="C95" s="59" t="s">
        <v>76</v>
      </c>
      <c r="D95" s="59" t="s">
        <v>241</v>
      </c>
      <c r="E95" s="59" t="s">
        <v>97</v>
      </c>
      <c r="F95" s="58">
        <f>'пр.4 вед.стр.'!G380+'пр.4 вед.стр.'!G309</f>
        <v>44.599999999999994</v>
      </c>
    </row>
    <row r="96" spans="1:6" ht="25.5">
      <c r="A96" s="28" t="s">
        <v>160</v>
      </c>
      <c r="B96" s="59" t="s">
        <v>66</v>
      </c>
      <c r="C96" s="59" t="s">
        <v>76</v>
      </c>
      <c r="D96" s="59" t="s">
        <v>241</v>
      </c>
      <c r="E96" s="59" t="s">
        <v>159</v>
      </c>
      <c r="F96" s="58">
        <f>'пр.4 вед.стр.'!G310+'пр.4 вед.стр.'!G381</f>
        <v>3283.6</v>
      </c>
    </row>
    <row r="97" spans="1:6" ht="12.75">
      <c r="A97" s="28" t="s">
        <v>237</v>
      </c>
      <c r="B97" s="59" t="s">
        <v>66</v>
      </c>
      <c r="C97" s="59" t="s">
        <v>76</v>
      </c>
      <c r="D97" s="59" t="s">
        <v>242</v>
      </c>
      <c r="E97" s="59"/>
      <c r="F97" s="58">
        <f>F98+F101</f>
        <v>1235.5</v>
      </c>
    </row>
    <row r="98" spans="1:6" ht="12.75">
      <c r="A98" s="28" t="s">
        <v>610</v>
      </c>
      <c r="B98" s="59" t="s">
        <v>66</v>
      </c>
      <c r="C98" s="59" t="s">
        <v>76</v>
      </c>
      <c r="D98" s="59" t="s">
        <v>242</v>
      </c>
      <c r="E98" s="59" t="s">
        <v>104</v>
      </c>
      <c r="F98" s="58">
        <f>F99</f>
        <v>1228.8</v>
      </c>
    </row>
    <row r="99" spans="1:6" ht="15" customHeight="1">
      <c r="A99" s="28" t="s">
        <v>98</v>
      </c>
      <c r="B99" s="59" t="s">
        <v>66</v>
      </c>
      <c r="C99" s="59" t="s">
        <v>76</v>
      </c>
      <c r="D99" s="59" t="s">
        <v>242</v>
      </c>
      <c r="E99" s="59" t="s">
        <v>99</v>
      </c>
      <c r="F99" s="58">
        <f>F100</f>
        <v>1228.8</v>
      </c>
    </row>
    <row r="100" spans="1:6" ht="15" customHeight="1">
      <c r="A100" s="28" t="s">
        <v>100</v>
      </c>
      <c r="B100" s="59" t="s">
        <v>66</v>
      </c>
      <c r="C100" s="59" t="s">
        <v>76</v>
      </c>
      <c r="D100" s="59" t="s">
        <v>242</v>
      </c>
      <c r="E100" s="59" t="s">
        <v>101</v>
      </c>
      <c r="F100" s="58">
        <f>'пр.4 вед.стр.'!G314+'пр.4 вед.стр.'!G385</f>
        <v>1228.8</v>
      </c>
    </row>
    <row r="101" spans="1:6" ht="12.75">
      <c r="A101" s="28" t="s">
        <v>128</v>
      </c>
      <c r="B101" s="59" t="s">
        <v>66</v>
      </c>
      <c r="C101" s="59" t="s">
        <v>76</v>
      </c>
      <c r="D101" s="59" t="s">
        <v>242</v>
      </c>
      <c r="E101" s="59" t="s">
        <v>129</v>
      </c>
      <c r="F101" s="58">
        <f>F102</f>
        <v>6.7</v>
      </c>
    </row>
    <row r="102" spans="1:6" ht="12.75">
      <c r="A102" s="28" t="s">
        <v>131</v>
      </c>
      <c r="B102" s="59" t="s">
        <v>66</v>
      </c>
      <c r="C102" s="59" t="s">
        <v>76</v>
      </c>
      <c r="D102" s="59" t="s">
        <v>242</v>
      </c>
      <c r="E102" s="59" t="s">
        <v>132</v>
      </c>
      <c r="F102" s="58">
        <f>F103+F104+F105</f>
        <v>6.7</v>
      </c>
    </row>
    <row r="103" spans="1:6" ht="12.75">
      <c r="A103" s="28" t="s">
        <v>133</v>
      </c>
      <c r="B103" s="59" t="s">
        <v>66</v>
      </c>
      <c r="C103" s="59" t="s">
        <v>76</v>
      </c>
      <c r="D103" s="59" t="s">
        <v>242</v>
      </c>
      <c r="E103" s="59" t="s">
        <v>134</v>
      </c>
      <c r="F103" s="58">
        <f>'пр.4 вед.стр.'!G317</f>
        <v>3.8000000000000003</v>
      </c>
    </row>
    <row r="104" spans="1:6" ht="12.75">
      <c r="A104" s="28" t="s">
        <v>161</v>
      </c>
      <c r="B104" s="59" t="s">
        <v>66</v>
      </c>
      <c r="C104" s="59" t="s">
        <v>76</v>
      </c>
      <c r="D104" s="59" t="s">
        <v>242</v>
      </c>
      <c r="E104" s="59" t="s">
        <v>135</v>
      </c>
      <c r="F104" s="58">
        <f>'пр.4 вед.стр.'!G318</f>
        <v>2.1</v>
      </c>
    </row>
    <row r="105" spans="1:6" ht="12.75">
      <c r="A105" s="28" t="str">
        <f>'пр.4 вед.стр.'!A319</f>
        <v>Уплата иных платежей</v>
      </c>
      <c r="B105" s="59" t="s">
        <v>66</v>
      </c>
      <c r="C105" s="59" t="s">
        <v>76</v>
      </c>
      <c r="D105" s="59" t="s">
        <v>242</v>
      </c>
      <c r="E105" s="59" t="s">
        <v>163</v>
      </c>
      <c r="F105" s="58">
        <f>'пр.4 вед.стр.'!G319</f>
        <v>0.8</v>
      </c>
    </row>
    <row r="106" spans="1:6" ht="12.75">
      <c r="A106" s="154" t="s">
        <v>21</v>
      </c>
      <c r="B106" s="59" t="s">
        <v>66</v>
      </c>
      <c r="C106" s="59" t="s">
        <v>76</v>
      </c>
      <c r="D106" s="59" t="s">
        <v>246</v>
      </c>
      <c r="E106" s="59"/>
      <c r="F106" s="58">
        <f>F107</f>
        <v>2061</v>
      </c>
    </row>
    <row r="107" spans="1:6" ht="12.75">
      <c r="A107" s="28" t="s">
        <v>236</v>
      </c>
      <c r="B107" s="59" t="s">
        <v>66</v>
      </c>
      <c r="C107" s="59" t="s">
        <v>76</v>
      </c>
      <c r="D107" s="59" t="s">
        <v>247</v>
      </c>
      <c r="E107" s="59"/>
      <c r="F107" s="58">
        <f>F108</f>
        <v>2061</v>
      </c>
    </row>
    <row r="108" spans="1:6" ht="38.25">
      <c r="A108" s="28" t="s">
        <v>102</v>
      </c>
      <c r="B108" s="59" t="s">
        <v>66</v>
      </c>
      <c r="C108" s="59" t="s">
        <v>76</v>
      </c>
      <c r="D108" s="59" t="s">
        <v>247</v>
      </c>
      <c r="E108" s="59" t="s">
        <v>103</v>
      </c>
      <c r="F108" s="58">
        <f>F109</f>
        <v>2061</v>
      </c>
    </row>
    <row r="109" spans="1:6" ht="12.75">
      <c r="A109" s="28" t="s">
        <v>93</v>
      </c>
      <c r="B109" s="59" t="s">
        <v>66</v>
      </c>
      <c r="C109" s="59" t="s">
        <v>76</v>
      </c>
      <c r="D109" s="59" t="s">
        <v>247</v>
      </c>
      <c r="E109" s="59" t="s">
        <v>94</v>
      </c>
      <c r="F109" s="58">
        <f>F110+F111</f>
        <v>2061</v>
      </c>
    </row>
    <row r="110" spans="1:17" ht="12.75">
      <c r="A110" s="28" t="s">
        <v>158</v>
      </c>
      <c r="B110" s="59" t="s">
        <v>66</v>
      </c>
      <c r="C110" s="59" t="s">
        <v>76</v>
      </c>
      <c r="D110" s="59" t="s">
        <v>247</v>
      </c>
      <c r="E110" s="59" t="s">
        <v>95</v>
      </c>
      <c r="F110" s="58">
        <f>'пр.4 вед.стр.'!G390</f>
        <v>1714.8000000000002</v>
      </c>
      <c r="N110" s="106"/>
      <c r="O110" s="106"/>
      <c r="P110" s="106"/>
      <c r="Q110" s="106"/>
    </row>
    <row r="111" spans="1:6" ht="25.5">
      <c r="A111" s="28" t="s">
        <v>160</v>
      </c>
      <c r="B111" s="59" t="s">
        <v>66</v>
      </c>
      <c r="C111" s="59" t="s">
        <v>76</v>
      </c>
      <c r="D111" s="59" t="s">
        <v>247</v>
      </c>
      <c r="E111" s="59" t="s">
        <v>159</v>
      </c>
      <c r="F111" s="58">
        <f>'пр.4 вед.стр.'!G391</f>
        <v>346.20000000000005</v>
      </c>
    </row>
    <row r="112" spans="1:6" ht="12.75">
      <c r="A112" s="61" t="s">
        <v>3</v>
      </c>
      <c r="B112" s="63" t="s">
        <v>66</v>
      </c>
      <c r="C112" s="63" t="s">
        <v>74</v>
      </c>
      <c r="D112" s="63"/>
      <c r="E112" s="63"/>
      <c r="F112" s="64">
        <f>F113</f>
        <v>1000</v>
      </c>
    </row>
    <row r="113" spans="1:6" ht="12.75">
      <c r="A113" s="28" t="s">
        <v>3</v>
      </c>
      <c r="B113" s="59" t="s">
        <v>66</v>
      </c>
      <c r="C113" s="59" t="s">
        <v>74</v>
      </c>
      <c r="D113" s="59" t="s">
        <v>221</v>
      </c>
      <c r="E113" s="59"/>
      <c r="F113" s="58">
        <f>F114</f>
        <v>1000</v>
      </c>
    </row>
    <row r="114" spans="1:6" ht="12.75">
      <c r="A114" s="28" t="s">
        <v>402</v>
      </c>
      <c r="B114" s="59" t="s">
        <v>66</v>
      </c>
      <c r="C114" s="59" t="s">
        <v>74</v>
      </c>
      <c r="D114" s="59" t="s">
        <v>403</v>
      </c>
      <c r="E114" s="59"/>
      <c r="F114" s="58">
        <f>F115</f>
        <v>1000</v>
      </c>
    </row>
    <row r="115" spans="1:6" ht="12.75">
      <c r="A115" s="28" t="s">
        <v>128</v>
      </c>
      <c r="B115" s="59" t="s">
        <v>66</v>
      </c>
      <c r="C115" s="59" t="s">
        <v>74</v>
      </c>
      <c r="D115" s="59" t="s">
        <v>403</v>
      </c>
      <c r="E115" s="59" t="s">
        <v>129</v>
      </c>
      <c r="F115" s="58">
        <f>F116</f>
        <v>1000</v>
      </c>
    </row>
    <row r="116" spans="1:6" ht="12.75">
      <c r="A116" s="28" t="s">
        <v>140</v>
      </c>
      <c r="B116" s="59" t="s">
        <v>66</v>
      </c>
      <c r="C116" s="59" t="s">
        <v>74</v>
      </c>
      <c r="D116" s="59" t="s">
        <v>403</v>
      </c>
      <c r="E116" s="59" t="s">
        <v>141</v>
      </c>
      <c r="F116" s="58">
        <f>'пр.4 вед.стр.'!G324</f>
        <v>1000</v>
      </c>
    </row>
    <row r="117" spans="1:6" ht="12.75">
      <c r="A117" s="61" t="s">
        <v>63</v>
      </c>
      <c r="B117" s="63" t="s">
        <v>66</v>
      </c>
      <c r="C117" s="63" t="s">
        <v>87</v>
      </c>
      <c r="D117" s="63"/>
      <c r="E117" s="63"/>
      <c r="F117" s="64">
        <f>F118+F138+F149+F167+F173+F181+F193+F208</f>
        <v>42454.2</v>
      </c>
    </row>
    <row r="118" spans="1:6" ht="25.5">
      <c r="A118" s="28" t="s">
        <v>286</v>
      </c>
      <c r="B118" s="59" t="s">
        <v>66</v>
      </c>
      <c r="C118" s="59" t="s">
        <v>87</v>
      </c>
      <c r="D118" s="59" t="s">
        <v>263</v>
      </c>
      <c r="E118" s="59"/>
      <c r="F118" s="58">
        <f>F119+F128</f>
        <v>2260</v>
      </c>
    </row>
    <row r="119" spans="1:6" ht="25.5">
      <c r="A119" s="28" t="s">
        <v>275</v>
      </c>
      <c r="B119" s="59" t="s">
        <v>66</v>
      </c>
      <c r="C119" s="59" t="s">
        <v>87</v>
      </c>
      <c r="D119" s="59" t="s">
        <v>276</v>
      </c>
      <c r="E119" s="59"/>
      <c r="F119" s="58">
        <f>F120</f>
        <v>1390.6999999999998</v>
      </c>
    </row>
    <row r="120" spans="1:6" ht="51">
      <c r="A120" s="28" t="s">
        <v>417</v>
      </c>
      <c r="B120" s="59" t="s">
        <v>66</v>
      </c>
      <c r="C120" s="59" t="s">
        <v>87</v>
      </c>
      <c r="D120" s="59" t="s">
        <v>264</v>
      </c>
      <c r="E120" s="59"/>
      <c r="F120" s="58">
        <f>F121+F125</f>
        <v>1390.6999999999998</v>
      </c>
    </row>
    <row r="121" spans="1:6" ht="38.25">
      <c r="A121" s="28" t="s">
        <v>102</v>
      </c>
      <c r="B121" s="59" t="s">
        <v>66</v>
      </c>
      <c r="C121" s="59" t="s">
        <v>87</v>
      </c>
      <c r="D121" s="59" t="s">
        <v>264</v>
      </c>
      <c r="E121" s="59" t="s">
        <v>103</v>
      </c>
      <c r="F121" s="58">
        <f>F122</f>
        <v>642.8</v>
      </c>
    </row>
    <row r="122" spans="1:6" ht="12.75">
      <c r="A122" s="28" t="s">
        <v>93</v>
      </c>
      <c r="B122" s="59" t="s">
        <v>66</v>
      </c>
      <c r="C122" s="59" t="s">
        <v>87</v>
      </c>
      <c r="D122" s="59" t="s">
        <v>264</v>
      </c>
      <c r="E122" s="59" t="s">
        <v>94</v>
      </c>
      <c r="F122" s="58">
        <f>F123+F124</f>
        <v>642.8</v>
      </c>
    </row>
    <row r="123" spans="1:6" ht="12.75">
      <c r="A123" s="28" t="s">
        <v>158</v>
      </c>
      <c r="B123" s="59" t="s">
        <v>66</v>
      </c>
      <c r="C123" s="59" t="s">
        <v>87</v>
      </c>
      <c r="D123" s="59" t="s">
        <v>264</v>
      </c>
      <c r="E123" s="59" t="s">
        <v>95</v>
      </c>
      <c r="F123" s="58">
        <f>'пр.4 вед.стр.'!G55</f>
        <v>498.4</v>
      </c>
    </row>
    <row r="124" spans="1:6" ht="25.5">
      <c r="A124" s="28" t="s">
        <v>160</v>
      </c>
      <c r="B124" s="59" t="s">
        <v>66</v>
      </c>
      <c r="C124" s="59" t="s">
        <v>87</v>
      </c>
      <c r="D124" s="59" t="s">
        <v>264</v>
      </c>
      <c r="E124" s="59" t="s">
        <v>159</v>
      </c>
      <c r="F124" s="58">
        <f>'пр.4 вед.стр.'!G56</f>
        <v>144.39999999999998</v>
      </c>
    </row>
    <row r="125" spans="1:6" ht="12.75">
      <c r="A125" s="28" t="s">
        <v>610</v>
      </c>
      <c r="B125" s="59" t="s">
        <v>66</v>
      </c>
      <c r="C125" s="59" t="s">
        <v>87</v>
      </c>
      <c r="D125" s="59" t="s">
        <v>264</v>
      </c>
      <c r="E125" s="59" t="s">
        <v>104</v>
      </c>
      <c r="F125" s="58">
        <f>F126</f>
        <v>747.9</v>
      </c>
    </row>
    <row r="126" spans="1:6" ht="12.75">
      <c r="A126" s="28" t="s">
        <v>98</v>
      </c>
      <c r="B126" s="59" t="s">
        <v>66</v>
      </c>
      <c r="C126" s="59" t="s">
        <v>87</v>
      </c>
      <c r="D126" s="59" t="s">
        <v>264</v>
      </c>
      <c r="E126" s="59" t="s">
        <v>99</v>
      </c>
      <c r="F126" s="58">
        <f>F127</f>
        <v>747.9</v>
      </c>
    </row>
    <row r="127" spans="1:6" ht="12.75">
      <c r="A127" s="28" t="s">
        <v>100</v>
      </c>
      <c r="B127" s="59" t="s">
        <v>66</v>
      </c>
      <c r="C127" s="59" t="s">
        <v>87</v>
      </c>
      <c r="D127" s="59" t="s">
        <v>264</v>
      </c>
      <c r="E127" s="59" t="s">
        <v>101</v>
      </c>
      <c r="F127" s="58">
        <f>'пр.4 вед.стр.'!G59</f>
        <v>747.9</v>
      </c>
    </row>
    <row r="128" spans="1:6" ht="25.5">
      <c r="A128" s="28" t="s">
        <v>277</v>
      </c>
      <c r="B128" s="59" t="s">
        <v>66</v>
      </c>
      <c r="C128" s="59" t="s">
        <v>87</v>
      </c>
      <c r="D128" s="59" t="s">
        <v>278</v>
      </c>
      <c r="E128" s="59"/>
      <c r="F128" s="58">
        <f>F129</f>
        <v>869.3</v>
      </c>
    </row>
    <row r="129" spans="1:6" ht="25.5">
      <c r="A129" s="28" t="s">
        <v>293</v>
      </c>
      <c r="B129" s="59" t="s">
        <v>66</v>
      </c>
      <c r="C129" s="59" t="s">
        <v>87</v>
      </c>
      <c r="D129" s="59" t="s">
        <v>265</v>
      </c>
      <c r="E129" s="59"/>
      <c r="F129" s="58">
        <f>F130+F135</f>
        <v>869.3</v>
      </c>
    </row>
    <row r="130" spans="1:6" ht="38.25">
      <c r="A130" s="28" t="s">
        <v>102</v>
      </c>
      <c r="B130" s="59" t="s">
        <v>66</v>
      </c>
      <c r="C130" s="59" t="s">
        <v>87</v>
      </c>
      <c r="D130" s="59" t="s">
        <v>265</v>
      </c>
      <c r="E130" s="59" t="s">
        <v>103</v>
      </c>
      <c r="F130" s="58">
        <f>F131</f>
        <v>698</v>
      </c>
    </row>
    <row r="131" spans="1:6" ht="12.75">
      <c r="A131" s="28" t="s">
        <v>93</v>
      </c>
      <c r="B131" s="59" t="s">
        <v>66</v>
      </c>
      <c r="C131" s="59" t="s">
        <v>87</v>
      </c>
      <c r="D131" s="59" t="s">
        <v>265</v>
      </c>
      <c r="E131" s="59" t="s">
        <v>94</v>
      </c>
      <c r="F131" s="58">
        <f>F132+F134+F133</f>
        <v>698</v>
      </c>
    </row>
    <row r="132" spans="1:6" ht="12.75">
      <c r="A132" s="28" t="s">
        <v>158</v>
      </c>
      <c r="B132" s="59" t="s">
        <v>66</v>
      </c>
      <c r="C132" s="59" t="s">
        <v>87</v>
      </c>
      <c r="D132" s="59" t="s">
        <v>265</v>
      </c>
      <c r="E132" s="59" t="s">
        <v>95</v>
      </c>
      <c r="F132" s="58">
        <f>'пр.4 вед.стр.'!G64</f>
        <v>546.5</v>
      </c>
    </row>
    <row r="133" spans="1:6" ht="23.25" customHeight="1">
      <c r="A133" s="28" t="s">
        <v>96</v>
      </c>
      <c r="B133" s="59" t="s">
        <v>66</v>
      </c>
      <c r="C133" s="59" t="s">
        <v>87</v>
      </c>
      <c r="D133" s="59" t="s">
        <v>265</v>
      </c>
      <c r="E133" s="59" t="s">
        <v>97</v>
      </c>
      <c r="F133" s="58">
        <f>'пр.4 вед.стр.'!G65</f>
        <v>0.3000000000000007</v>
      </c>
    </row>
    <row r="134" spans="1:6" ht="25.5">
      <c r="A134" s="28" t="s">
        <v>160</v>
      </c>
      <c r="B134" s="59" t="s">
        <v>66</v>
      </c>
      <c r="C134" s="59" t="s">
        <v>87</v>
      </c>
      <c r="D134" s="59" t="s">
        <v>265</v>
      </c>
      <c r="E134" s="59" t="s">
        <v>159</v>
      </c>
      <c r="F134" s="58">
        <f>'пр.4 вед.стр.'!G66</f>
        <v>151.2</v>
      </c>
    </row>
    <row r="135" spans="1:6" ht="12.75">
      <c r="A135" s="28" t="s">
        <v>610</v>
      </c>
      <c r="B135" s="59" t="s">
        <v>66</v>
      </c>
      <c r="C135" s="59" t="s">
        <v>87</v>
      </c>
      <c r="D135" s="59" t="s">
        <v>265</v>
      </c>
      <c r="E135" s="59" t="s">
        <v>104</v>
      </c>
      <c r="F135" s="58">
        <f>F136</f>
        <v>171.3</v>
      </c>
    </row>
    <row r="136" spans="1:6" ht="15" customHeight="1">
      <c r="A136" s="28" t="s">
        <v>98</v>
      </c>
      <c r="B136" s="59" t="s">
        <v>66</v>
      </c>
      <c r="C136" s="59" t="s">
        <v>87</v>
      </c>
      <c r="D136" s="59" t="s">
        <v>265</v>
      </c>
      <c r="E136" s="59" t="s">
        <v>99</v>
      </c>
      <c r="F136" s="58">
        <f>F137</f>
        <v>171.3</v>
      </c>
    </row>
    <row r="137" spans="1:6" ht="18" customHeight="1">
      <c r="A137" s="28" t="s">
        <v>100</v>
      </c>
      <c r="B137" s="59" t="s">
        <v>66</v>
      </c>
      <c r="C137" s="59" t="s">
        <v>87</v>
      </c>
      <c r="D137" s="59" t="s">
        <v>265</v>
      </c>
      <c r="E137" s="59" t="s">
        <v>101</v>
      </c>
      <c r="F137" s="58">
        <f>'пр.4 вед.стр.'!G69</f>
        <v>171.3</v>
      </c>
    </row>
    <row r="138" spans="1:6" ht="12.75">
      <c r="A138" s="28" t="s">
        <v>418</v>
      </c>
      <c r="B138" s="59" t="s">
        <v>66</v>
      </c>
      <c r="C138" s="59" t="s">
        <v>87</v>
      </c>
      <c r="D138" s="59" t="s">
        <v>419</v>
      </c>
      <c r="E138" s="59"/>
      <c r="F138" s="58">
        <f>F139</f>
        <v>1404.5</v>
      </c>
    </row>
    <row r="139" spans="1:6" ht="12.75">
      <c r="A139" s="28" t="s">
        <v>420</v>
      </c>
      <c r="B139" s="59" t="s">
        <v>66</v>
      </c>
      <c r="C139" s="59" t="s">
        <v>87</v>
      </c>
      <c r="D139" s="59" t="s">
        <v>421</v>
      </c>
      <c r="E139" s="59"/>
      <c r="F139" s="58">
        <f>F140</f>
        <v>1404.5</v>
      </c>
    </row>
    <row r="140" spans="1:6" ht="81.75" customHeight="1">
      <c r="A140" s="28" t="s">
        <v>422</v>
      </c>
      <c r="B140" s="59" t="s">
        <v>66</v>
      </c>
      <c r="C140" s="59" t="s">
        <v>87</v>
      </c>
      <c r="D140" s="59" t="s">
        <v>266</v>
      </c>
      <c r="E140" s="59"/>
      <c r="F140" s="58">
        <f>F141+F146</f>
        <v>1404.5</v>
      </c>
    </row>
    <row r="141" spans="1:6" ht="38.25">
      <c r="A141" s="28" t="s">
        <v>102</v>
      </c>
      <c r="B141" s="59" t="s">
        <v>66</v>
      </c>
      <c r="C141" s="59" t="s">
        <v>87</v>
      </c>
      <c r="D141" s="59" t="s">
        <v>266</v>
      </c>
      <c r="E141" s="59" t="s">
        <v>103</v>
      </c>
      <c r="F141" s="58">
        <f>F142</f>
        <v>1139.7</v>
      </c>
    </row>
    <row r="142" spans="1:6" ht="12.75">
      <c r="A142" s="28" t="s">
        <v>93</v>
      </c>
      <c r="B142" s="59" t="s">
        <v>66</v>
      </c>
      <c r="C142" s="59" t="s">
        <v>87</v>
      </c>
      <c r="D142" s="59" t="s">
        <v>266</v>
      </c>
      <c r="E142" s="59" t="s">
        <v>94</v>
      </c>
      <c r="F142" s="58">
        <f>F143+F144+F145</f>
        <v>1139.7</v>
      </c>
    </row>
    <row r="143" spans="1:6" ht="12.75">
      <c r="A143" s="28" t="s">
        <v>158</v>
      </c>
      <c r="B143" s="59" t="s">
        <v>66</v>
      </c>
      <c r="C143" s="59" t="s">
        <v>87</v>
      </c>
      <c r="D143" s="59" t="s">
        <v>266</v>
      </c>
      <c r="E143" s="59" t="s">
        <v>95</v>
      </c>
      <c r="F143" s="58">
        <f>'пр.4 вед.стр.'!G75</f>
        <v>700.5</v>
      </c>
    </row>
    <row r="144" spans="1:6" ht="25.5">
      <c r="A144" s="28" t="s">
        <v>96</v>
      </c>
      <c r="B144" s="59" t="s">
        <v>66</v>
      </c>
      <c r="C144" s="59" t="s">
        <v>87</v>
      </c>
      <c r="D144" s="59" t="s">
        <v>266</v>
      </c>
      <c r="E144" s="59" t="s">
        <v>97</v>
      </c>
      <c r="F144" s="58">
        <f>'пр.4 вед.стр.'!G76</f>
        <v>200.2</v>
      </c>
    </row>
    <row r="145" spans="1:6" ht="25.5">
      <c r="A145" s="28" t="s">
        <v>160</v>
      </c>
      <c r="B145" s="59" t="s">
        <v>66</v>
      </c>
      <c r="C145" s="59" t="s">
        <v>87</v>
      </c>
      <c r="D145" s="59" t="s">
        <v>266</v>
      </c>
      <c r="E145" s="59" t="s">
        <v>159</v>
      </c>
      <c r="F145" s="58">
        <f>'пр.4 вед.стр.'!G77</f>
        <v>239</v>
      </c>
    </row>
    <row r="146" spans="1:6" ht="12.75">
      <c r="A146" s="28" t="s">
        <v>610</v>
      </c>
      <c r="B146" s="59" t="s">
        <v>66</v>
      </c>
      <c r="C146" s="59" t="s">
        <v>87</v>
      </c>
      <c r="D146" s="59" t="s">
        <v>266</v>
      </c>
      <c r="E146" s="59" t="s">
        <v>104</v>
      </c>
      <c r="F146" s="58">
        <f>F147</f>
        <v>264.8</v>
      </c>
    </row>
    <row r="147" spans="1:6" ht="15" customHeight="1">
      <c r="A147" s="28" t="s">
        <v>98</v>
      </c>
      <c r="B147" s="59" t="s">
        <v>66</v>
      </c>
      <c r="C147" s="59" t="s">
        <v>87</v>
      </c>
      <c r="D147" s="59" t="s">
        <v>266</v>
      </c>
      <c r="E147" s="59" t="s">
        <v>99</v>
      </c>
      <c r="F147" s="58">
        <f>F148</f>
        <v>264.8</v>
      </c>
    </row>
    <row r="148" spans="1:6" ht="15" customHeight="1">
      <c r="A148" s="28" t="s">
        <v>100</v>
      </c>
      <c r="B148" s="59" t="s">
        <v>66</v>
      </c>
      <c r="C148" s="59" t="s">
        <v>87</v>
      </c>
      <c r="D148" s="59" t="s">
        <v>266</v>
      </c>
      <c r="E148" s="59" t="s">
        <v>101</v>
      </c>
      <c r="F148" s="58">
        <f>'пр.4 вед.стр.'!G80</f>
        <v>264.8</v>
      </c>
    </row>
    <row r="149" spans="1:6" ht="25.5">
      <c r="A149" s="126" t="s">
        <v>423</v>
      </c>
      <c r="B149" s="59" t="s">
        <v>66</v>
      </c>
      <c r="C149" s="59" t="s">
        <v>87</v>
      </c>
      <c r="D149" s="161" t="s">
        <v>189</v>
      </c>
      <c r="E149" s="162"/>
      <c r="F149" s="58">
        <f>F150+F158</f>
        <v>50.9</v>
      </c>
    </row>
    <row r="150" spans="1:6" ht="25.5">
      <c r="A150" s="126" t="s">
        <v>243</v>
      </c>
      <c r="B150" s="59" t="s">
        <v>66</v>
      </c>
      <c r="C150" s="59" t="s">
        <v>87</v>
      </c>
      <c r="D150" s="161" t="s">
        <v>338</v>
      </c>
      <c r="E150" s="162"/>
      <c r="F150" s="58">
        <f>F151</f>
        <v>25.9</v>
      </c>
    </row>
    <row r="151" spans="1:6" ht="25.5">
      <c r="A151" s="126" t="s">
        <v>204</v>
      </c>
      <c r="B151" s="59" t="s">
        <v>66</v>
      </c>
      <c r="C151" s="59" t="s">
        <v>87</v>
      </c>
      <c r="D151" s="161" t="s">
        <v>424</v>
      </c>
      <c r="E151" s="162"/>
      <c r="F151" s="58">
        <f>F155+F152</f>
        <v>25.9</v>
      </c>
    </row>
    <row r="152" spans="1:6" ht="38.25">
      <c r="A152" s="28" t="s">
        <v>102</v>
      </c>
      <c r="B152" s="59" t="s">
        <v>66</v>
      </c>
      <c r="C152" s="59" t="s">
        <v>87</v>
      </c>
      <c r="D152" s="161" t="s">
        <v>424</v>
      </c>
      <c r="E152" s="162" t="s">
        <v>103</v>
      </c>
      <c r="F152" s="58">
        <f>F153</f>
        <v>21.2</v>
      </c>
    </row>
    <row r="153" spans="1:6" ht="12.75">
      <c r="A153" s="28" t="s">
        <v>93</v>
      </c>
      <c r="B153" s="59" t="s">
        <v>66</v>
      </c>
      <c r="C153" s="59" t="s">
        <v>87</v>
      </c>
      <c r="D153" s="161" t="s">
        <v>424</v>
      </c>
      <c r="E153" s="162" t="s">
        <v>94</v>
      </c>
      <c r="F153" s="58">
        <f>F154</f>
        <v>21.2</v>
      </c>
    </row>
    <row r="154" spans="1:6" ht="25.5">
      <c r="A154" s="126" t="s">
        <v>638</v>
      </c>
      <c r="B154" s="59" t="s">
        <v>66</v>
      </c>
      <c r="C154" s="59" t="s">
        <v>87</v>
      </c>
      <c r="D154" s="161" t="s">
        <v>424</v>
      </c>
      <c r="E154" s="162" t="s">
        <v>639</v>
      </c>
      <c r="F154" s="58">
        <f>'пр.4 вед.стр.'!G86</f>
        <v>21.2</v>
      </c>
    </row>
    <row r="155" spans="1:6" ht="12.75">
      <c r="A155" s="28" t="s">
        <v>610</v>
      </c>
      <c r="B155" s="59" t="s">
        <v>66</v>
      </c>
      <c r="C155" s="59" t="s">
        <v>87</v>
      </c>
      <c r="D155" s="161" t="s">
        <v>424</v>
      </c>
      <c r="E155" s="162" t="s">
        <v>104</v>
      </c>
      <c r="F155" s="58">
        <f>F156</f>
        <v>4.7</v>
      </c>
    </row>
    <row r="156" spans="1:6" ht="15" customHeight="1">
      <c r="A156" s="28" t="s">
        <v>98</v>
      </c>
      <c r="B156" s="59" t="s">
        <v>66</v>
      </c>
      <c r="C156" s="59" t="s">
        <v>87</v>
      </c>
      <c r="D156" s="161" t="s">
        <v>424</v>
      </c>
      <c r="E156" s="162" t="s">
        <v>99</v>
      </c>
      <c r="F156" s="58">
        <f>F157</f>
        <v>4.7</v>
      </c>
    </row>
    <row r="157" spans="1:6" ht="18.75" customHeight="1">
      <c r="A157" s="28" t="s">
        <v>100</v>
      </c>
      <c r="B157" s="59" t="s">
        <v>66</v>
      </c>
      <c r="C157" s="59" t="s">
        <v>87</v>
      </c>
      <c r="D157" s="161" t="s">
        <v>424</v>
      </c>
      <c r="E157" s="162" t="s">
        <v>101</v>
      </c>
      <c r="F157" s="58">
        <f>'пр.4 вед.стр.'!G89</f>
        <v>4.7</v>
      </c>
    </row>
    <row r="158" spans="1:6" ht="27" customHeight="1">
      <c r="A158" s="28" t="str">
        <f>'пр.4 вед.стр.'!A90</f>
        <v>Основное мероприятие "Профилактика правонарушений по отдельным видам противоправной деятельности"</v>
      </c>
      <c r="B158" s="59" t="s">
        <v>66</v>
      </c>
      <c r="C158" s="59" t="s">
        <v>87</v>
      </c>
      <c r="D158" s="161" t="str">
        <f>'пр.4 вед.стр.'!E90</f>
        <v>7Т 0 05 00000 </v>
      </c>
      <c r="E158" s="58"/>
      <c r="F158" s="58">
        <f>F159+F163</f>
        <v>25</v>
      </c>
    </row>
    <row r="159" spans="1:6" ht="18.75" customHeight="1">
      <c r="A159" s="28" t="str">
        <f>'пр.4 вед.стр.'!A91</f>
        <v>Разработка сметы на оборудование мест массового пребывания людей системой видеонаблюдения</v>
      </c>
      <c r="B159" s="59" t="s">
        <v>66</v>
      </c>
      <c r="C159" s="59" t="s">
        <v>87</v>
      </c>
      <c r="D159" s="161" t="str">
        <f>'пр.4 вед.стр.'!E91</f>
        <v>7Т 0 05 95110 </v>
      </c>
      <c r="E159" s="58"/>
      <c r="F159" s="58">
        <f>F160</f>
        <v>0</v>
      </c>
    </row>
    <row r="160" spans="1:6" ht="18.75" customHeight="1">
      <c r="A160" s="28" t="str">
        <f>'пр.4 вед.стр.'!A92</f>
        <v>Закупка товаров, работ и услуг для обеспечения государственных (муниципальных) нужд</v>
      </c>
      <c r="B160" s="59" t="s">
        <v>66</v>
      </c>
      <c r="C160" s="59" t="s">
        <v>87</v>
      </c>
      <c r="D160" s="161" t="str">
        <f>'пр.4 вед.стр.'!E92</f>
        <v>7Т 0 05 95110 </v>
      </c>
      <c r="E160" s="58" t="str">
        <f>'пр.4 вед.стр.'!F92</f>
        <v>200</v>
      </c>
      <c r="F160" s="58">
        <f>F161</f>
        <v>0</v>
      </c>
    </row>
    <row r="161" spans="1:6" ht="18.75" customHeight="1">
      <c r="A161" s="28" t="str">
        <f>'пр.4 вед.стр.'!A93</f>
        <v>Иные закупки товаров, работ и услуг для обеспечения государственных и муниципальных нужд</v>
      </c>
      <c r="B161" s="59" t="s">
        <v>66</v>
      </c>
      <c r="C161" s="59" t="s">
        <v>87</v>
      </c>
      <c r="D161" s="161" t="str">
        <f>'пр.4 вед.стр.'!E93</f>
        <v>7Т 0 05 95110 </v>
      </c>
      <c r="E161" s="58" t="str">
        <f>'пр.4 вед.стр.'!F93</f>
        <v>240</v>
      </c>
      <c r="F161" s="58">
        <f>F162</f>
        <v>0</v>
      </c>
    </row>
    <row r="162" spans="1:6" ht="18.75" customHeight="1">
      <c r="A162" s="28" t="str">
        <f>'пр.4 вед.стр.'!A94</f>
        <v>Прочая закупка товаров, работ и услуг для обеспечения государственных (муниципальных) нужд</v>
      </c>
      <c r="B162" s="59" t="s">
        <v>66</v>
      </c>
      <c r="C162" s="59" t="s">
        <v>87</v>
      </c>
      <c r="D162" s="161" t="str">
        <f>'пр.4 вед.стр.'!E94</f>
        <v>7Т 0 05 95110 </v>
      </c>
      <c r="E162" s="58" t="str">
        <f>'пр.4 вед.стр.'!F94</f>
        <v>244</v>
      </c>
      <c r="F162" s="58">
        <f>'пр.4 вед.стр.'!G94</f>
        <v>0</v>
      </c>
    </row>
    <row r="163" spans="1:6" ht="18.75" customHeight="1">
      <c r="A163" s="28" t="str">
        <f>'пр.4 вед.стр.'!A95</f>
        <v>Приобретение баннера антитеррористической тематики</v>
      </c>
      <c r="B163" s="59" t="s">
        <v>66</v>
      </c>
      <c r="C163" s="59" t="s">
        <v>87</v>
      </c>
      <c r="D163" s="161" t="str">
        <f>'пр.4 вед.стр.'!E95</f>
        <v>7Т 0 05 95140 </v>
      </c>
      <c r="E163" s="58"/>
      <c r="F163" s="58">
        <f>F164</f>
        <v>25</v>
      </c>
    </row>
    <row r="164" spans="1:6" ht="18.75" customHeight="1">
      <c r="A164" s="28" t="str">
        <f>'пр.4 вед.стр.'!A96</f>
        <v>Закупка товаров, работ и услуг для обеспечения государственных (муниципальных) нужд</v>
      </c>
      <c r="B164" s="59" t="s">
        <v>66</v>
      </c>
      <c r="C164" s="59" t="s">
        <v>87</v>
      </c>
      <c r="D164" s="161" t="str">
        <f>'пр.4 вед.стр.'!E96</f>
        <v>7Т 0 05 95140 </v>
      </c>
      <c r="E164" s="58" t="str">
        <f>'пр.4 вед.стр.'!F96</f>
        <v>200</v>
      </c>
      <c r="F164" s="58">
        <f>F165</f>
        <v>25</v>
      </c>
    </row>
    <row r="165" spans="1:6" ht="18.75" customHeight="1">
      <c r="A165" s="28" t="str">
        <f>'пр.4 вед.стр.'!A97</f>
        <v>Иные закупки товаров, работ и услуг для обеспечения государственных и муниципальных нужд</v>
      </c>
      <c r="B165" s="59" t="s">
        <v>66</v>
      </c>
      <c r="C165" s="59" t="s">
        <v>87</v>
      </c>
      <c r="D165" s="161" t="str">
        <f>'пр.4 вед.стр.'!E97</f>
        <v>7Т 0 05 95140 </v>
      </c>
      <c r="E165" s="58" t="str">
        <f>'пр.4 вед.стр.'!F97</f>
        <v>240</v>
      </c>
      <c r="F165" s="58">
        <f>F166</f>
        <v>25</v>
      </c>
    </row>
    <row r="166" spans="1:6" ht="18.75" customHeight="1">
      <c r="A166" s="28" t="str">
        <f>'пр.4 вед.стр.'!A98</f>
        <v>Прочая закупка товаров, работ и услуг для обеспечения государственных (муниципальных) нужд</v>
      </c>
      <c r="B166" s="59" t="s">
        <v>66</v>
      </c>
      <c r="C166" s="59" t="s">
        <v>87</v>
      </c>
      <c r="D166" s="161" t="str">
        <f>'пр.4 вед.стр.'!E98</f>
        <v>7Т 0 05 95140 </v>
      </c>
      <c r="E166" s="58" t="str">
        <f>'пр.4 вед.стр.'!F98</f>
        <v>244</v>
      </c>
      <c r="F166" s="58">
        <f>'пр.4 вед.стр.'!G98</f>
        <v>25</v>
      </c>
    </row>
    <row r="167" spans="1:6" ht="25.5">
      <c r="A167" s="28" t="s">
        <v>425</v>
      </c>
      <c r="B167" s="59" t="s">
        <v>66</v>
      </c>
      <c r="C167" s="59" t="s">
        <v>87</v>
      </c>
      <c r="D167" s="161" t="s">
        <v>426</v>
      </c>
      <c r="E167" s="162"/>
      <c r="F167" s="58">
        <f>F168</f>
        <v>118.4</v>
      </c>
    </row>
    <row r="168" spans="1:6" ht="25.5">
      <c r="A168" s="28" t="s">
        <v>427</v>
      </c>
      <c r="B168" s="59" t="s">
        <v>66</v>
      </c>
      <c r="C168" s="59" t="s">
        <v>87</v>
      </c>
      <c r="D168" s="161" t="s">
        <v>428</v>
      </c>
      <c r="E168" s="162"/>
      <c r="F168" s="58">
        <f>+F169</f>
        <v>118.4</v>
      </c>
    </row>
    <row r="169" spans="1:17" ht="12.75">
      <c r="A169" s="28" t="s">
        <v>429</v>
      </c>
      <c r="B169" s="59" t="s">
        <v>66</v>
      </c>
      <c r="C169" s="59" t="s">
        <v>87</v>
      </c>
      <c r="D169" s="161" t="s">
        <v>430</v>
      </c>
      <c r="E169" s="162"/>
      <c r="F169" s="58">
        <f>F170</f>
        <v>118.4</v>
      </c>
      <c r="N169" s="105"/>
      <c r="O169" s="105"/>
      <c r="P169" s="105"/>
      <c r="Q169" s="105"/>
    </row>
    <row r="170" spans="1:17" ht="12.75">
      <c r="A170" s="28" t="s">
        <v>610</v>
      </c>
      <c r="B170" s="59" t="s">
        <v>66</v>
      </c>
      <c r="C170" s="59" t="s">
        <v>87</v>
      </c>
      <c r="D170" s="161" t="s">
        <v>430</v>
      </c>
      <c r="E170" s="162" t="s">
        <v>104</v>
      </c>
      <c r="F170" s="58">
        <f>F171</f>
        <v>118.4</v>
      </c>
      <c r="N170" s="105"/>
      <c r="O170" s="105"/>
      <c r="P170" s="105"/>
      <c r="Q170" s="105"/>
    </row>
    <row r="171" spans="1:17" ht="18" customHeight="1">
      <c r="A171" s="28" t="s">
        <v>98</v>
      </c>
      <c r="B171" s="59" t="s">
        <v>66</v>
      </c>
      <c r="C171" s="59" t="s">
        <v>87</v>
      </c>
      <c r="D171" s="161" t="s">
        <v>430</v>
      </c>
      <c r="E171" s="162" t="s">
        <v>99</v>
      </c>
      <c r="F171" s="58">
        <f>F172</f>
        <v>118.4</v>
      </c>
      <c r="N171" s="105"/>
      <c r="O171" s="105"/>
      <c r="P171" s="105"/>
      <c r="Q171" s="105"/>
    </row>
    <row r="172" spans="1:18" s="30" customFormat="1" ht="12.75" customHeight="1">
      <c r="A172" s="28" t="s">
        <v>100</v>
      </c>
      <c r="B172" s="59" t="s">
        <v>66</v>
      </c>
      <c r="C172" s="59" t="s">
        <v>87</v>
      </c>
      <c r="D172" s="161" t="s">
        <v>430</v>
      </c>
      <c r="E172" s="162" t="s">
        <v>101</v>
      </c>
      <c r="F172" s="58">
        <f>'пр.4 вед.стр.'!G104</f>
        <v>118.4</v>
      </c>
      <c r="N172" s="105"/>
      <c r="O172" s="105"/>
      <c r="P172" s="105"/>
      <c r="Q172" s="105"/>
      <c r="R172" s="105"/>
    </row>
    <row r="173" spans="1:18" s="30" customFormat="1" ht="12.75">
      <c r="A173" s="28" t="s">
        <v>360</v>
      </c>
      <c r="B173" s="59" t="s">
        <v>66</v>
      </c>
      <c r="C173" s="59" t="s">
        <v>87</v>
      </c>
      <c r="D173" s="59" t="s">
        <v>215</v>
      </c>
      <c r="E173" s="59"/>
      <c r="F173" s="58">
        <f>F174</f>
        <v>368</v>
      </c>
      <c r="N173" s="105"/>
      <c r="O173" s="105"/>
      <c r="P173" s="105"/>
      <c r="Q173" s="105"/>
      <c r="R173" s="105"/>
    </row>
    <row r="174" spans="1:18" s="30" customFormat="1" ht="12.75" customHeight="1">
      <c r="A174" s="28" t="s">
        <v>361</v>
      </c>
      <c r="B174" s="59" t="s">
        <v>66</v>
      </c>
      <c r="C174" s="59" t="s">
        <v>87</v>
      </c>
      <c r="D174" s="59" t="s">
        <v>358</v>
      </c>
      <c r="E174" s="59"/>
      <c r="F174" s="58">
        <f>F175</f>
        <v>368</v>
      </c>
      <c r="N174" s="105"/>
      <c r="O174" s="105"/>
      <c r="P174" s="105"/>
      <c r="Q174" s="105"/>
      <c r="R174" s="105"/>
    </row>
    <row r="175" spans="1:18" s="30" customFormat="1" ht="38.25">
      <c r="A175" s="28" t="s">
        <v>287</v>
      </c>
      <c r="B175" s="59" t="s">
        <v>66</v>
      </c>
      <c r="C175" s="59" t="s">
        <v>87</v>
      </c>
      <c r="D175" s="59" t="s">
        <v>359</v>
      </c>
      <c r="E175" s="59"/>
      <c r="F175" s="58">
        <f>F176</f>
        <v>368</v>
      </c>
      <c r="N175" s="102"/>
      <c r="O175" s="102"/>
      <c r="P175" s="102"/>
      <c r="Q175" s="102"/>
      <c r="R175" s="105"/>
    </row>
    <row r="176" spans="1:18" s="30" customFormat="1" ht="39.75" customHeight="1">
      <c r="A176" s="28" t="s">
        <v>102</v>
      </c>
      <c r="B176" s="59" t="s">
        <v>66</v>
      </c>
      <c r="C176" s="59" t="s">
        <v>87</v>
      </c>
      <c r="D176" s="59" t="s">
        <v>359</v>
      </c>
      <c r="E176" s="59" t="s">
        <v>103</v>
      </c>
      <c r="F176" s="58">
        <f>F177+F179</f>
        <v>368</v>
      </c>
      <c r="N176" s="102"/>
      <c r="O176" s="102"/>
      <c r="P176" s="102"/>
      <c r="Q176" s="102"/>
      <c r="R176" s="105"/>
    </row>
    <row r="177" spans="1:18" s="30" customFormat="1" ht="15.75" customHeight="1">
      <c r="A177" s="28" t="s">
        <v>295</v>
      </c>
      <c r="B177" s="59" t="s">
        <v>66</v>
      </c>
      <c r="C177" s="59" t="s">
        <v>87</v>
      </c>
      <c r="D177" s="59" t="s">
        <v>359</v>
      </c>
      <c r="E177" s="59" t="s">
        <v>297</v>
      </c>
      <c r="F177" s="58">
        <f>F178</f>
        <v>368</v>
      </c>
      <c r="N177" s="102"/>
      <c r="O177" s="102"/>
      <c r="P177" s="102"/>
      <c r="Q177" s="102"/>
      <c r="R177" s="105"/>
    </row>
    <row r="178" spans="1:18" s="30" customFormat="1" ht="18" customHeight="1">
      <c r="A178" s="28" t="s">
        <v>434</v>
      </c>
      <c r="B178" s="59" t="s">
        <v>66</v>
      </c>
      <c r="C178" s="59" t="s">
        <v>87</v>
      </c>
      <c r="D178" s="59" t="s">
        <v>359</v>
      </c>
      <c r="E178" s="59" t="s">
        <v>296</v>
      </c>
      <c r="F178" s="58">
        <f>'пр.4 вед.стр.'!G400</f>
        <v>368</v>
      </c>
      <c r="N178" s="102"/>
      <c r="O178" s="102"/>
      <c r="P178" s="102"/>
      <c r="Q178" s="102"/>
      <c r="R178" s="105"/>
    </row>
    <row r="179" spans="1:18" s="30" customFormat="1" ht="12.75">
      <c r="A179" s="28" t="s">
        <v>93</v>
      </c>
      <c r="B179" s="59" t="s">
        <v>66</v>
      </c>
      <c r="C179" s="59" t="s">
        <v>87</v>
      </c>
      <c r="D179" s="59" t="s">
        <v>359</v>
      </c>
      <c r="E179" s="59" t="s">
        <v>94</v>
      </c>
      <c r="F179" s="58">
        <f>F180</f>
        <v>0</v>
      </c>
      <c r="N179" s="102"/>
      <c r="O179" s="102"/>
      <c r="P179" s="102"/>
      <c r="Q179" s="102"/>
      <c r="R179" s="105"/>
    </row>
    <row r="180" spans="1:18" s="30" customFormat="1" ht="25.5">
      <c r="A180" s="28" t="s">
        <v>96</v>
      </c>
      <c r="B180" s="59" t="s">
        <v>66</v>
      </c>
      <c r="C180" s="59" t="s">
        <v>87</v>
      </c>
      <c r="D180" s="59" t="s">
        <v>359</v>
      </c>
      <c r="E180" s="59" t="s">
        <v>97</v>
      </c>
      <c r="F180" s="58">
        <f>'пр.4 вед.стр.'!G110</f>
        <v>0</v>
      </c>
      <c r="N180" s="105"/>
      <c r="O180" s="105"/>
      <c r="P180" s="105"/>
      <c r="Q180" s="105"/>
      <c r="R180" s="105"/>
    </row>
    <row r="181" spans="1:18" s="30" customFormat="1" ht="25.5">
      <c r="A181" s="28" t="s">
        <v>416</v>
      </c>
      <c r="B181" s="59" t="s">
        <v>66</v>
      </c>
      <c r="C181" s="59" t="s">
        <v>87</v>
      </c>
      <c r="D181" s="149" t="str">
        <f>'пр.4 вед.стр.'!E111</f>
        <v>Р2 0 00 00000</v>
      </c>
      <c r="E181" s="149"/>
      <c r="F181" s="146">
        <f>F182</f>
        <v>1927.4</v>
      </c>
      <c r="N181" s="105"/>
      <c r="O181" s="105"/>
      <c r="P181" s="105"/>
      <c r="Q181" s="105"/>
      <c r="R181" s="105"/>
    </row>
    <row r="182" spans="1:18" s="25" customFormat="1" ht="12.75">
      <c r="A182" s="28" t="str">
        <f>'пр.4 вед.стр.'!A112</f>
        <v>Финансовое обеспечение деятельности отдела записи актов гражданского состояния (местный бюджет)</v>
      </c>
      <c r="B182" s="59" t="s">
        <v>66</v>
      </c>
      <c r="C182" s="59" t="s">
        <v>87</v>
      </c>
      <c r="D182" s="149" t="str">
        <f>'пр.4 вед.стр.'!E112</f>
        <v>Р2 5 00 00000</v>
      </c>
      <c r="E182" s="149"/>
      <c r="F182" s="146">
        <f>F183+F189</f>
        <v>1927.4</v>
      </c>
      <c r="N182" s="102"/>
      <c r="O182" s="102"/>
      <c r="P182" s="102"/>
      <c r="Q182" s="102"/>
      <c r="R182" s="102"/>
    </row>
    <row r="183" spans="1:18" s="25" customFormat="1" ht="12.75">
      <c r="A183" s="28" t="str">
        <f>'пр.4 вед.стр.'!A113</f>
        <v>Расходы на выплаты по оплате труда работников муниципальных органов</v>
      </c>
      <c r="B183" s="59" t="s">
        <v>66</v>
      </c>
      <c r="C183" s="59" t="s">
        <v>87</v>
      </c>
      <c r="D183" s="149" t="str">
        <f>'пр.4 вед.стр.'!E113</f>
        <v>Р2 5 00 00210</v>
      </c>
      <c r="E183" s="149"/>
      <c r="F183" s="146">
        <f>'пр.4 вед.стр.'!G113</f>
        <v>1842.9</v>
      </c>
      <c r="N183" s="102"/>
      <c r="O183" s="102"/>
      <c r="P183" s="102"/>
      <c r="Q183" s="102"/>
      <c r="R183" s="102"/>
    </row>
    <row r="184" spans="1:18" s="25" customFormat="1" ht="38.25">
      <c r="A184" s="28" t="str">
        <f>'пр.4 вед.стр.'!A114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84" s="59" t="s">
        <v>66</v>
      </c>
      <c r="C184" s="59" t="s">
        <v>87</v>
      </c>
      <c r="D184" s="149" t="str">
        <f>'пр.4 вед.стр.'!E114</f>
        <v>Р2 5 00 00210</v>
      </c>
      <c r="E184" s="149" t="str">
        <f>'пр.4 вед.стр.'!F114</f>
        <v>100</v>
      </c>
      <c r="F184" s="146">
        <f>F185</f>
        <v>1842.9</v>
      </c>
      <c r="N184" s="102"/>
      <c r="O184" s="102"/>
      <c r="P184" s="102"/>
      <c r="Q184" s="102"/>
      <c r="R184" s="102"/>
    </row>
    <row r="185" spans="1:18" s="25" customFormat="1" ht="12.75">
      <c r="A185" s="28" t="str">
        <f>'пр.4 вед.стр.'!A115</f>
        <v>Расходы на выплаты персоналу государственных (муниципальных) органов</v>
      </c>
      <c r="B185" s="59" t="s">
        <v>66</v>
      </c>
      <c r="C185" s="59" t="s">
        <v>87</v>
      </c>
      <c r="D185" s="149" t="str">
        <f>'пр.4 вед.стр.'!E115</f>
        <v>Р2 5 00 00210</v>
      </c>
      <c r="E185" s="149" t="str">
        <f>'пр.4 вед.стр.'!F115</f>
        <v>120</v>
      </c>
      <c r="F185" s="146">
        <f>F186+F187+F188</f>
        <v>1842.9</v>
      </c>
      <c r="N185" s="102"/>
      <c r="O185" s="102"/>
      <c r="P185" s="102"/>
      <c r="Q185" s="102"/>
      <c r="R185" s="102"/>
    </row>
    <row r="186" spans="1:6" ht="12.75">
      <c r="A186" s="28" t="str">
        <f>'пр.4 вед.стр.'!A116</f>
        <v>Фонд оплаты труда государственных (муниципальных) органов </v>
      </c>
      <c r="B186" s="59" t="s">
        <v>66</v>
      </c>
      <c r="C186" s="59" t="s">
        <v>87</v>
      </c>
      <c r="D186" s="149" t="str">
        <f>'пр.4 вед.стр.'!E116</f>
        <v>Р2 5 00 00210</v>
      </c>
      <c r="E186" s="149" t="str">
        <f>'пр.4 вед.стр.'!F116</f>
        <v>121</v>
      </c>
      <c r="F186" s="146">
        <f>'пр.4 вед.стр.'!G116</f>
        <v>1400</v>
      </c>
    </row>
    <row r="187" spans="1:6" ht="25.5">
      <c r="A187" s="28" t="str">
        <f>'пр.4 вед.стр.'!A117</f>
        <v>Иные выплаты персоналу государственных (муниципальных) органов, за исключением фонда оплаты труда</v>
      </c>
      <c r="B187" s="59" t="s">
        <v>66</v>
      </c>
      <c r="C187" s="59" t="s">
        <v>87</v>
      </c>
      <c r="D187" s="149" t="str">
        <f>'пр.4 вед.стр.'!E117</f>
        <v>Р2 5 00 00210</v>
      </c>
      <c r="E187" s="149" t="str">
        <f>'пр.4 вед.стр.'!F117</f>
        <v>122</v>
      </c>
      <c r="F187" s="146">
        <f>'пр.4 вед.стр.'!G117</f>
        <v>26</v>
      </c>
    </row>
    <row r="188" spans="1:6" ht="26.25" customHeight="1">
      <c r="A188" s="28" t="str">
        <f>'пр.4 вед.стр.'!A118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B188" s="59" t="s">
        <v>66</v>
      </c>
      <c r="C188" s="59" t="s">
        <v>87</v>
      </c>
      <c r="D188" s="149" t="str">
        <f>'пр.4 вед.стр.'!E118</f>
        <v>Р2 5 00 00210</v>
      </c>
      <c r="E188" s="149" t="str">
        <f>'пр.4 вед.стр.'!F118</f>
        <v>129</v>
      </c>
      <c r="F188" s="146">
        <f>'пр.4 вед.стр.'!G118</f>
        <v>416.9</v>
      </c>
    </row>
    <row r="189" spans="1:6" ht="12.75">
      <c r="A189" s="28" t="str">
        <f>'пр.4 вед.стр.'!A119</f>
        <v>Расходы на обеспечение функций муниципальных органов</v>
      </c>
      <c r="B189" s="59" t="s">
        <v>66</v>
      </c>
      <c r="C189" s="59" t="s">
        <v>87</v>
      </c>
      <c r="D189" s="149" t="str">
        <f>'пр.4 вед.стр.'!E119</f>
        <v>Р2 5 00 00290</v>
      </c>
      <c r="E189" s="149"/>
      <c r="F189" s="146">
        <f>F190</f>
        <v>84.5</v>
      </c>
    </row>
    <row r="190" spans="1:6" ht="14.25" customHeight="1">
      <c r="A190" s="28" t="str">
        <f>'пр.4 вед.стр.'!A120</f>
        <v>Закупка товаров, работ и услуг для обеспечения государственных (муниципальных) нужд</v>
      </c>
      <c r="B190" s="59" t="s">
        <v>66</v>
      </c>
      <c r="C190" s="59" t="s">
        <v>87</v>
      </c>
      <c r="D190" s="149" t="str">
        <f>'пр.4 вед.стр.'!E120</f>
        <v>Р2 5 00 00290</v>
      </c>
      <c r="E190" s="149" t="str">
        <f>'пр.4 вед.стр.'!F120</f>
        <v>200</v>
      </c>
      <c r="F190" s="146">
        <f>F191</f>
        <v>84.5</v>
      </c>
    </row>
    <row r="191" spans="1:6" ht="15" customHeight="1">
      <c r="A191" s="28" t="str">
        <f>'пр.4 вед.стр.'!A121</f>
        <v>Иные закупки товаров, работ и услуг для обеспечения государственных и муниципальных нужд</v>
      </c>
      <c r="B191" s="59" t="s">
        <v>66</v>
      </c>
      <c r="C191" s="59" t="s">
        <v>87</v>
      </c>
      <c r="D191" s="149" t="str">
        <f>'пр.4 вед.стр.'!E121</f>
        <v>Р2 5 00 00290</v>
      </c>
      <c r="E191" s="149" t="str">
        <f>'пр.4 вед.стр.'!F121</f>
        <v>240</v>
      </c>
      <c r="F191" s="146">
        <f>F192</f>
        <v>84.5</v>
      </c>
    </row>
    <row r="192" spans="1:6" ht="16.5" customHeight="1">
      <c r="A192" s="28" t="str">
        <f>'пр.4 вед.стр.'!A122</f>
        <v>Прочая закупка товаров, работ и услуг для обеспечения государственных (муниципальных) нужд</v>
      </c>
      <c r="B192" s="59" t="s">
        <v>66</v>
      </c>
      <c r="C192" s="59" t="s">
        <v>87</v>
      </c>
      <c r="D192" s="149" t="str">
        <f>'пр.4 вед.стр.'!E122</f>
        <v>Р2 5 00 00290</v>
      </c>
      <c r="E192" s="149" t="str">
        <f>'пр.4 вед.стр.'!F122</f>
        <v>244</v>
      </c>
      <c r="F192" s="146">
        <f>'пр.4 вед.стр.'!G122</f>
        <v>84.5</v>
      </c>
    </row>
    <row r="193" spans="1:17" ht="12.75">
      <c r="A193" s="28" t="s">
        <v>471</v>
      </c>
      <c r="B193" s="59" t="s">
        <v>66</v>
      </c>
      <c r="C193" s="59" t="s">
        <v>87</v>
      </c>
      <c r="D193" s="161" t="s">
        <v>472</v>
      </c>
      <c r="E193" s="63"/>
      <c r="F193" s="58">
        <f>F194</f>
        <v>34190</v>
      </c>
      <c r="N193" s="105"/>
      <c r="O193" s="105"/>
      <c r="P193" s="105"/>
      <c r="Q193" s="105"/>
    </row>
    <row r="194" spans="1:17" ht="25.5" customHeight="1">
      <c r="A194" s="28" t="s">
        <v>473</v>
      </c>
      <c r="B194" s="59" t="s">
        <v>66</v>
      </c>
      <c r="C194" s="59" t="s">
        <v>87</v>
      </c>
      <c r="D194" s="161" t="s">
        <v>474</v>
      </c>
      <c r="E194" s="63"/>
      <c r="F194" s="58">
        <f>F195</f>
        <v>34190</v>
      </c>
      <c r="N194" s="105"/>
      <c r="O194" s="105"/>
      <c r="P194" s="105"/>
      <c r="Q194" s="105"/>
    </row>
    <row r="195" spans="1:17" ht="12.75">
      <c r="A195" s="28" t="s">
        <v>249</v>
      </c>
      <c r="B195" s="59" t="s">
        <v>66</v>
      </c>
      <c r="C195" s="59" t="s">
        <v>87</v>
      </c>
      <c r="D195" s="161" t="s">
        <v>475</v>
      </c>
      <c r="E195" s="63"/>
      <c r="F195" s="58">
        <f>F196+F201+F204</f>
        <v>34190</v>
      </c>
      <c r="N195" s="105"/>
      <c r="O195" s="105"/>
      <c r="P195" s="105"/>
      <c r="Q195" s="105"/>
    </row>
    <row r="196" spans="1:17" ht="38.25">
      <c r="A196" s="28" t="s">
        <v>102</v>
      </c>
      <c r="B196" s="59" t="s">
        <v>66</v>
      </c>
      <c r="C196" s="59" t="s">
        <v>87</v>
      </c>
      <c r="D196" s="161" t="s">
        <v>475</v>
      </c>
      <c r="E196" s="59" t="s">
        <v>103</v>
      </c>
      <c r="F196" s="58">
        <f>F197</f>
        <v>21184</v>
      </c>
      <c r="N196" s="105"/>
      <c r="O196" s="105"/>
      <c r="P196" s="105"/>
      <c r="Q196" s="105"/>
    </row>
    <row r="197" spans="1:17" ht="12.75">
      <c r="A197" s="28" t="s">
        <v>295</v>
      </c>
      <c r="B197" s="59" t="s">
        <v>66</v>
      </c>
      <c r="C197" s="59" t="s">
        <v>87</v>
      </c>
      <c r="D197" s="161" t="s">
        <v>475</v>
      </c>
      <c r="E197" s="59" t="s">
        <v>297</v>
      </c>
      <c r="F197" s="58">
        <f>F198+F199+F200</f>
        <v>21184</v>
      </c>
      <c r="N197" s="105"/>
      <c r="O197" s="105"/>
      <c r="P197" s="105"/>
      <c r="Q197" s="105"/>
    </row>
    <row r="198" spans="1:17" ht="12.75">
      <c r="A198" s="28" t="s">
        <v>437</v>
      </c>
      <c r="B198" s="59" t="s">
        <v>66</v>
      </c>
      <c r="C198" s="59" t="s">
        <v>87</v>
      </c>
      <c r="D198" s="161" t="s">
        <v>475</v>
      </c>
      <c r="E198" s="59" t="s">
        <v>298</v>
      </c>
      <c r="F198" s="58">
        <f>'пр.4 вед.стр.'!G406</f>
        <v>16280</v>
      </c>
      <c r="N198" s="105"/>
      <c r="O198" s="105"/>
      <c r="P198" s="105"/>
      <c r="Q198" s="105"/>
    </row>
    <row r="199" spans="1:17" ht="12.75">
      <c r="A199" s="28" t="s">
        <v>476</v>
      </c>
      <c r="B199" s="59" t="s">
        <v>66</v>
      </c>
      <c r="C199" s="59" t="s">
        <v>87</v>
      </c>
      <c r="D199" s="161" t="s">
        <v>475</v>
      </c>
      <c r="E199" s="59" t="s">
        <v>296</v>
      </c>
      <c r="F199" s="58">
        <f>'пр.4 вед.стр.'!G407</f>
        <v>124</v>
      </c>
      <c r="N199" s="105"/>
      <c r="O199" s="105"/>
      <c r="P199" s="105"/>
      <c r="Q199" s="105"/>
    </row>
    <row r="200" spans="1:17" ht="25.5">
      <c r="A200" s="28" t="s">
        <v>477</v>
      </c>
      <c r="B200" s="59" t="s">
        <v>66</v>
      </c>
      <c r="C200" s="59" t="s">
        <v>87</v>
      </c>
      <c r="D200" s="161" t="s">
        <v>475</v>
      </c>
      <c r="E200" s="59" t="s">
        <v>299</v>
      </c>
      <c r="F200" s="58">
        <f>'пр.4 вед.стр.'!G408</f>
        <v>4780</v>
      </c>
      <c r="N200" s="105"/>
      <c r="O200" s="105"/>
      <c r="P200" s="105"/>
      <c r="Q200" s="105"/>
    </row>
    <row r="201" spans="1:17" ht="12.75">
      <c r="A201" s="28" t="s">
        <v>610</v>
      </c>
      <c r="B201" s="59" t="s">
        <v>66</v>
      </c>
      <c r="C201" s="59" t="s">
        <v>87</v>
      </c>
      <c r="D201" s="161" t="s">
        <v>475</v>
      </c>
      <c r="E201" s="59" t="s">
        <v>104</v>
      </c>
      <c r="F201" s="58">
        <f>F202</f>
        <v>12902.5</v>
      </c>
      <c r="N201" s="105"/>
      <c r="O201" s="105"/>
      <c r="P201" s="105"/>
      <c r="Q201" s="105"/>
    </row>
    <row r="202" spans="1:17" ht="15.75" customHeight="1">
      <c r="A202" s="28" t="s">
        <v>98</v>
      </c>
      <c r="B202" s="59" t="s">
        <v>66</v>
      </c>
      <c r="C202" s="59" t="s">
        <v>87</v>
      </c>
      <c r="D202" s="161" t="s">
        <v>475</v>
      </c>
      <c r="E202" s="59" t="s">
        <v>99</v>
      </c>
      <c r="F202" s="58">
        <f>F203</f>
        <v>12902.5</v>
      </c>
      <c r="N202" s="105"/>
      <c r="O202" s="105"/>
      <c r="P202" s="105"/>
      <c r="Q202" s="105"/>
    </row>
    <row r="203" spans="1:17" ht="16.5" customHeight="1">
      <c r="A203" s="28" t="s">
        <v>100</v>
      </c>
      <c r="B203" s="59" t="s">
        <v>66</v>
      </c>
      <c r="C203" s="59" t="s">
        <v>87</v>
      </c>
      <c r="D203" s="161" t="s">
        <v>475</v>
      </c>
      <c r="E203" s="59" t="s">
        <v>101</v>
      </c>
      <c r="F203" s="58">
        <f>'пр.4 вед.стр.'!G411</f>
        <v>12902.5</v>
      </c>
      <c r="N203" s="105"/>
      <c r="O203" s="105"/>
      <c r="P203" s="105"/>
      <c r="Q203" s="105"/>
    </row>
    <row r="204" spans="1:17" ht="12.75">
      <c r="A204" s="28" t="s">
        <v>128</v>
      </c>
      <c r="B204" s="59" t="s">
        <v>66</v>
      </c>
      <c r="C204" s="59" t="s">
        <v>87</v>
      </c>
      <c r="D204" s="161" t="s">
        <v>475</v>
      </c>
      <c r="E204" s="59" t="s">
        <v>129</v>
      </c>
      <c r="F204" s="58">
        <f>F205</f>
        <v>103.5</v>
      </c>
      <c r="N204" s="105"/>
      <c r="O204" s="105"/>
      <c r="P204" s="105"/>
      <c r="Q204" s="105"/>
    </row>
    <row r="205" spans="1:17" ht="12.75">
      <c r="A205" s="28" t="s">
        <v>131</v>
      </c>
      <c r="B205" s="59" t="s">
        <v>66</v>
      </c>
      <c r="C205" s="59" t="s">
        <v>87</v>
      </c>
      <c r="D205" s="161" t="s">
        <v>475</v>
      </c>
      <c r="E205" s="59" t="s">
        <v>132</v>
      </c>
      <c r="F205" s="58">
        <f>F207+F206</f>
        <v>103.5</v>
      </c>
      <c r="N205" s="105"/>
      <c r="O205" s="105"/>
      <c r="P205" s="105"/>
      <c r="Q205" s="105"/>
    </row>
    <row r="206" spans="1:17" ht="12.75">
      <c r="A206" s="28" t="s">
        <v>133</v>
      </c>
      <c r="B206" s="59" t="s">
        <v>66</v>
      </c>
      <c r="C206" s="59" t="s">
        <v>87</v>
      </c>
      <c r="D206" s="161" t="s">
        <v>475</v>
      </c>
      <c r="E206" s="59" t="s">
        <v>134</v>
      </c>
      <c r="F206" s="58">
        <f>'пр.4 вед.стр.'!G414</f>
        <v>60</v>
      </c>
      <c r="N206" s="105"/>
      <c r="O206" s="105"/>
      <c r="P206" s="105"/>
      <c r="Q206" s="105"/>
    </row>
    <row r="207" spans="1:17" ht="12.75">
      <c r="A207" s="28" t="s">
        <v>161</v>
      </c>
      <c r="B207" s="59" t="s">
        <v>66</v>
      </c>
      <c r="C207" s="59" t="s">
        <v>87</v>
      </c>
      <c r="D207" s="161" t="s">
        <v>475</v>
      </c>
      <c r="E207" s="59" t="s">
        <v>135</v>
      </c>
      <c r="F207" s="58">
        <f>'пр.4 вед.стр.'!G415</f>
        <v>43.5</v>
      </c>
      <c r="N207" s="105"/>
      <c r="O207" s="105"/>
      <c r="P207" s="105"/>
      <c r="Q207" s="105"/>
    </row>
    <row r="208" spans="1:17" ht="25.5">
      <c r="A208" s="154" t="s">
        <v>205</v>
      </c>
      <c r="B208" s="59" t="s">
        <v>66</v>
      </c>
      <c r="C208" s="59" t="s">
        <v>87</v>
      </c>
      <c r="D208" s="59" t="s">
        <v>223</v>
      </c>
      <c r="E208" s="59"/>
      <c r="F208" s="58">
        <f>F209</f>
        <v>2135</v>
      </c>
      <c r="N208" s="105"/>
      <c r="O208" s="105"/>
      <c r="P208" s="105"/>
      <c r="Q208" s="105"/>
    </row>
    <row r="209" spans="1:17" ht="25.5">
      <c r="A209" s="28" t="s">
        <v>416</v>
      </c>
      <c r="B209" s="59" t="s">
        <v>66</v>
      </c>
      <c r="C209" s="59" t="s">
        <v>87</v>
      </c>
      <c r="D209" s="59" t="s">
        <v>364</v>
      </c>
      <c r="E209" s="59"/>
      <c r="F209" s="58">
        <f>F210+F214</f>
        <v>2135</v>
      </c>
      <c r="N209" s="105"/>
      <c r="O209" s="105"/>
      <c r="P209" s="105"/>
      <c r="Q209" s="105"/>
    </row>
    <row r="210" spans="1:17" ht="12.75">
      <c r="A210" s="154" t="s">
        <v>392</v>
      </c>
      <c r="B210" s="59" t="s">
        <v>66</v>
      </c>
      <c r="C210" s="59" t="s">
        <v>87</v>
      </c>
      <c r="D210" s="59" t="s">
        <v>393</v>
      </c>
      <c r="E210" s="59"/>
      <c r="F210" s="58">
        <f>F211</f>
        <v>1325</v>
      </c>
      <c r="N210" s="105"/>
      <c r="O210" s="105"/>
      <c r="P210" s="105"/>
      <c r="Q210" s="105"/>
    </row>
    <row r="211" spans="1:17" ht="12.75">
      <c r="A211" s="28" t="s">
        <v>610</v>
      </c>
      <c r="B211" s="59" t="s">
        <v>66</v>
      </c>
      <c r="C211" s="59" t="s">
        <v>87</v>
      </c>
      <c r="D211" s="59" t="s">
        <v>393</v>
      </c>
      <c r="E211" s="59" t="s">
        <v>104</v>
      </c>
      <c r="F211" s="58">
        <f>F212</f>
        <v>1325</v>
      </c>
      <c r="N211" s="105"/>
      <c r="O211" s="105"/>
      <c r="P211" s="105"/>
      <c r="Q211" s="105"/>
    </row>
    <row r="212" spans="1:17" ht="14.25" customHeight="1">
      <c r="A212" s="28" t="s">
        <v>98</v>
      </c>
      <c r="B212" s="59" t="s">
        <v>66</v>
      </c>
      <c r="C212" s="59" t="s">
        <v>87</v>
      </c>
      <c r="D212" s="59" t="s">
        <v>393</v>
      </c>
      <c r="E212" s="59" t="s">
        <v>99</v>
      </c>
      <c r="F212" s="58">
        <f>F213</f>
        <v>1325</v>
      </c>
      <c r="N212" s="105"/>
      <c r="O212" s="105"/>
      <c r="P212" s="105"/>
      <c r="Q212" s="105"/>
    </row>
    <row r="213" spans="1:17" ht="15.75" customHeight="1">
      <c r="A213" s="28" t="s">
        <v>100</v>
      </c>
      <c r="B213" s="59" t="s">
        <v>66</v>
      </c>
      <c r="C213" s="59" t="s">
        <v>87</v>
      </c>
      <c r="D213" s="59" t="s">
        <v>393</v>
      </c>
      <c r="E213" s="59" t="s">
        <v>101</v>
      </c>
      <c r="F213" s="58">
        <f>'пр.4 вед.стр.'!G421</f>
        <v>1325</v>
      </c>
      <c r="N213" s="105"/>
      <c r="O213" s="105"/>
      <c r="P213" s="105"/>
      <c r="Q213" s="105"/>
    </row>
    <row r="214" spans="1:17" ht="25.5">
      <c r="A214" s="154" t="s">
        <v>603</v>
      </c>
      <c r="B214" s="59" t="s">
        <v>66</v>
      </c>
      <c r="C214" s="59" t="s">
        <v>87</v>
      </c>
      <c r="D214" s="59" t="s">
        <v>478</v>
      </c>
      <c r="E214" s="59"/>
      <c r="F214" s="58">
        <f>F215+F221+F220</f>
        <v>810</v>
      </c>
      <c r="N214" s="105"/>
      <c r="O214" s="105"/>
      <c r="P214" s="105"/>
      <c r="Q214" s="105"/>
    </row>
    <row r="215" spans="1:17" ht="12.75">
      <c r="A215" s="28" t="s">
        <v>610</v>
      </c>
      <c r="B215" s="59" t="s">
        <v>66</v>
      </c>
      <c r="C215" s="59" t="s">
        <v>87</v>
      </c>
      <c r="D215" s="59" t="s">
        <v>478</v>
      </c>
      <c r="E215" s="59" t="s">
        <v>104</v>
      </c>
      <c r="F215" s="58">
        <f>F216</f>
        <v>800</v>
      </c>
      <c r="N215" s="105"/>
      <c r="O215" s="105"/>
      <c r="P215" s="105"/>
      <c r="Q215" s="105"/>
    </row>
    <row r="216" spans="1:17" ht="15" customHeight="1">
      <c r="A216" s="28" t="s">
        <v>98</v>
      </c>
      <c r="B216" s="59" t="s">
        <v>66</v>
      </c>
      <c r="C216" s="59" t="s">
        <v>87</v>
      </c>
      <c r="D216" s="59" t="s">
        <v>478</v>
      </c>
      <c r="E216" s="59" t="s">
        <v>99</v>
      </c>
      <c r="F216" s="58">
        <f>F217</f>
        <v>800</v>
      </c>
      <c r="N216" s="105"/>
      <c r="O216" s="105"/>
      <c r="P216" s="105"/>
      <c r="Q216" s="105"/>
    </row>
    <row r="217" spans="1:17" ht="15" customHeight="1">
      <c r="A217" s="28" t="s">
        <v>100</v>
      </c>
      <c r="B217" s="59" t="s">
        <v>66</v>
      </c>
      <c r="C217" s="59" t="s">
        <v>87</v>
      </c>
      <c r="D217" s="59" t="s">
        <v>478</v>
      </c>
      <c r="E217" s="59" t="s">
        <v>101</v>
      </c>
      <c r="F217" s="58">
        <f>'пр.4 вед.стр.'!G425</f>
        <v>800</v>
      </c>
      <c r="N217" s="105"/>
      <c r="O217" s="105"/>
      <c r="P217" s="105"/>
      <c r="Q217" s="105"/>
    </row>
    <row r="218" spans="1:6" ht="12.75">
      <c r="A218" s="28" t="s">
        <v>128</v>
      </c>
      <c r="B218" s="59" t="s">
        <v>66</v>
      </c>
      <c r="C218" s="59" t="s">
        <v>87</v>
      </c>
      <c r="D218" s="59" t="s">
        <v>478</v>
      </c>
      <c r="E218" s="59" t="s">
        <v>129</v>
      </c>
      <c r="F218" s="58">
        <f>F219</f>
        <v>10</v>
      </c>
    </row>
    <row r="219" spans="1:6" ht="12.75">
      <c r="A219" s="28" t="s">
        <v>131</v>
      </c>
      <c r="B219" s="59" t="s">
        <v>66</v>
      </c>
      <c r="C219" s="59" t="s">
        <v>87</v>
      </c>
      <c r="D219" s="59" t="s">
        <v>478</v>
      </c>
      <c r="E219" s="59" t="s">
        <v>132</v>
      </c>
      <c r="F219" s="58">
        <f>F220+F221</f>
        <v>10</v>
      </c>
    </row>
    <row r="220" spans="1:6" ht="12.75">
      <c r="A220" s="28" t="s">
        <v>162</v>
      </c>
      <c r="B220" s="59" t="s">
        <v>66</v>
      </c>
      <c r="C220" s="59" t="s">
        <v>87</v>
      </c>
      <c r="D220" s="59" t="s">
        <v>478</v>
      </c>
      <c r="E220" s="59" t="s">
        <v>135</v>
      </c>
      <c r="F220" s="58">
        <f>'пр.4 вед.стр.'!G428</f>
        <v>2.9</v>
      </c>
    </row>
    <row r="221" spans="1:6" ht="12.75">
      <c r="A221" s="28" t="s">
        <v>162</v>
      </c>
      <c r="B221" s="59" t="s">
        <v>66</v>
      </c>
      <c r="C221" s="59" t="s">
        <v>87</v>
      </c>
      <c r="D221" s="59" t="s">
        <v>478</v>
      </c>
      <c r="E221" s="59" t="s">
        <v>163</v>
      </c>
      <c r="F221" s="58">
        <f>'пр.4 вед.стр.'!G429</f>
        <v>7.1</v>
      </c>
    </row>
    <row r="222" spans="1:6" ht="12.75">
      <c r="A222" s="61" t="s">
        <v>272</v>
      </c>
      <c r="B222" s="63" t="s">
        <v>67</v>
      </c>
      <c r="C222" s="63" t="s">
        <v>36</v>
      </c>
      <c r="D222" s="76"/>
      <c r="E222" s="163"/>
      <c r="F222" s="64">
        <f>F223</f>
        <v>375.5</v>
      </c>
    </row>
    <row r="223" spans="1:18" s="30" customFormat="1" ht="12.75">
      <c r="A223" s="61" t="s">
        <v>269</v>
      </c>
      <c r="B223" s="63" t="s">
        <v>67</v>
      </c>
      <c r="C223" s="63" t="s">
        <v>70</v>
      </c>
      <c r="D223" s="76"/>
      <c r="E223" s="163"/>
      <c r="F223" s="64">
        <f>F226</f>
        <v>375.5</v>
      </c>
      <c r="N223" s="102"/>
      <c r="O223" s="102"/>
      <c r="P223" s="102"/>
      <c r="Q223" s="102"/>
      <c r="R223" s="105"/>
    </row>
    <row r="224" spans="1:18" s="30" customFormat="1" ht="12.75">
      <c r="A224" s="28" t="s">
        <v>418</v>
      </c>
      <c r="B224" s="59" t="s">
        <v>67</v>
      </c>
      <c r="C224" s="59" t="s">
        <v>70</v>
      </c>
      <c r="D224" s="59" t="s">
        <v>419</v>
      </c>
      <c r="E224" s="162"/>
      <c r="F224" s="58">
        <f>F225</f>
        <v>375.5</v>
      </c>
      <c r="N224" s="102"/>
      <c r="O224" s="102"/>
      <c r="P224" s="102"/>
      <c r="Q224" s="102"/>
      <c r="R224" s="105"/>
    </row>
    <row r="225" spans="1:18" s="30" customFormat="1" ht="12.75">
      <c r="A225" s="28" t="s">
        <v>420</v>
      </c>
      <c r="B225" s="59" t="s">
        <v>67</v>
      </c>
      <c r="C225" s="59" t="s">
        <v>70</v>
      </c>
      <c r="D225" s="59" t="s">
        <v>421</v>
      </c>
      <c r="E225" s="162"/>
      <c r="F225" s="58">
        <f>F226</f>
        <v>375.5</v>
      </c>
      <c r="N225" s="102"/>
      <c r="O225" s="102"/>
      <c r="P225" s="102"/>
      <c r="Q225" s="102"/>
      <c r="R225" s="105"/>
    </row>
    <row r="226" spans="1:18" s="30" customFormat="1" ht="12.75">
      <c r="A226" s="28" t="s">
        <v>267</v>
      </c>
      <c r="B226" s="59" t="s">
        <v>67</v>
      </c>
      <c r="C226" s="59" t="s">
        <v>70</v>
      </c>
      <c r="D226" s="164" t="s">
        <v>268</v>
      </c>
      <c r="E226" s="162"/>
      <c r="F226" s="58">
        <f>F228</f>
        <v>375.5</v>
      </c>
      <c r="N226" s="102"/>
      <c r="O226" s="102"/>
      <c r="P226" s="102"/>
      <c r="Q226" s="102"/>
      <c r="R226" s="105"/>
    </row>
    <row r="227" spans="1:18" s="30" customFormat="1" ht="38.25">
      <c r="A227" s="28" t="s">
        <v>102</v>
      </c>
      <c r="B227" s="59" t="s">
        <v>67</v>
      </c>
      <c r="C227" s="59" t="s">
        <v>70</v>
      </c>
      <c r="D227" s="164" t="s">
        <v>268</v>
      </c>
      <c r="E227" s="162" t="s">
        <v>103</v>
      </c>
      <c r="F227" s="58">
        <f>F228</f>
        <v>375.5</v>
      </c>
      <c r="N227" s="102"/>
      <c r="O227" s="102"/>
      <c r="P227" s="102"/>
      <c r="Q227" s="102"/>
      <c r="R227" s="105"/>
    </row>
    <row r="228" spans="1:18" s="30" customFormat="1" ht="12.75">
      <c r="A228" s="28" t="s">
        <v>93</v>
      </c>
      <c r="B228" s="59" t="s">
        <v>67</v>
      </c>
      <c r="C228" s="59" t="s">
        <v>70</v>
      </c>
      <c r="D228" s="164" t="s">
        <v>268</v>
      </c>
      <c r="E228" s="59" t="s">
        <v>94</v>
      </c>
      <c r="F228" s="58">
        <f>F229+F230</f>
        <v>375.5</v>
      </c>
      <c r="N228" s="102"/>
      <c r="O228" s="102"/>
      <c r="P228" s="102"/>
      <c r="Q228" s="102"/>
      <c r="R228" s="105"/>
    </row>
    <row r="229" spans="1:18" s="30" customFormat="1" ht="12.75">
      <c r="A229" s="28" t="s">
        <v>158</v>
      </c>
      <c r="B229" s="59" t="s">
        <v>67</v>
      </c>
      <c r="C229" s="59" t="s">
        <v>70</v>
      </c>
      <c r="D229" s="164" t="s">
        <v>268</v>
      </c>
      <c r="E229" s="59" t="s">
        <v>95</v>
      </c>
      <c r="F229" s="58">
        <f>'пр.4 вед.стр.'!G130</f>
        <v>295</v>
      </c>
      <c r="N229" s="102"/>
      <c r="O229" s="102"/>
      <c r="P229" s="102"/>
      <c r="Q229" s="102"/>
      <c r="R229" s="105"/>
    </row>
    <row r="230" spans="1:18" s="30" customFormat="1" ht="25.5">
      <c r="A230" s="28" t="s">
        <v>160</v>
      </c>
      <c r="B230" s="59" t="s">
        <v>67</v>
      </c>
      <c r="C230" s="59" t="s">
        <v>70</v>
      </c>
      <c r="D230" s="164" t="s">
        <v>268</v>
      </c>
      <c r="E230" s="59" t="s">
        <v>159</v>
      </c>
      <c r="F230" s="58">
        <f>'пр.4 вед.стр.'!G131</f>
        <v>80.5</v>
      </c>
      <c r="N230" s="102"/>
      <c r="O230" s="102"/>
      <c r="P230" s="102"/>
      <c r="Q230" s="102"/>
      <c r="R230" s="105"/>
    </row>
    <row r="231" spans="1:18" s="30" customFormat="1" ht="12.75">
      <c r="A231" s="61" t="s">
        <v>4</v>
      </c>
      <c r="B231" s="63" t="s">
        <v>70</v>
      </c>
      <c r="C231" s="63" t="s">
        <v>36</v>
      </c>
      <c r="D231" s="59"/>
      <c r="E231" s="59"/>
      <c r="F231" s="64">
        <f>F232</f>
        <v>3776.9</v>
      </c>
      <c r="N231" s="102"/>
      <c r="O231" s="102"/>
      <c r="P231" s="102"/>
      <c r="Q231" s="102"/>
      <c r="R231" s="105"/>
    </row>
    <row r="232" spans="1:18" s="30" customFormat="1" ht="25.5">
      <c r="A232" s="61" t="s">
        <v>80</v>
      </c>
      <c r="B232" s="63" t="s">
        <v>70</v>
      </c>
      <c r="C232" s="63" t="s">
        <v>75</v>
      </c>
      <c r="D232" s="59"/>
      <c r="E232" s="59"/>
      <c r="F232" s="64">
        <f>F233+F251+F239+F245</f>
        <v>3776.9</v>
      </c>
      <c r="N232" s="102"/>
      <c r="O232" s="102"/>
      <c r="P232" s="102"/>
      <c r="Q232" s="102"/>
      <c r="R232" s="105"/>
    </row>
    <row r="233" spans="1:18" s="30" customFormat="1" ht="25.5">
      <c r="A233" s="28" t="s">
        <v>431</v>
      </c>
      <c r="B233" s="162" t="s">
        <v>70</v>
      </c>
      <c r="C233" s="162" t="s">
        <v>75</v>
      </c>
      <c r="D233" s="161" t="s">
        <v>171</v>
      </c>
      <c r="E233" s="162"/>
      <c r="F233" s="58">
        <f>F234</f>
        <v>300</v>
      </c>
      <c r="N233" s="102"/>
      <c r="O233" s="102"/>
      <c r="P233" s="102"/>
      <c r="Q233" s="102"/>
      <c r="R233" s="105"/>
    </row>
    <row r="234" spans="1:6" ht="38.25">
      <c r="A234" s="28" t="s">
        <v>432</v>
      </c>
      <c r="B234" s="162" t="s">
        <v>70</v>
      </c>
      <c r="C234" s="162" t="s">
        <v>75</v>
      </c>
      <c r="D234" s="161" t="s">
        <v>319</v>
      </c>
      <c r="E234" s="162"/>
      <c r="F234" s="58">
        <f>F235</f>
        <v>300</v>
      </c>
    </row>
    <row r="235" spans="1:6" ht="29.25" customHeight="1">
      <c r="A235" s="28" t="s">
        <v>170</v>
      </c>
      <c r="B235" s="162" t="s">
        <v>70</v>
      </c>
      <c r="C235" s="162" t="s">
        <v>75</v>
      </c>
      <c r="D235" s="161" t="s">
        <v>320</v>
      </c>
      <c r="E235" s="162"/>
      <c r="F235" s="58">
        <f>F236</f>
        <v>300</v>
      </c>
    </row>
    <row r="236" spans="1:6" ht="12.75">
      <c r="A236" s="28" t="s">
        <v>610</v>
      </c>
      <c r="B236" s="162" t="s">
        <v>70</v>
      </c>
      <c r="C236" s="162" t="s">
        <v>75</v>
      </c>
      <c r="D236" s="161" t="s">
        <v>320</v>
      </c>
      <c r="E236" s="162" t="s">
        <v>104</v>
      </c>
      <c r="F236" s="58">
        <f>F237</f>
        <v>300</v>
      </c>
    </row>
    <row r="237" spans="1:6" ht="15" customHeight="1">
      <c r="A237" s="28" t="s">
        <v>98</v>
      </c>
      <c r="B237" s="162" t="s">
        <v>70</v>
      </c>
      <c r="C237" s="162" t="s">
        <v>75</v>
      </c>
      <c r="D237" s="161" t="s">
        <v>320</v>
      </c>
      <c r="E237" s="162" t="s">
        <v>99</v>
      </c>
      <c r="F237" s="58">
        <f>F238</f>
        <v>300</v>
      </c>
    </row>
    <row r="238" spans="1:6" ht="15" customHeight="1">
      <c r="A238" s="28" t="s">
        <v>100</v>
      </c>
      <c r="B238" s="162" t="s">
        <v>70</v>
      </c>
      <c r="C238" s="162" t="s">
        <v>75</v>
      </c>
      <c r="D238" s="161" t="s">
        <v>320</v>
      </c>
      <c r="E238" s="162" t="s">
        <v>101</v>
      </c>
      <c r="F238" s="58">
        <f>'пр.4 вед.стр.'!G139</f>
        <v>300</v>
      </c>
    </row>
    <row r="239" spans="1:6" ht="12.75">
      <c r="A239" s="153" t="s">
        <v>360</v>
      </c>
      <c r="B239" s="59" t="s">
        <v>70</v>
      </c>
      <c r="C239" s="59" t="s">
        <v>75</v>
      </c>
      <c r="D239" s="59" t="s">
        <v>215</v>
      </c>
      <c r="E239" s="59"/>
      <c r="F239" s="58">
        <f>F240</f>
        <v>28</v>
      </c>
    </row>
    <row r="240" spans="1:18" s="30" customFormat="1" ht="12.75">
      <c r="A240" s="153" t="s">
        <v>361</v>
      </c>
      <c r="B240" s="59" t="s">
        <v>70</v>
      </c>
      <c r="C240" s="59" t="s">
        <v>75</v>
      </c>
      <c r="D240" s="59" t="s">
        <v>358</v>
      </c>
      <c r="E240" s="59"/>
      <c r="F240" s="58">
        <f>F241</f>
        <v>28</v>
      </c>
      <c r="N240" s="102"/>
      <c r="O240" s="102"/>
      <c r="P240" s="102"/>
      <c r="Q240" s="102"/>
      <c r="R240" s="105"/>
    </row>
    <row r="241" spans="1:18" s="30" customFormat="1" ht="38.25">
      <c r="A241" s="28" t="s">
        <v>433</v>
      </c>
      <c r="B241" s="59" t="s">
        <v>70</v>
      </c>
      <c r="C241" s="59" t="s">
        <v>75</v>
      </c>
      <c r="D241" s="59" t="s">
        <v>359</v>
      </c>
      <c r="E241" s="59"/>
      <c r="F241" s="58">
        <f>F242</f>
        <v>28</v>
      </c>
      <c r="N241" s="102"/>
      <c r="O241" s="102"/>
      <c r="P241" s="102"/>
      <c r="Q241" s="102"/>
      <c r="R241" s="105"/>
    </row>
    <row r="242" spans="1:18" s="30" customFormat="1" ht="38.25">
      <c r="A242" s="28" t="s">
        <v>102</v>
      </c>
      <c r="B242" s="59" t="s">
        <v>70</v>
      </c>
      <c r="C242" s="59" t="s">
        <v>75</v>
      </c>
      <c r="D242" s="59" t="s">
        <v>359</v>
      </c>
      <c r="E242" s="59" t="s">
        <v>103</v>
      </c>
      <c r="F242" s="58">
        <f>F243</f>
        <v>28</v>
      </c>
      <c r="N242" s="102"/>
      <c r="O242" s="102"/>
      <c r="P242" s="102"/>
      <c r="Q242" s="102"/>
      <c r="R242" s="105"/>
    </row>
    <row r="243" spans="1:18" s="30" customFormat="1" ht="12.75">
      <c r="A243" s="28" t="s">
        <v>295</v>
      </c>
      <c r="B243" s="59" t="s">
        <v>70</v>
      </c>
      <c r="C243" s="59" t="s">
        <v>75</v>
      </c>
      <c r="D243" s="59" t="s">
        <v>359</v>
      </c>
      <c r="E243" s="59" t="s">
        <v>297</v>
      </c>
      <c r="F243" s="58">
        <f>F244</f>
        <v>28</v>
      </c>
      <c r="N243" s="102"/>
      <c r="O243" s="102"/>
      <c r="P243" s="102"/>
      <c r="Q243" s="102"/>
      <c r="R243" s="105"/>
    </row>
    <row r="244" spans="1:18" s="30" customFormat="1" ht="12.75">
      <c r="A244" s="28" t="s">
        <v>434</v>
      </c>
      <c r="B244" s="59" t="s">
        <v>70</v>
      </c>
      <c r="C244" s="59" t="s">
        <v>75</v>
      </c>
      <c r="D244" s="59" t="s">
        <v>359</v>
      </c>
      <c r="E244" s="59" t="s">
        <v>296</v>
      </c>
      <c r="F244" s="58">
        <f>'пр.4 вед.стр.'!G145</f>
        <v>28</v>
      </c>
      <c r="N244" s="102"/>
      <c r="O244" s="102"/>
      <c r="P244" s="102"/>
      <c r="Q244" s="102"/>
      <c r="R244" s="105"/>
    </row>
    <row r="245" spans="1:18" s="30" customFormat="1" ht="25.5">
      <c r="A245" s="28" t="str">
        <f>'пр.4 вед.стр.'!A146</f>
        <v>Повышение устойчивости основных объектов и систем жизнеобеспечения на территории Сусуманского городского округа</v>
      </c>
      <c r="B245" s="59" t="s">
        <v>70</v>
      </c>
      <c r="C245" s="59" t="s">
        <v>75</v>
      </c>
      <c r="D245" s="149" t="str">
        <f>'пр.4 вед.стр.'!E146</f>
        <v>Ч8 0 00 00000</v>
      </c>
      <c r="E245" s="149"/>
      <c r="F245" s="146">
        <f>F246</f>
        <v>181.9</v>
      </c>
      <c r="N245" s="102"/>
      <c r="O245" s="102"/>
      <c r="P245" s="102"/>
      <c r="Q245" s="102"/>
      <c r="R245" s="105"/>
    </row>
    <row r="246" spans="1:18" s="30" customFormat="1" ht="25.5">
      <c r="A246" s="28" t="str">
        <f>'пр.4 вед.стр.'!A147</f>
        <v>Основное мероприятие "Обеспечение выполнения функций органами местного самоуправления  и находящимися в их ведении муниципальными учреждениями"</v>
      </c>
      <c r="B246" s="59" t="s">
        <v>70</v>
      </c>
      <c r="C246" s="59" t="s">
        <v>75</v>
      </c>
      <c r="D246" s="149" t="str">
        <f>'пр.4 вед.стр.'!E147</f>
        <v>Ч8 0 01 00000</v>
      </c>
      <c r="E246" s="149"/>
      <c r="F246" s="146">
        <f>F247</f>
        <v>181.9</v>
      </c>
      <c r="N246" s="102"/>
      <c r="O246" s="102"/>
      <c r="P246" s="102"/>
      <c r="Q246" s="102"/>
      <c r="R246" s="105"/>
    </row>
    <row r="247" spans="1:18" s="30" customFormat="1" ht="15.75" customHeight="1">
      <c r="A247" s="28" t="str">
        <f>'пр.4 вед.стр.'!A148</f>
        <v>Неустойка и судебные расходы на основании вступивших в законную силу судебных актов</v>
      </c>
      <c r="B247" s="59" t="s">
        <v>70</v>
      </c>
      <c r="C247" s="59" t="s">
        <v>75</v>
      </c>
      <c r="D247" s="149" t="str">
        <f>'пр.4 вед.стр.'!E148</f>
        <v> Ч8 0 01 08190</v>
      </c>
      <c r="E247" s="149"/>
      <c r="F247" s="146">
        <f>F248</f>
        <v>181.9</v>
      </c>
      <c r="N247" s="102"/>
      <c r="O247" s="102"/>
      <c r="P247" s="102"/>
      <c r="Q247" s="102"/>
      <c r="R247" s="105"/>
    </row>
    <row r="248" spans="1:18" s="30" customFormat="1" ht="15" customHeight="1">
      <c r="A248" s="28" t="str">
        <f>'пр.4 вед.стр.'!A149</f>
        <v>Иные бюджетные ассигнования</v>
      </c>
      <c r="B248" s="59" t="s">
        <v>70</v>
      </c>
      <c r="C248" s="59" t="s">
        <v>75</v>
      </c>
      <c r="D248" s="149" t="str">
        <f>'пр.4 вед.стр.'!E149</f>
        <v> Ч8 0 01 08190</v>
      </c>
      <c r="E248" s="149" t="str">
        <f>'пр.4 вед.стр.'!F149</f>
        <v>800</v>
      </c>
      <c r="F248" s="146">
        <f>F249</f>
        <v>181.9</v>
      </c>
      <c r="N248" s="102"/>
      <c r="O248" s="102"/>
      <c r="P248" s="102"/>
      <c r="Q248" s="102"/>
      <c r="R248" s="105"/>
    </row>
    <row r="249" spans="1:18" s="30" customFormat="1" ht="15" customHeight="1">
      <c r="A249" s="28" t="str">
        <f>'пр.4 вед.стр.'!A150</f>
        <v>Исполнение судебных актов</v>
      </c>
      <c r="B249" s="59" t="s">
        <v>70</v>
      </c>
      <c r="C249" s="59" t="s">
        <v>75</v>
      </c>
      <c r="D249" s="149" t="str">
        <f>'пр.4 вед.стр.'!E150</f>
        <v> Ч8 0 01 08190</v>
      </c>
      <c r="E249" s="149" t="str">
        <f>'пр.4 вед.стр.'!F150</f>
        <v>830</v>
      </c>
      <c r="F249" s="146">
        <f>F250</f>
        <v>181.9</v>
      </c>
      <c r="N249" s="102"/>
      <c r="O249" s="102"/>
      <c r="P249" s="102"/>
      <c r="Q249" s="102"/>
      <c r="R249" s="105"/>
    </row>
    <row r="250" spans="1:18" s="30" customFormat="1" ht="32.25" customHeight="1">
      <c r="A250" s="155" t="str">
        <f>'пр.4 вед.стр.'!A151</f>
        <v>Исполнение судебных актов Российской Федерации и мировых соглашений по возмещению причиненного вреда
</v>
      </c>
      <c r="B250" s="59" t="s">
        <v>70</v>
      </c>
      <c r="C250" s="59" t="s">
        <v>75</v>
      </c>
      <c r="D250" s="149" t="str">
        <f>'пр.4 вед.стр.'!E151</f>
        <v> Ч8 0 01 08190</v>
      </c>
      <c r="E250" s="149" t="str">
        <f>'пр.4 вед.стр.'!F151</f>
        <v>831</v>
      </c>
      <c r="F250" s="146">
        <f>'пр.4 вед.стр.'!G151</f>
        <v>181.9</v>
      </c>
      <c r="N250" s="102"/>
      <c r="O250" s="102"/>
      <c r="P250" s="102"/>
      <c r="Q250" s="102"/>
      <c r="R250" s="105"/>
    </row>
    <row r="251" spans="1:18" s="30" customFormat="1" ht="27" customHeight="1">
      <c r="A251" s="28" t="s">
        <v>435</v>
      </c>
      <c r="B251" s="59" t="s">
        <v>70</v>
      </c>
      <c r="C251" s="59" t="s">
        <v>75</v>
      </c>
      <c r="D251" s="161" t="s">
        <v>219</v>
      </c>
      <c r="E251" s="59"/>
      <c r="F251" s="58">
        <f>F252</f>
        <v>3267</v>
      </c>
      <c r="N251" s="102"/>
      <c r="O251" s="102"/>
      <c r="P251" s="102"/>
      <c r="Q251" s="102"/>
      <c r="R251" s="105"/>
    </row>
    <row r="252" spans="1:18" s="30" customFormat="1" ht="25.5">
      <c r="A252" s="153" t="s">
        <v>436</v>
      </c>
      <c r="B252" s="59" t="s">
        <v>70</v>
      </c>
      <c r="C252" s="59" t="s">
        <v>75</v>
      </c>
      <c r="D252" s="161" t="s">
        <v>395</v>
      </c>
      <c r="E252" s="59"/>
      <c r="F252" s="58">
        <f>F253</f>
        <v>3267</v>
      </c>
      <c r="N252" s="102"/>
      <c r="O252" s="102"/>
      <c r="P252" s="102"/>
      <c r="Q252" s="102"/>
      <c r="R252" s="105"/>
    </row>
    <row r="253" spans="1:18" s="30" customFormat="1" ht="12.75">
      <c r="A253" s="28" t="s">
        <v>394</v>
      </c>
      <c r="B253" s="59" t="s">
        <v>70</v>
      </c>
      <c r="C253" s="59" t="s">
        <v>75</v>
      </c>
      <c r="D253" s="161" t="s">
        <v>400</v>
      </c>
      <c r="E253" s="59"/>
      <c r="F253" s="58">
        <f>F254+F259</f>
        <v>3267</v>
      </c>
      <c r="N253" s="102"/>
      <c r="O253" s="102"/>
      <c r="P253" s="102"/>
      <c r="Q253" s="102"/>
      <c r="R253" s="105"/>
    </row>
    <row r="254" spans="1:18" s="30" customFormat="1" ht="38.25">
      <c r="A254" s="28" t="s">
        <v>102</v>
      </c>
      <c r="B254" s="59" t="s">
        <v>70</v>
      </c>
      <c r="C254" s="59" t="s">
        <v>75</v>
      </c>
      <c r="D254" s="161" t="s">
        <v>400</v>
      </c>
      <c r="E254" s="59" t="s">
        <v>103</v>
      </c>
      <c r="F254" s="58">
        <f>F255</f>
        <v>3058.6</v>
      </c>
      <c r="N254" s="102"/>
      <c r="O254" s="102"/>
      <c r="P254" s="102"/>
      <c r="Q254" s="102"/>
      <c r="R254" s="105"/>
    </row>
    <row r="255" spans="1:18" s="30" customFormat="1" ht="12.75">
      <c r="A255" s="28" t="s">
        <v>295</v>
      </c>
      <c r="B255" s="59" t="s">
        <v>70</v>
      </c>
      <c r="C255" s="59" t="s">
        <v>75</v>
      </c>
      <c r="D255" s="161" t="s">
        <v>400</v>
      </c>
      <c r="E255" s="59" t="s">
        <v>297</v>
      </c>
      <c r="F255" s="58">
        <f>F256+F258+F257</f>
        <v>3058.6</v>
      </c>
      <c r="N255" s="102"/>
      <c r="O255" s="102"/>
      <c r="P255" s="102"/>
      <c r="Q255" s="102"/>
      <c r="R255" s="105"/>
    </row>
    <row r="256" spans="1:18" s="30" customFormat="1" ht="12.75">
      <c r="A256" s="28" t="s">
        <v>437</v>
      </c>
      <c r="B256" s="59" t="s">
        <v>70</v>
      </c>
      <c r="C256" s="59" t="s">
        <v>75</v>
      </c>
      <c r="D256" s="161" t="s">
        <v>400</v>
      </c>
      <c r="E256" s="59" t="s">
        <v>298</v>
      </c>
      <c r="F256" s="58">
        <f>'пр.4 вед.стр.'!G157</f>
        <v>2347</v>
      </c>
      <c r="N256" s="102"/>
      <c r="O256" s="102"/>
      <c r="P256" s="102"/>
      <c r="Q256" s="102"/>
      <c r="R256" s="105"/>
    </row>
    <row r="257" spans="1:18" s="30" customFormat="1" ht="12.75">
      <c r="A257" s="28" t="str">
        <f>'пр.4 вед.стр.'!A158</f>
        <v>Иные выплаты персоналу учреждений, за исключением фонда оплаты труда</v>
      </c>
      <c r="B257" s="59" t="s">
        <v>70</v>
      </c>
      <c r="C257" s="59" t="s">
        <v>75</v>
      </c>
      <c r="D257" s="161" t="s">
        <v>400</v>
      </c>
      <c r="E257" s="59" t="s">
        <v>296</v>
      </c>
      <c r="F257" s="58">
        <f>'пр.4 вед.стр.'!G158</f>
        <v>8.4</v>
      </c>
      <c r="N257" s="102"/>
      <c r="O257" s="102"/>
      <c r="P257" s="102"/>
      <c r="Q257" s="102"/>
      <c r="R257" s="105"/>
    </row>
    <row r="258" spans="1:18" s="30" customFormat="1" ht="25.5">
      <c r="A258" s="28" t="s">
        <v>438</v>
      </c>
      <c r="B258" s="59" t="s">
        <v>70</v>
      </c>
      <c r="C258" s="59" t="s">
        <v>75</v>
      </c>
      <c r="D258" s="161" t="s">
        <v>400</v>
      </c>
      <c r="E258" s="59" t="s">
        <v>299</v>
      </c>
      <c r="F258" s="58">
        <f>'пр.4 вед.стр.'!G159</f>
        <v>703.2</v>
      </c>
      <c r="N258" s="102"/>
      <c r="O258" s="102"/>
      <c r="P258" s="102"/>
      <c r="Q258" s="102"/>
      <c r="R258" s="105"/>
    </row>
    <row r="259" spans="1:18" s="30" customFormat="1" ht="12.75">
      <c r="A259" s="28" t="s">
        <v>610</v>
      </c>
      <c r="B259" s="59" t="s">
        <v>70</v>
      </c>
      <c r="C259" s="59" t="s">
        <v>75</v>
      </c>
      <c r="D259" s="161" t="s">
        <v>400</v>
      </c>
      <c r="E259" s="59" t="s">
        <v>104</v>
      </c>
      <c r="F259" s="58">
        <f>F260</f>
        <v>208.4</v>
      </c>
      <c r="N259" s="102"/>
      <c r="O259" s="102"/>
      <c r="P259" s="102"/>
      <c r="Q259" s="102"/>
      <c r="R259" s="105"/>
    </row>
    <row r="260" spans="1:18" s="30" customFormat="1" ht="15.75" customHeight="1">
      <c r="A260" s="28" t="s">
        <v>98</v>
      </c>
      <c r="B260" s="59" t="s">
        <v>70</v>
      </c>
      <c r="C260" s="59" t="s">
        <v>75</v>
      </c>
      <c r="D260" s="161" t="s">
        <v>400</v>
      </c>
      <c r="E260" s="59" t="s">
        <v>99</v>
      </c>
      <c r="F260" s="58">
        <f>F261</f>
        <v>208.4</v>
      </c>
      <c r="N260" s="102"/>
      <c r="O260" s="102"/>
      <c r="P260" s="102"/>
      <c r="Q260" s="102"/>
      <c r="R260" s="105"/>
    </row>
    <row r="261" spans="1:18" s="30" customFormat="1" ht="12.75" customHeight="1">
      <c r="A261" s="28" t="s">
        <v>100</v>
      </c>
      <c r="B261" s="59" t="s">
        <v>70</v>
      </c>
      <c r="C261" s="59" t="s">
        <v>75</v>
      </c>
      <c r="D261" s="161" t="s">
        <v>400</v>
      </c>
      <c r="E261" s="59" t="s">
        <v>101</v>
      </c>
      <c r="F261" s="58">
        <f>'пр.4 вед.стр.'!G162</f>
        <v>208.4</v>
      </c>
      <c r="N261" s="102"/>
      <c r="O261" s="102"/>
      <c r="P261" s="102"/>
      <c r="Q261" s="102"/>
      <c r="R261" s="105"/>
    </row>
    <row r="262" spans="1:18" s="30" customFormat="1" ht="22.5" customHeight="1">
      <c r="A262" s="152" t="s">
        <v>5</v>
      </c>
      <c r="B262" s="62" t="s">
        <v>68</v>
      </c>
      <c r="C262" s="62" t="s">
        <v>36</v>
      </c>
      <c r="D262" s="63"/>
      <c r="E262" s="63"/>
      <c r="F262" s="64">
        <f>F263+F287+F293+F315</f>
        <v>21916.4</v>
      </c>
      <c r="N262" s="102"/>
      <c r="O262" s="102"/>
      <c r="P262" s="102"/>
      <c r="Q262" s="102"/>
      <c r="R262" s="105"/>
    </row>
    <row r="263" spans="1:18" s="65" customFormat="1" ht="12" customHeight="1">
      <c r="A263" s="61" t="s">
        <v>567</v>
      </c>
      <c r="B263" s="62" t="s">
        <v>68</v>
      </c>
      <c r="C263" s="62" t="s">
        <v>76</v>
      </c>
      <c r="D263" s="63"/>
      <c r="E263" s="63"/>
      <c r="F263" s="64">
        <f>F269+F264+F279</f>
        <v>6807.8</v>
      </c>
      <c r="N263" s="102"/>
      <c r="O263" s="102"/>
      <c r="P263" s="102"/>
      <c r="Q263" s="102"/>
      <c r="R263" s="107"/>
    </row>
    <row r="264" spans="1:18" s="65" customFormat="1" ht="12" customHeight="1">
      <c r="A264" s="28" t="s">
        <v>782</v>
      </c>
      <c r="B264" s="60" t="s">
        <v>68</v>
      </c>
      <c r="C264" s="60" t="s">
        <v>76</v>
      </c>
      <c r="D264" s="161" t="s">
        <v>783</v>
      </c>
      <c r="E264" s="63"/>
      <c r="F264" s="58">
        <f>F265</f>
        <v>5762.5</v>
      </c>
      <c r="N264" s="102"/>
      <c r="O264" s="102"/>
      <c r="P264" s="102"/>
      <c r="Q264" s="102"/>
      <c r="R264" s="107"/>
    </row>
    <row r="265" spans="1:18" s="65" customFormat="1" ht="12" customHeight="1">
      <c r="A265" s="28" t="s">
        <v>784</v>
      </c>
      <c r="B265" s="60" t="s">
        <v>68</v>
      </c>
      <c r="C265" s="60" t="s">
        <v>76</v>
      </c>
      <c r="D265" s="59" t="s">
        <v>785</v>
      </c>
      <c r="E265" s="63"/>
      <c r="F265" s="58">
        <f>F266</f>
        <v>5762.5</v>
      </c>
      <c r="N265" s="102"/>
      <c r="O265" s="102"/>
      <c r="P265" s="102"/>
      <c r="Q265" s="102"/>
      <c r="R265" s="107"/>
    </row>
    <row r="266" spans="1:18" s="65" customFormat="1" ht="12" customHeight="1">
      <c r="A266" s="28" t="s">
        <v>495</v>
      </c>
      <c r="B266" s="60" t="s">
        <v>68</v>
      </c>
      <c r="C266" s="60" t="s">
        <v>76</v>
      </c>
      <c r="D266" s="59" t="s">
        <v>785</v>
      </c>
      <c r="E266" s="59" t="s">
        <v>496</v>
      </c>
      <c r="F266" s="58">
        <f>F267</f>
        <v>5762.5</v>
      </c>
      <c r="N266" s="102"/>
      <c r="O266" s="102"/>
      <c r="P266" s="102"/>
      <c r="Q266" s="102"/>
      <c r="R266" s="107"/>
    </row>
    <row r="267" spans="1:18" s="65" customFormat="1" ht="12" customHeight="1">
      <c r="A267" s="28" t="s">
        <v>497</v>
      </c>
      <c r="B267" s="60" t="s">
        <v>68</v>
      </c>
      <c r="C267" s="60" t="s">
        <v>76</v>
      </c>
      <c r="D267" s="59" t="s">
        <v>785</v>
      </c>
      <c r="E267" s="59" t="s">
        <v>498</v>
      </c>
      <c r="F267" s="58">
        <f>F268</f>
        <v>5762.5</v>
      </c>
      <c r="N267" s="102"/>
      <c r="O267" s="102"/>
      <c r="P267" s="102"/>
      <c r="Q267" s="102"/>
      <c r="R267" s="107"/>
    </row>
    <row r="268" spans="1:18" s="65" customFormat="1" ht="12" customHeight="1">
      <c r="A268" s="28" t="s">
        <v>786</v>
      </c>
      <c r="B268" s="60" t="s">
        <v>68</v>
      </c>
      <c r="C268" s="60" t="s">
        <v>76</v>
      </c>
      <c r="D268" s="59" t="s">
        <v>785</v>
      </c>
      <c r="E268" s="59" t="s">
        <v>787</v>
      </c>
      <c r="F268" s="58">
        <f>'пр.4 вед.стр.'!G169</f>
        <v>5762.5</v>
      </c>
      <c r="N268" s="102"/>
      <c r="O268" s="102"/>
      <c r="P268" s="102"/>
      <c r="Q268" s="102"/>
      <c r="R268" s="107"/>
    </row>
    <row r="269" spans="1:18" s="30" customFormat="1" ht="30.75" customHeight="1">
      <c r="A269" s="28" t="s">
        <v>431</v>
      </c>
      <c r="B269" s="162" t="s">
        <v>68</v>
      </c>
      <c r="C269" s="162" t="s">
        <v>76</v>
      </c>
      <c r="D269" s="161" t="s">
        <v>171</v>
      </c>
      <c r="E269" s="63"/>
      <c r="F269" s="58">
        <f>F270</f>
        <v>1044.8</v>
      </c>
      <c r="N269" s="102"/>
      <c r="O269" s="102"/>
      <c r="P269" s="102"/>
      <c r="Q269" s="102"/>
      <c r="R269" s="105"/>
    </row>
    <row r="270" spans="1:18" s="30" customFormat="1" ht="38.25" customHeight="1">
      <c r="A270" s="28" t="str">
        <f>'пр.4 вед.стр.'!A1221</f>
        <v>Основное мероприятие "Составление декларации безопасности на объект "Берегоукрепление и устройство дамбы обвалования в г. Сусумане на р. "Берелех" (включая государственную экспертизу)"</v>
      </c>
      <c r="B270" s="59" t="s">
        <v>68</v>
      </c>
      <c r="C270" s="59" t="s">
        <v>76</v>
      </c>
      <c r="D270" s="161" t="s">
        <v>569</v>
      </c>
      <c r="E270" s="59"/>
      <c r="F270" s="58">
        <f>F271+F275</f>
        <v>1044.8</v>
      </c>
      <c r="N270" s="102"/>
      <c r="O270" s="102"/>
      <c r="P270" s="102"/>
      <c r="Q270" s="102"/>
      <c r="R270" s="105"/>
    </row>
    <row r="271" spans="1:18" s="30" customFormat="1" ht="45" customHeight="1">
      <c r="A271" s="28" t="str">
        <f>'пр.4 вед.стр.'!A1222</f>
        <v>Финансирование мероприятия "Составление декларации безопасности на объект "Берегоукрепление и устройство дамбы обвалования в г. Сусумане на р. "Берелех" (включая государственную экспертизу)" за счет средств областного бюджета</v>
      </c>
      <c r="B271" s="59" t="s">
        <v>68</v>
      </c>
      <c r="C271" s="59" t="s">
        <v>76</v>
      </c>
      <c r="D271" s="161" t="s">
        <v>570</v>
      </c>
      <c r="E271" s="59"/>
      <c r="F271" s="58">
        <f>F272</f>
        <v>991.8</v>
      </c>
      <c r="N271" s="102"/>
      <c r="O271" s="102"/>
      <c r="P271" s="102"/>
      <c r="Q271" s="102"/>
      <c r="R271" s="105"/>
    </row>
    <row r="272" spans="1:18" s="30" customFormat="1" ht="12" customHeight="1">
      <c r="A272" s="28" t="s">
        <v>610</v>
      </c>
      <c r="B272" s="59" t="s">
        <v>68</v>
      </c>
      <c r="C272" s="59" t="s">
        <v>76</v>
      </c>
      <c r="D272" s="161" t="s">
        <v>570</v>
      </c>
      <c r="E272" s="59" t="s">
        <v>104</v>
      </c>
      <c r="F272" s="58">
        <f>F273</f>
        <v>991.8</v>
      </c>
      <c r="N272" s="102"/>
      <c r="O272" s="102"/>
      <c r="P272" s="102"/>
      <c r="Q272" s="102"/>
      <c r="R272" s="105"/>
    </row>
    <row r="273" spans="1:18" s="30" customFormat="1" ht="12" customHeight="1">
      <c r="A273" s="28" t="s">
        <v>98</v>
      </c>
      <c r="B273" s="59" t="s">
        <v>68</v>
      </c>
      <c r="C273" s="59" t="s">
        <v>76</v>
      </c>
      <c r="D273" s="161" t="s">
        <v>570</v>
      </c>
      <c r="E273" s="59" t="s">
        <v>99</v>
      </c>
      <c r="F273" s="58">
        <f>F274</f>
        <v>991.8</v>
      </c>
      <c r="N273" s="102"/>
      <c r="O273" s="102"/>
      <c r="P273" s="102"/>
      <c r="Q273" s="102"/>
      <c r="R273" s="105"/>
    </row>
    <row r="274" spans="1:18" s="30" customFormat="1" ht="14.25" customHeight="1">
      <c r="A274" s="28" t="s">
        <v>100</v>
      </c>
      <c r="B274" s="59" t="s">
        <v>68</v>
      </c>
      <c r="C274" s="59" t="s">
        <v>76</v>
      </c>
      <c r="D274" s="161" t="s">
        <v>570</v>
      </c>
      <c r="E274" s="59" t="s">
        <v>101</v>
      </c>
      <c r="F274" s="58">
        <f>'пр.4 вед.стр.'!G1225</f>
        <v>991.8</v>
      </c>
      <c r="N274" s="102"/>
      <c r="O274" s="102"/>
      <c r="P274" s="102"/>
      <c r="Q274" s="102"/>
      <c r="R274" s="105"/>
    </row>
    <row r="275" spans="1:18" s="30" customFormat="1" ht="34.5" customHeight="1">
      <c r="A275" s="28" t="str">
        <f>'пр.4 вед.стр.'!A1226</f>
        <v>Софинансирование мероприятия "Составление декларации безопасности на объект "Берегоукрепление и устройство дамбы обвалования в г. Сусумане на р. "Берелех" (включая государственную экспертизу) </v>
      </c>
      <c r="B275" s="59" t="s">
        <v>68</v>
      </c>
      <c r="C275" s="59" t="s">
        <v>76</v>
      </c>
      <c r="D275" s="161" t="s">
        <v>572</v>
      </c>
      <c r="E275" s="59"/>
      <c r="F275" s="58">
        <f>F276</f>
        <v>53</v>
      </c>
      <c r="N275" s="102"/>
      <c r="O275" s="102"/>
      <c r="P275" s="102"/>
      <c r="Q275" s="102"/>
      <c r="R275" s="105"/>
    </row>
    <row r="276" spans="1:18" s="30" customFormat="1" ht="12" customHeight="1">
      <c r="A276" s="28" t="s">
        <v>610</v>
      </c>
      <c r="B276" s="59" t="s">
        <v>68</v>
      </c>
      <c r="C276" s="59" t="s">
        <v>76</v>
      </c>
      <c r="D276" s="161" t="s">
        <v>572</v>
      </c>
      <c r="E276" s="59" t="s">
        <v>104</v>
      </c>
      <c r="F276" s="58">
        <f>F277</f>
        <v>53</v>
      </c>
      <c r="N276" s="102"/>
      <c r="O276" s="102"/>
      <c r="P276" s="102"/>
      <c r="Q276" s="102"/>
      <c r="R276" s="105"/>
    </row>
    <row r="277" spans="1:18" s="30" customFormat="1" ht="12" customHeight="1">
      <c r="A277" s="28" t="s">
        <v>98</v>
      </c>
      <c r="B277" s="59" t="s">
        <v>68</v>
      </c>
      <c r="C277" s="59" t="s">
        <v>76</v>
      </c>
      <c r="D277" s="161" t="s">
        <v>572</v>
      </c>
      <c r="E277" s="59" t="s">
        <v>99</v>
      </c>
      <c r="F277" s="58">
        <f>F278</f>
        <v>53</v>
      </c>
      <c r="N277" s="102"/>
      <c r="O277" s="102"/>
      <c r="P277" s="102"/>
      <c r="Q277" s="102"/>
      <c r="R277" s="105"/>
    </row>
    <row r="278" spans="1:18" s="30" customFormat="1" ht="12" customHeight="1">
      <c r="A278" s="28" t="s">
        <v>100</v>
      </c>
      <c r="B278" s="59" t="s">
        <v>68</v>
      </c>
      <c r="C278" s="59" t="s">
        <v>76</v>
      </c>
      <c r="D278" s="161" t="s">
        <v>572</v>
      </c>
      <c r="E278" s="59" t="s">
        <v>101</v>
      </c>
      <c r="F278" s="58">
        <f>'пр.4 вед.стр.'!G1229</f>
        <v>53</v>
      </c>
      <c r="N278" s="102"/>
      <c r="O278" s="102"/>
      <c r="P278" s="102"/>
      <c r="Q278" s="102"/>
      <c r="R278" s="105"/>
    </row>
    <row r="279" spans="1:18" s="30" customFormat="1" ht="21" customHeight="1">
      <c r="A279" s="28" t="str">
        <f>'пр.4 вед.стр.'!A1230</f>
        <v>Мероприятия в области водного хозяйства</v>
      </c>
      <c r="B279" s="59" t="s">
        <v>68</v>
      </c>
      <c r="C279" s="59" t="s">
        <v>76</v>
      </c>
      <c r="D279" s="60" t="str">
        <f>'пр.4 вед.стр.'!E1230</f>
        <v>В5 0 00 00000</v>
      </c>
      <c r="E279" s="59"/>
      <c r="F279" s="58">
        <f>F280</f>
        <v>0.5</v>
      </c>
      <c r="N279" s="105"/>
      <c r="O279" s="105"/>
      <c r="P279" s="105"/>
      <c r="Q279" s="105"/>
      <c r="R279" s="105"/>
    </row>
    <row r="280" spans="1:18" s="30" customFormat="1" ht="18.75" customHeight="1">
      <c r="A280" s="28" t="str">
        <f>'пр.4 вед.стр.'!A1231</f>
        <v>Прочие мероприятия в области водного хозяйства</v>
      </c>
      <c r="B280" s="59" t="s">
        <v>68</v>
      </c>
      <c r="C280" s="59" t="s">
        <v>76</v>
      </c>
      <c r="D280" s="60" t="str">
        <f>'пр.4 вед.стр.'!E1231</f>
        <v>В5 0 00 08030</v>
      </c>
      <c r="E280" s="59"/>
      <c r="F280" s="58">
        <f>F281+F284</f>
        <v>0.5</v>
      </c>
      <c r="N280" s="105"/>
      <c r="O280" s="105"/>
      <c r="P280" s="105"/>
      <c r="Q280" s="105"/>
      <c r="R280" s="105"/>
    </row>
    <row r="281" spans="1:18" s="30" customFormat="1" ht="24" customHeight="1">
      <c r="A281" s="28" t="str">
        <f>'пр.4 вед.стр.'!A1232</f>
        <v>Закупка товаров, работ и услуг для обеспечения государственных (муниципальных) нужд</v>
      </c>
      <c r="B281" s="59" t="s">
        <v>68</v>
      </c>
      <c r="C281" s="59" t="s">
        <v>76</v>
      </c>
      <c r="D281" s="60" t="str">
        <f>'пр.4 вед.стр.'!E1232</f>
        <v>В5 0 00 08030</v>
      </c>
      <c r="E281" s="19" t="s">
        <v>104</v>
      </c>
      <c r="F281" s="58">
        <f>F282</f>
        <v>0.1</v>
      </c>
      <c r="N281" s="102"/>
      <c r="O281" s="102"/>
      <c r="P281" s="102"/>
      <c r="Q281" s="102"/>
      <c r="R281" s="105"/>
    </row>
    <row r="282" spans="1:18" s="30" customFormat="1" ht="18" customHeight="1">
      <c r="A282" s="28" t="str">
        <f>'пр.4 вед.стр.'!A1233</f>
        <v>Иные закупки товаров, работ и услуг для обеспечения государственных и муниципальных нужд</v>
      </c>
      <c r="B282" s="59" t="s">
        <v>68</v>
      </c>
      <c r="C282" s="59" t="s">
        <v>76</v>
      </c>
      <c r="D282" s="60" t="str">
        <f>'пр.4 вед.стр.'!E1233</f>
        <v>В5 0 00 08030</v>
      </c>
      <c r="E282" s="19" t="s">
        <v>99</v>
      </c>
      <c r="F282" s="58">
        <f>F283</f>
        <v>0.1</v>
      </c>
      <c r="N282" s="102"/>
      <c r="O282" s="102"/>
      <c r="P282" s="102"/>
      <c r="Q282" s="102"/>
      <c r="R282" s="105"/>
    </row>
    <row r="283" spans="1:18" s="30" customFormat="1" ht="17.25" customHeight="1">
      <c r="A283" s="28" t="str">
        <f>'пр.4 вед.стр.'!A1234</f>
        <v>Прочая закупка товаров, работ и услуг для обеспечения государственных (муниципальных) нужд</v>
      </c>
      <c r="B283" s="59" t="s">
        <v>68</v>
      </c>
      <c r="C283" s="59" t="s">
        <v>76</v>
      </c>
      <c r="D283" s="60" t="str">
        <f>'пр.4 вед.стр.'!E1234</f>
        <v>В5 0 00 08030</v>
      </c>
      <c r="E283" s="19" t="s">
        <v>101</v>
      </c>
      <c r="F283" s="58">
        <f>'пр.4 вед.стр.'!G1234</f>
        <v>0.1</v>
      </c>
      <c r="N283" s="102"/>
      <c r="O283" s="102"/>
      <c r="P283" s="102"/>
      <c r="Q283" s="102"/>
      <c r="R283" s="105"/>
    </row>
    <row r="284" spans="1:18" s="30" customFormat="1" ht="18" customHeight="1">
      <c r="A284" s="28" t="str">
        <f>'пр.4 вед.стр.'!A1235</f>
        <v>Иные бюджетные ассигнования</v>
      </c>
      <c r="B284" s="59" t="s">
        <v>68</v>
      </c>
      <c r="C284" s="59" t="s">
        <v>76</v>
      </c>
      <c r="D284" s="60" t="str">
        <f>'пр.4 вед.стр.'!E1235</f>
        <v>В5 0 00 08030</v>
      </c>
      <c r="E284" s="19" t="s">
        <v>129</v>
      </c>
      <c r="F284" s="58" t="str">
        <f>F285</f>
        <v>0,4</v>
      </c>
      <c r="N284" s="102"/>
      <c r="O284" s="102"/>
      <c r="P284" s="102"/>
      <c r="Q284" s="102"/>
      <c r="R284" s="105"/>
    </row>
    <row r="285" spans="1:18" s="30" customFormat="1" ht="16.5" customHeight="1">
      <c r="A285" s="28" t="str">
        <f>'пр.4 вед.стр.'!A1236</f>
        <v>Уплата налогов, сборов и иных платежей</v>
      </c>
      <c r="B285" s="59" t="s">
        <v>68</v>
      </c>
      <c r="C285" s="59" t="s">
        <v>76</v>
      </c>
      <c r="D285" s="60" t="str">
        <f>'пр.4 вед.стр.'!E1236</f>
        <v>В5 0 00 08030</v>
      </c>
      <c r="E285" s="19" t="s">
        <v>132</v>
      </c>
      <c r="F285" s="58" t="str">
        <f>F286</f>
        <v>0,4</v>
      </c>
      <c r="N285" s="102"/>
      <c r="O285" s="102"/>
      <c r="P285" s="102"/>
      <c r="Q285" s="102"/>
      <c r="R285" s="105"/>
    </row>
    <row r="286" spans="1:18" s="30" customFormat="1" ht="24" customHeight="1">
      <c r="A286" s="28" t="str">
        <f>'пр.4 вед.стр.'!A1237</f>
        <v>Уплата иных платежей</v>
      </c>
      <c r="B286" s="59" t="s">
        <v>68</v>
      </c>
      <c r="C286" s="59" t="s">
        <v>76</v>
      </c>
      <c r="D286" s="60" t="str">
        <f>'пр.4 вед.стр.'!E1237</f>
        <v>В5 0 00 08030</v>
      </c>
      <c r="E286" s="19" t="s">
        <v>163</v>
      </c>
      <c r="F286" s="58" t="str">
        <f>'пр.4 вед.стр.'!G1237</f>
        <v>0,4</v>
      </c>
      <c r="N286" s="102"/>
      <c r="O286" s="102"/>
      <c r="P286" s="102"/>
      <c r="Q286" s="102"/>
      <c r="R286" s="105"/>
    </row>
    <row r="287" spans="1:18" s="30" customFormat="1" ht="12" customHeight="1">
      <c r="A287" s="61" t="s">
        <v>6</v>
      </c>
      <c r="B287" s="63" t="s">
        <v>68</v>
      </c>
      <c r="C287" s="63" t="s">
        <v>73</v>
      </c>
      <c r="D287" s="63"/>
      <c r="E287" s="63"/>
      <c r="F287" s="64">
        <f>F288</f>
        <v>6600</v>
      </c>
      <c r="N287" s="102"/>
      <c r="O287" s="102"/>
      <c r="P287" s="102"/>
      <c r="Q287" s="102"/>
      <c r="R287" s="105"/>
    </row>
    <row r="288" spans="1:18" s="30" customFormat="1" ht="14.25" customHeight="1">
      <c r="A288" s="28" t="s">
        <v>37</v>
      </c>
      <c r="B288" s="59" t="s">
        <v>68</v>
      </c>
      <c r="C288" s="59" t="s">
        <v>73</v>
      </c>
      <c r="D288" s="59" t="s">
        <v>233</v>
      </c>
      <c r="E288" s="59"/>
      <c r="F288" s="58">
        <f>F289</f>
        <v>6600</v>
      </c>
      <c r="N288" s="102"/>
      <c r="O288" s="102"/>
      <c r="P288" s="102"/>
      <c r="Q288" s="102"/>
      <c r="R288" s="105"/>
    </row>
    <row r="289" spans="1:18" s="30" customFormat="1" ht="14.25" customHeight="1">
      <c r="A289" s="28" t="str">
        <f>'пр.4 вед.стр.'!A433</f>
        <v>Субсидии на проведение отдельных мероприятий по другим видам транспорта</v>
      </c>
      <c r="B289" s="59" t="s">
        <v>68</v>
      </c>
      <c r="C289" s="59" t="s">
        <v>73</v>
      </c>
      <c r="D289" s="149" t="str">
        <f>'пр.4 вед.стр.'!E433</f>
        <v> Т4 0  00 03170</v>
      </c>
      <c r="E289" s="149"/>
      <c r="F289" s="146">
        <f>F290</f>
        <v>6600</v>
      </c>
      <c r="N289" s="102"/>
      <c r="O289" s="102"/>
      <c r="P289" s="102"/>
      <c r="Q289" s="102"/>
      <c r="R289" s="105"/>
    </row>
    <row r="290" spans="1:18" s="30" customFormat="1" ht="14.25" customHeight="1">
      <c r="A290" s="28" t="str">
        <f>'пр.4 вед.стр.'!A434</f>
        <v>Иные бюджетные ассигнования</v>
      </c>
      <c r="B290" s="59" t="s">
        <v>68</v>
      </c>
      <c r="C290" s="59" t="s">
        <v>73</v>
      </c>
      <c r="D290" s="149" t="str">
        <f>'пр.4 вед.стр.'!E434</f>
        <v> Т4 0  00 03170</v>
      </c>
      <c r="E290" s="149" t="str">
        <f>'пр.4 вед.стр.'!F434</f>
        <v>800</v>
      </c>
      <c r="F290" s="146">
        <f>F291</f>
        <v>6600</v>
      </c>
      <c r="N290" s="102"/>
      <c r="O290" s="102"/>
      <c r="P290" s="102"/>
      <c r="Q290" s="102"/>
      <c r="R290" s="105"/>
    </row>
    <row r="291" spans="1:18" s="30" customFormat="1" ht="24" customHeight="1">
      <c r="A291" s="28" t="str">
        <f>'пр.4 вед.стр.'!A435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291" s="59" t="s">
        <v>68</v>
      </c>
      <c r="C291" s="59" t="s">
        <v>73</v>
      </c>
      <c r="D291" s="149" t="str">
        <f>'пр.4 вед.стр.'!E435</f>
        <v> Т4 0  00 03170</v>
      </c>
      <c r="E291" s="149" t="str">
        <f>'пр.4 вед.стр.'!F435</f>
        <v>810</v>
      </c>
      <c r="F291" s="146">
        <f>F292</f>
        <v>6600</v>
      </c>
      <c r="N291" s="102"/>
      <c r="O291" s="102"/>
      <c r="P291" s="102"/>
      <c r="Q291" s="102"/>
      <c r="R291" s="105"/>
    </row>
    <row r="292" spans="1:18" s="30" customFormat="1" ht="31.5" customHeight="1">
      <c r="A292" s="28" t="str">
        <f>'пр.4 вед.стр.'!A436</f>
        <v>Иные 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292" s="59" t="s">
        <v>68</v>
      </c>
      <c r="C292" s="59" t="s">
        <v>73</v>
      </c>
      <c r="D292" s="149" t="str">
        <f>'пр.4 вед.стр.'!E436</f>
        <v> Т4 0  00 03170</v>
      </c>
      <c r="E292" s="149" t="str">
        <f>'пр.4 вед.стр.'!F436</f>
        <v>814</v>
      </c>
      <c r="F292" s="146">
        <f>'пр.4 вед.стр.'!G436</f>
        <v>6600</v>
      </c>
      <c r="N292" s="102"/>
      <c r="O292" s="102"/>
      <c r="P292" s="102"/>
      <c r="Q292" s="102"/>
      <c r="R292" s="105"/>
    </row>
    <row r="293" spans="1:18" s="30" customFormat="1" ht="15" customHeight="1">
      <c r="A293" s="61" t="s">
        <v>82</v>
      </c>
      <c r="B293" s="62" t="s">
        <v>68</v>
      </c>
      <c r="C293" s="62" t="s">
        <v>75</v>
      </c>
      <c r="D293" s="63"/>
      <c r="E293" s="63"/>
      <c r="F293" s="64">
        <f>F310+F294+F304</f>
        <v>7426.200000000001</v>
      </c>
      <c r="N293" s="102"/>
      <c r="O293" s="102"/>
      <c r="P293" s="102"/>
      <c r="Q293" s="102"/>
      <c r="R293" s="105"/>
    </row>
    <row r="294" spans="1:18" s="30" customFormat="1" ht="24" customHeight="1">
      <c r="A294" s="126" t="s">
        <v>573</v>
      </c>
      <c r="B294" s="59" t="s">
        <v>68</v>
      </c>
      <c r="C294" s="59" t="s">
        <v>75</v>
      </c>
      <c r="D294" s="161" t="s">
        <v>574</v>
      </c>
      <c r="E294" s="59"/>
      <c r="F294" s="58">
        <f>F295</f>
        <v>6126.200000000001</v>
      </c>
      <c r="N294" s="102"/>
      <c r="O294" s="102"/>
      <c r="P294" s="102"/>
      <c r="Q294" s="102"/>
      <c r="R294" s="105"/>
    </row>
    <row r="295" spans="1:18" s="30" customFormat="1" ht="13.5" customHeight="1">
      <c r="A295" s="126" t="s">
        <v>281</v>
      </c>
      <c r="B295" s="59" t="s">
        <v>68</v>
      </c>
      <c r="C295" s="59" t="s">
        <v>75</v>
      </c>
      <c r="D295" s="161" t="s">
        <v>575</v>
      </c>
      <c r="E295" s="59"/>
      <c r="F295" s="58">
        <f>F296+F300</f>
        <v>6126.200000000001</v>
      </c>
      <c r="N295" s="102"/>
      <c r="O295" s="102"/>
      <c r="P295" s="102"/>
      <c r="Q295" s="102"/>
      <c r="R295" s="105"/>
    </row>
    <row r="296" spans="1:18" s="30" customFormat="1" ht="24" customHeight="1">
      <c r="A296" s="126" t="s">
        <v>576</v>
      </c>
      <c r="B296" s="59" t="s">
        <v>68</v>
      </c>
      <c r="C296" s="59" t="s">
        <v>75</v>
      </c>
      <c r="D296" s="161" t="s">
        <v>577</v>
      </c>
      <c r="E296" s="59"/>
      <c r="F296" s="58">
        <f>F297</f>
        <v>4316.6</v>
      </c>
      <c r="N296" s="102"/>
      <c r="O296" s="102"/>
      <c r="P296" s="102"/>
      <c r="Q296" s="102"/>
      <c r="R296" s="105"/>
    </row>
    <row r="297" spans="1:18" s="30" customFormat="1" ht="16.5" customHeight="1">
      <c r="A297" s="28" t="s">
        <v>610</v>
      </c>
      <c r="B297" s="59" t="s">
        <v>68</v>
      </c>
      <c r="C297" s="59" t="s">
        <v>75</v>
      </c>
      <c r="D297" s="161" t="s">
        <v>577</v>
      </c>
      <c r="E297" s="59" t="s">
        <v>104</v>
      </c>
      <c r="F297" s="58">
        <f>F298</f>
        <v>4316.6</v>
      </c>
      <c r="N297" s="102"/>
      <c r="O297" s="102"/>
      <c r="P297" s="102"/>
      <c r="Q297" s="102"/>
      <c r="R297" s="105"/>
    </row>
    <row r="298" spans="1:18" s="30" customFormat="1" ht="12.75" customHeight="1">
      <c r="A298" s="28" t="s">
        <v>98</v>
      </c>
      <c r="B298" s="59" t="s">
        <v>68</v>
      </c>
      <c r="C298" s="59" t="s">
        <v>75</v>
      </c>
      <c r="D298" s="161" t="s">
        <v>577</v>
      </c>
      <c r="E298" s="59" t="s">
        <v>99</v>
      </c>
      <c r="F298" s="58">
        <f>F299</f>
        <v>4316.6</v>
      </c>
      <c r="N298" s="102"/>
      <c r="O298" s="102"/>
      <c r="P298" s="102"/>
      <c r="Q298" s="102"/>
      <c r="R298" s="105"/>
    </row>
    <row r="299" spans="1:18" s="30" customFormat="1" ht="15" customHeight="1">
      <c r="A299" s="28" t="s">
        <v>100</v>
      </c>
      <c r="B299" s="59" t="s">
        <v>68</v>
      </c>
      <c r="C299" s="59" t="s">
        <v>75</v>
      </c>
      <c r="D299" s="161" t="s">
        <v>577</v>
      </c>
      <c r="E299" s="59" t="s">
        <v>101</v>
      </c>
      <c r="F299" s="58">
        <f>'пр.4 вед.стр.'!G1244</f>
        <v>4316.6</v>
      </c>
      <c r="N299" s="102"/>
      <c r="O299" s="102"/>
      <c r="P299" s="102"/>
      <c r="Q299" s="102"/>
      <c r="R299" s="105"/>
    </row>
    <row r="300" spans="1:18" s="30" customFormat="1" ht="45.75" customHeight="1">
      <c r="A300" s="28" t="str">
        <f>'пр.4 вед.стр.'!A173</f>
        <v>Частичное покрытие расходов, связанных с проведением аварийно- восстановительных работ по ликвидации последствий чрезвычайной ситуации, вызванной наводнением в августе 2016 года, на автомобильных дорогах местного значения</v>
      </c>
      <c r="B300" s="59" t="s">
        <v>68</v>
      </c>
      <c r="C300" s="59" t="s">
        <v>75</v>
      </c>
      <c r="D300" s="161" t="str">
        <f>'пр.4 вед.стр.'!E173</f>
        <v>7S 0 01 54640 </v>
      </c>
      <c r="E300" s="59"/>
      <c r="F300" s="58">
        <f>F301</f>
        <v>1809.6</v>
      </c>
      <c r="N300" s="102"/>
      <c r="O300" s="102"/>
      <c r="P300" s="102"/>
      <c r="Q300" s="102"/>
      <c r="R300" s="105"/>
    </row>
    <row r="301" spans="1:6" ht="24.75" customHeight="1">
      <c r="A301" s="28" t="str">
        <f>'пр.4 вед.стр.'!A174</f>
        <v>Иные бюджетные ассигнования</v>
      </c>
      <c r="B301" s="59" t="s">
        <v>68</v>
      </c>
      <c r="C301" s="59" t="s">
        <v>75</v>
      </c>
      <c r="D301" s="161" t="str">
        <f>'пр.4 вед.стр.'!E174</f>
        <v>7S 0 01 54640 </v>
      </c>
      <c r="E301" s="59" t="s">
        <v>129</v>
      </c>
      <c r="F301" s="58">
        <f>F302</f>
        <v>1809.6</v>
      </c>
    </row>
    <row r="302" spans="1:6" ht="32.25" customHeight="1">
      <c r="A302" s="28" t="str">
        <f>'пр.4 вед.стр.'!A175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302" s="59" t="s">
        <v>68</v>
      </c>
      <c r="C302" s="59" t="s">
        <v>75</v>
      </c>
      <c r="D302" s="161" t="str">
        <f>'пр.4 вед.стр.'!E175</f>
        <v>7S 0 01 54640 </v>
      </c>
      <c r="E302" s="59" t="s">
        <v>130</v>
      </c>
      <c r="F302" s="58">
        <f>F303</f>
        <v>1809.6</v>
      </c>
    </row>
    <row r="303" spans="1:6" ht="24.75" customHeight="1">
      <c r="A303" s="28" t="str">
        <f>'пр.4 вед.стр.'!A176</f>
        <v>Иные 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303" s="59" t="s">
        <v>68</v>
      </c>
      <c r="C303" s="59" t="s">
        <v>75</v>
      </c>
      <c r="D303" s="161" t="str">
        <f>'пр.4 вед.стр.'!E176</f>
        <v>7S 0 01 54640 </v>
      </c>
      <c r="E303" s="59" t="s">
        <v>608</v>
      </c>
      <c r="F303" s="58">
        <f>'пр.4 вед.стр.'!G176</f>
        <v>1809.6</v>
      </c>
    </row>
    <row r="304" spans="1:18" s="30" customFormat="1" ht="24" customHeight="1">
      <c r="A304" s="28" t="s">
        <v>578</v>
      </c>
      <c r="B304" s="59" t="s">
        <v>68</v>
      </c>
      <c r="C304" s="59" t="s">
        <v>75</v>
      </c>
      <c r="D304" s="161" t="s">
        <v>579</v>
      </c>
      <c r="E304" s="59"/>
      <c r="F304" s="58">
        <f>F305</f>
        <v>376.2</v>
      </c>
      <c r="N304" s="102"/>
      <c r="O304" s="102"/>
      <c r="P304" s="102"/>
      <c r="Q304" s="102"/>
      <c r="R304" s="105"/>
    </row>
    <row r="305" spans="1:18" s="30" customFormat="1" ht="12.75" customHeight="1">
      <c r="A305" s="126" t="s">
        <v>281</v>
      </c>
      <c r="B305" s="59" t="s">
        <v>68</v>
      </c>
      <c r="C305" s="59" t="s">
        <v>75</v>
      </c>
      <c r="D305" s="161" t="s">
        <v>580</v>
      </c>
      <c r="E305" s="59"/>
      <c r="F305" s="58">
        <f>F306</f>
        <v>376.2</v>
      </c>
      <c r="N305" s="102"/>
      <c r="O305" s="102"/>
      <c r="P305" s="102"/>
      <c r="Q305" s="102"/>
      <c r="R305" s="105"/>
    </row>
    <row r="306" spans="1:18" s="30" customFormat="1" ht="24" customHeight="1">
      <c r="A306" s="28" t="s">
        <v>581</v>
      </c>
      <c r="B306" s="59" t="s">
        <v>68</v>
      </c>
      <c r="C306" s="59" t="s">
        <v>75</v>
      </c>
      <c r="D306" s="161" t="s">
        <v>582</v>
      </c>
      <c r="E306" s="59"/>
      <c r="F306" s="58">
        <f>F307</f>
        <v>376.2</v>
      </c>
      <c r="N306" s="102"/>
      <c r="O306" s="102"/>
      <c r="P306" s="102"/>
      <c r="Q306" s="102"/>
      <c r="R306" s="105"/>
    </row>
    <row r="307" spans="1:18" s="30" customFormat="1" ht="15" customHeight="1">
      <c r="A307" s="28" t="s">
        <v>610</v>
      </c>
      <c r="B307" s="59" t="s">
        <v>68</v>
      </c>
      <c r="C307" s="59" t="s">
        <v>75</v>
      </c>
      <c r="D307" s="161" t="s">
        <v>582</v>
      </c>
      <c r="E307" s="59" t="s">
        <v>104</v>
      </c>
      <c r="F307" s="58">
        <f>F308</f>
        <v>376.2</v>
      </c>
      <c r="N307" s="102"/>
      <c r="O307" s="102"/>
      <c r="P307" s="102"/>
      <c r="Q307" s="102"/>
      <c r="R307" s="105"/>
    </row>
    <row r="308" spans="1:18" s="30" customFormat="1" ht="12" customHeight="1">
      <c r="A308" s="28" t="s">
        <v>98</v>
      </c>
      <c r="B308" s="59" t="s">
        <v>68</v>
      </c>
      <c r="C308" s="59" t="s">
        <v>75</v>
      </c>
      <c r="D308" s="161" t="s">
        <v>582</v>
      </c>
      <c r="E308" s="59" t="s">
        <v>99</v>
      </c>
      <c r="F308" s="58">
        <f>F309</f>
        <v>376.2</v>
      </c>
      <c r="N308" s="102"/>
      <c r="O308" s="102"/>
      <c r="P308" s="102"/>
      <c r="Q308" s="102"/>
      <c r="R308" s="105"/>
    </row>
    <row r="309" spans="1:18" s="30" customFormat="1" ht="12" customHeight="1">
      <c r="A309" s="28" t="s">
        <v>100</v>
      </c>
      <c r="B309" s="59" t="s">
        <v>68</v>
      </c>
      <c r="C309" s="59" t="s">
        <v>75</v>
      </c>
      <c r="D309" s="161" t="s">
        <v>582</v>
      </c>
      <c r="E309" s="59" t="s">
        <v>101</v>
      </c>
      <c r="F309" s="58">
        <f>'пр.4 вед.стр.'!G1250</f>
        <v>376.2</v>
      </c>
      <c r="N309" s="102"/>
      <c r="O309" s="102"/>
      <c r="P309" s="102"/>
      <c r="Q309" s="102"/>
      <c r="R309" s="105"/>
    </row>
    <row r="310" spans="1:18" s="30" customFormat="1" ht="12" customHeight="1">
      <c r="A310" s="28" t="s">
        <v>211</v>
      </c>
      <c r="B310" s="60" t="s">
        <v>68</v>
      </c>
      <c r="C310" s="60" t="s">
        <v>75</v>
      </c>
      <c r="D310" s="59" t="s">
        <v>218</v>
      </c>
      <c r="E310" s="63"/>
      <c r="F310" s="58">
        <f>F311</f>
        <v>923.8</v>
      </c>
      <c r="N310" s="102"/>
      <c r="O310" s="102"/>
      <c r="P310" s="102"/>
      <c r="Q310" s="102"/>
      <c r="R310" s="105"/>
    </row>
    <row r="311" spans="1:18" s="30" customFormat="1" ht="12" customHeight="1">
      <c r="A311" s="28" t="s">
        <v>396</v>
      </c>
      <c r="B311" s="60" t="s">
        <v>68</v>
      </c>
      <c r="C311" s="60" t="s">
        <v>75</v>
      </c>
      <c r="D311" s="59" t="s">
        <v>397</v>
      </c>
      <c r="E311" s="63"/>
      <c r="F311" s="58">
        <f>F312</f>
        <v>923.8</v>
      </c>
      <c r="N311" s="102"/>
      <c r="O311" s="102"/>
      <c r="P311" s="102"/>
      <c r="Q311" s="102"/>
      <c r="R311" s="105"/>
    </row>
    <row r="312" spans="1:18" s="30" customFormat="1" ht="12" customHeight="1">
      <c r="A312" s="28" t="s">
        <v>610</v>
      </c>
      <c r="B312" s="60" t="s">
        <v>68</v>
      </c>
      <c r="C312" s="60" t="s">
        <v>75</v>
      </c>
      <c r="D312" s="59" t="s">
        <v>397</v>
      </c>
      <c r="E312" s="59" t="s">
        <v>104</v>
      </c>
      <c r="F312" s="58">
        <f>F313</f>
        <v>923.8</v>
      </c>
      <c r="N312" s="102"/>
      <c r="O312" s="102"/>
      <c r="P312" s="102"/>
      <c r="Q312" s="102"/>
      <c r="R312" s="105"/>
    </row>
    <row r="313" spans="1:18" s="30" customFormat="1" ht="12" customHeight="1">
      <c r="A313" s="28" t="s">
        <v>98</v>
      </c>
      <c r="B313" s="60" t="s">
        <v>68</v>
      </c>
      <c r="C313" s="60" t="s">
        <v>75</v>
      </c>
      <c r="D313" s="59" t="s">
        <v>397</v>
      </c>
      <c r="E313" s="59" t="s">
        <v>99</v>
      </c>
      <c r="F313" s="58">
        <f>'пр.4 вед.стр.'!G1254</f>
        <v>923.8</v>
      </c>
      <c r="N313" s="102"/>
      <c r="O313" s="102"/>
      <c r="P313" s="102"/>
      <c r="Q313" s="102"/>
      <c r="R313" s="105"/>
    </row>
    <row r="314" spans="1:18" s="30" customFormat="1" ht="17.25" customHeight="1">
      <c r="A314" s="28" t="s">
        <v>100</v>
      </c>
      <c r="B314" s="60" t="s">
        <v>68</v>
      </c>
      <c r="C314" s="60" t="s">
        <v>75</v>
      </c>
      <c r="D314" s="59" t="s">
        <v>397</v>
      </c>
      <c r="E314" s="59" t="s">
        <v>101</v>
      </c>
      <c r="F314" s="58">
        <f>'пр.4 вед.стр.'!G1255</f>
        <v>923.8</v>
      </c>
      <c r="N314" s="102"/>
      <c r="O314" s="102"/>
      <c r="P314" s="102"/>
      <c r="Q314" s="102"/>
      <c r="R314" s="105"/>
    </row>
    <row r="315" spans="1:18" s="65" customFormat="1" ht="12.75">
      <c r="A315" s="61" t="s">
        <v>7</v>
      </c>
      <c r="B315" s="63" t="s">
        <v>68</v>
      </c>
      <c r="C315" s="63" t="s">
        <v>78</v>
      </c>
      <c r="D315" s="76"/>
      <c r="E315" s="63"/>
      <c r="F315" s="64">
        <f>F316+F326+F336</f>
        <v>1082.4</v>
      </c>
      <c r="N315" s="102"/>
      <c r="O315" s="102"/>
      <c r="P315" s="102"/>
      <c r="Q315" s="102"/>
      <c r="R315" s="107"/>
    </row>
    <row r="316" spans="1:18" s="30" customFormat="1" ht="27" customHeight="1">
      <c r="A316" s="126" t="s">
        <v>439</v>
      </c>
      <c r="B316" s="59" t="s">
        <v>68</v>
      </c>
      <c r="C316" s="59" t="s">
        <v>78</v>
      </c>
      <c r="D316" s="161" t="s">
        <v>173</v>
      </c>
      <c r="E316" s="59"/>
      <c r="F316" s="58">
        <f>F317</f>
        <v>173.4</v>
      </c>
      <c r="N316" s="102"/>
      <c r="O316" s="102"/>
      <c r="P316" s="102"/>
      <c r="Q316" s="102"/>
      <c r="R316" s="105"/>
    </row>
    <row r="317" spans="1:18" s="30" customFormat="1" ht="27" customHeight="1">
      <c r="A317" s="126" t="s">
        <v>262</v>
      </c>
      <c r="B317" s="59" t="s">
        <v>68</v>
      </c>
      <c r="C317" s="59" t="s">
        <v>78</v>
      </c>
      <c r="D317" s="161" t="s">
        <v>322</v>
      </c>
      <c r="E317" s="59"/>
      <c r="F317" s="58">
        <f>F322+F318</f>
        <v>173.4</v>
      </c>
      <c r="N317" s="102"/>
      <c r="O317" s="102"/>
      <c r="P317" s="102"/>
      <c r="Q317" s="102"/>
      <c r="R317" s="105"/>
    </row>
    <row r="318" spans="1:18" s="30" customFormat="1" ht="18" customHeight="1">
      <c r="A318" s="126" t="str">
        <f>'пр.4 вед.стр.'!A180</f>
        <v>Поддержка развития малого и среднего предпринимательства </v>
      </c>
      <c r="B318" s="59" t="s">
        <v>68</v>
      </c>
      <c r="C318" s="59" t="s">
        <v>78</v>
      </c>
      <c r="D318" s="161" t="str">
        <f>'пр.4 вед.стр.'!E180</f>
        <v>7И 0 01 73360 </v>
      </c>
      <c r="E318" s="59"/>
      <c r="F318" s="58">
        <f>F319</f>
        <v>73.4</v>
      </c>
      <c r="N318" s="102"/>
      <c r="O318" s="102"/>
      <c r="P318" s="102"/>
      <c r="Q318" s="102"/>
      <c r="R318" s="105"/>
    </row>
    <row r="319" spans="1:18" s="30" customFormat="1" ht="18" customHeight="1">
      <c r="A319" s="28" t="s">
        <v>128</v>
      </c>
      <c r="B319" s="59" t="s">
        <v>68</v>
      </c>
      <c r="C319" s="59" t="s">
        <v>78</v>
      </c>
      <c r="D319" s="161" t="str">
        <f>'пр.4 вед.стр.'!E181</f>
        <v>7И 0 01 73360 </v>
      </c>
      <c r="E319" s="59" t="s">
        <v>129</v>
      </c>
      <c r="F319" s="58">
        <f>F320</f>
        <v>73.4</v>
      </c>
      <c r="N319" s="102"/>
      <c r="O319" s="102"/>
      <c r="P319" s="102"/>
      <c r="Q319" s="102"/>
      <c r="R319" s="105"/>
    </row>
    <row r="320" spans="1:18" s="30" customFormat="1" ht="27" customHeight="1">
      <c r="A320" s="28" t="s">
        <v>164</v>
      </c>
      <c r="B320" s="59" t="s">
        <v>68</v>
      </c>
      <c r="C320" s="59" t="s">
        <v>78</v>
      </c>
      <c r="D320" s="161" t="str">
        <f>'пр.4 вед.стр.'!E182</f>
        <v>7И 0 01 73360 </v>
      </c>
      <c r="E320" s="59" t="s">
        <v>130</v>
      </c>
      <c r="F320" s="58">
        <f>F321</f>
        <v>73.4</v>
      </c>
      <c r="N320" s="102"/>
      <c r="O320" s="102"/>
      <c r="P320" s="102"/>
      <c r="Q320" s="102"/>
      <c r="R320" s="105"/>
    </row>
    <row r="321" spans="1:18" s="30" customFormat="1" ht="27" customHeight="1">
      <c r="A321" s="28" t="s">
        <v>609</v>
      </c>
      <c r="B321" s="59" t="s">
        <v>68</v>
      </c>
      <c r="C321" s="59" t="s">
        <v>78</v>
      </c>
      <c r="D321" s="161" t="str">
        <f>'пр.4 вед.стр.'!E183</f>
        <v>7И 0 01 73360 </v>
      </c>
      <c r="E321" s="59" t="s">
        <v>608</v>
      </c>
      <c r="F321" s="58">
        <f>'пр.4 вед.стр.'!G183</f>
        <v>73.4</v>
      </c>
      <c r="N321" s="102"/>
      <c r="O321" s="102"/>
      <c r="P321" s="102"/>
      <c r="Q321" s="102"/>
      <c r="R321" s="105"/>
    </row>
    <row r="322" spans="1:18" s="30" customFormat="1" ht="12.75">
      <c r="A322" s="126" t="str">
        <f>'пр.4 вед.стр.'!A184</f>
        <v>Поддержка развития малого и среднего предпринимательства за счет средств местного бюджета</v>
      </c>
      <c r="B322" s="59" t="s">
        <v>68</v>
      </c>
      <c r="C322" s="59" t="s">
        <v>78</v>
      </c>
      <c r="D322" s="161" t="s">
        <v>440</v>
      </c>
      <c r="E322" s="59"/>
      <c r="F322" s="58">
        <f>F323</f>
        <v>100</v>
      </c>
      <c r="N322" s="102"/>
      <c r="O322" s="102"/>
      <c r="P322" s="102"/>
      <c r="Q322" s="102"/>
      <c r="R322" s="105"/>
    </row>
    <row r="323" spans="1:18" s="30" customFormat="1" ht="12.75">
      <c r="A323" s="28" t="s">
        <v>128</v>
      </c>
      <c r="B323" s="59" t="s">
        <v>68</v>
      </c>
      <c r="C323" s="59" t="s">
        <v>78</v>
      </c>
      <c r="D323" s="161" t="s">
        <v>440</v>
      </c>
      <c r="E323" s="59" t="s">
        <v>129</v>
      </c>
      <c r="F323" s="58">
        <f>F324</f>
        <v>100</v>
      </c>
      <c r="N323" s="102"/>
      <c r="O323" s="102"/>
      <c r="P323" s="102"/>
      <c r="Q323" s="102"/>
      <c r="R323" s="105"/>
    </row>
    <row r="324" spans="1:18" s="30" customFormat="1" ht="25.5">
      <c r="A324" s="28" t="s">
        <v>164</v>
      </c>
      <c r="B324" s="59" t="s">
        <v>68</v>
      </c>
      <c r="C324" s="59" t="s">
        <v>78</v>
      </c>
      <c r="D324" s="161" t="s">
        <v>440</v>
      </c>
      <c r="E324" s="59" t="s">
        <v>130</v>
      </c>
      <c r="F324" s="58">
        <f>'пр.4 вед.стр.'!G186</f>
        <v>100</v>
      </c>
      <c r="N324" s="102"/>
      <c r="O324" s="102"/>
      <c r="P324" s="102"/>
      <c r="Q324" s="102"/>
      <c r="R324" s="105"/>
    </row>
    <row r="325" spans="1:18" s="30" customFormat="1" ht="25.5">
      <c r="A325" s="28" t="s">
        <v>609</v>
      </c>
      <c r="B325" s="59" t="s">
        <v>68</v>
      </c>
      <c r="C325" s="59" t="s">
        <v>78</v>
      </c>
      <c r="D325" s="161" t="s">
        <v>440</v>
      </c>
      <c r="E325" s="59" t="s">
        <v>608</v>
      </c>
      <c r="F325" s="58">
        <f>'пр.4 вед.стр.'!G187</f>
        <v>100</v>
      </c>
      <c r="N325" s="102"/>
      <c r="O325" s="102"/>
      <c r="P325" s="102"/>
      <c r="Q325" s="102"/>
      <c r="R325" s="105"/>
    </row>
    <row r="326" spans="1:6" ht="25.5">
      <c r="A326" s="28" t="str">
        <f>'пр.4 вед.стр.'!A188</f>
        <v>Муниципальная программа "Развитие торговли  на территории Сусуманского городского округа на 2017 год"</v>
      </c>
      <c r="B326" s="59" t="s">
        <v>68</v>
      </c>
      <c r="C326" s="59" t="s">
        <v>78</v>
      </c>
      <c r="D326" s="161" t="s">
        <v>174</v>
      </c>
      <c r="E326" s="59"/>
      <c r="F326" s="58">
        <f>F327</f>
        <v>509</v>
      </c>
    </row>
    <row r="327" spans="1:18" s="30" customFormat="1" ht="38.25">
      <c r="A327" s="28" t="str">
        <f>'пр.4 вед.стр.'!A189</f>
        <v>Основное мероприятие "Создание условий для удовлетворения спроса населения на потребительские товары и услуги в широком ассортименте по доступным ценам в пределах территориальной доступности"</v>
      </c>
      <c r="B327" s="59" t="s">
        <v>68</v>
      </c>
      <c r="C327" s="59" t="s">
        <v>78</v>
      </c>
      <c r="D327" s="161" t="s">
        <v>323</v>
      </c>
      <c r="E327" s="59"/>
      <c r="F327" s="58">
        <f>F328+F332</f>
        <v>509</v>
      </c>
      <c r="N327" s="105"/>
      <c r="O327" s="105"/>
      <c r="P327" s="105"/>
      <c r="Q327" s="105"/>
      <c r="R327" s="105"/>
    </row>
    <row r="328" spans="1:18" s="30" customFormat="1" ht="16.5" customHeight="1">
      <c r="A328" s="28" t="str">
        <f>'пр.4 вед.стр.'!A190</f>
        <v>Мероприятия по организации и проведению областных универсальных совместных ярмарок товаров </v>
      </c>
      <c r="B328" s="59" t="s">
        <v>68</v>
      </c>
      <c r="C328" s="59" t="s">
        <v>78</v>
      </c>
      <c r="D328" s="161" t="s">
        <v>442</v>
      </c>
      <c r="E328" s="59"/>
      <c r="F328" s="58">
        <f>F329</f>
        <v>459</v>
      </c>
      <c r="N328" s="105"/>
      <c r="O328" s="105"/>
      <c r="P328" s="105"/>
      <c r="Q328" s="105"/>
      <c r="R328" s="105"/>
    </row>
    <row r="329" spans="1:18" s="30" customFormat="1" ht="12.75">
      <c r="A329" s="28" t="s">
        <v>610</v>
      </c>
      <c r="B329" s="59" t="s">
        <v>68</v>
      </c>
      <c r="C329" s="59" t="s">
        <v>78</v>
      </c>
      <c r="D329" s="161" t="s">
        <v>442</v>
      </c>
      <c r="E329" s="59" t="s">
        <v>104</v>
      </c>
      <c r="F329" s="58">
        <f>F330</f>
        <v>459</v>
      </c>
      <c r="N329" s="102"/>
      <c r="O329" s="102"/>
      <c r="P329" s="102"/>
      <c r="Q329" s="102"/>
      <c r="R329" s="105"/>
    </row>
    <row r="330" spans="1:18" s="30" customFormat="1" ht="15.75" customHeight="1">
      <c r="A330" s="28" t="s">
        <v>98</v>
      </c>
      <c r="B330" s="59" t="s">
        <v>68</v>
      </c>
      <c r="C330" s="59" t="s">
        <v>78</v>
      </c>
      <c r="D330" s="161" t="s">
        <v>442</v>
      </c>
      <c r="E330" s="59" t="s">
        <v>99</v>
      </c>
      <c r="F330" s="58">
        <f>F331</f>
        <v>459</v>
      </c>
      <c r="N330" s="102"/>
      <c r="O330" s="102"/>
      <c r="P330" s="102"/>
      <c r="Q330" s="102"/>
      <c r="R330" s="105"/>
    </row>
    <row r="331" spans="1:18" s="30" customFormat="1" ht="18" customHeight="1">
      <c r="A331" s="28" t="s">
        <v>100</v>
      </c>
      <c r="B331" s="59" t="s">
        <v>68</v>
      </c>
      <c r="C331" s="59" t="s">
        <v>78</v>
      </c>
      <c r="D331" s="161" t="s">
        <v>442</v>
      </c>
      <c r="E331" s="59" t="s">
        <v>101</v>
      </c>
      <c r="F331" s="58">
        <f>'пр.4 вед.стр.'!G193</f>
        <v>459</v>
      </c>
      <c r="N331" s="102"/>
      <c r="O331" s="102"/>
      <c r="P331" s="102"/>
      <c r="Q331" s="102"/>
      <c r="R331" s="105"/>
    </row>
    <row r="332" spans="1:18" s="30" customFormat="1" ht="25.5">
      <c r="A332" s="126" t="str">
        <f>'пр.4 вед.стр.'!A194</f>
        <v>Мероприятия по организации и проведению областных универсальных совместных ярмарок товаров за счет средств местного бюджета</v>
      </c>
      <c r="B332" s="59" t="s">
        <v>68</v>
      </c>
      <c r="C332" s="59" t="s">
        <v>78</v>
      </c>
      <c r="D332" s="161" t="s">
        <v>443</v>
      </c>
      <c r="E332" s="59"/>
      <c r="F332" s="58">
        <f>F333</f>
        <v>50</v>
      </c>
      <c r="N332" s="105"/>
      <c r="O332" s="105"/>
      <c r="P332" s="105"/>
      <c r="Q332" s="105"/>
      <c r="R332" s="105"/>
    </row>
    <row r="333" spans="1:18" s="30" customFormat="1" ht="12.75">
      <c r="A333" s="28" t="s">
        <v>610</v>
      </c>
      <c r="B333" s="59" t="s">
        <v>68</v>
      </c>
      <c r="C333" s="59" t="s">
        <v>78</v>
      </c>
      <c r="D333" s="161" t="s">
        <v>443</v>
      </c>
      <c r="E333" s="59" t="s">
        <v>104</v>
      </c>
      <c r="F333" s="58">
        <f>F334</f>
        <v>50</v>
      </c>
      <c r="N333" s="102"/>
      <c r="O333" s="102"/>
      <c r="P333" s="102"/>
      <c r="Q333" s="102"/>
      <c r="R333" s="105"/>
    </row>
    <row r="334" spans="1:18" s="30" customFormat="1" ht="16.5" customHeight="1">
      <c r="A334" s="28" t="s">
        <v>98</v>
      </c>
      <c r="B334" s="59" t="s">
        <v>68</v>
      </c>
      <c r="C334" s="59" t="s">
        <v>78</v>
      </c>
      <c r="D334" s="161" t="s">
        <v>443</v>
      </c>
      <c r="E334" s="59" t="s">
        <v>99</v>
      </c>
      <c r="F334" s="58">
        <f>F335</f>
        <v>50</v>
      </c>
      <c r="N334" s="102"/>
      <c r="O334" s="102"/>
      <c r="P334" s="102"/>
      <c r="Q334" s="102"/>
      <c r="R334" s="105"/>
    </row>
    <row r="335" spans="1:18" s="30" customFormat="1" ht="21" customHeight="1">
      <c r="A335" s="28" t="s">
        <v>100</v>
      </c>
      <c r="B335" s="59" t="s">
        <v>68</v>
      </c>
      <c r="C335" s="59" t="s">
        <v>78</v>
      </c>
      <c r="D335" s="161" t="s">
        <v>443</v>
      </c>
      <c r="E335" s="59" t="s">
        <v>101</v>
      </c>
      <c r="F335" s="58">
        <f>'пр.4 вед.стр.'!G197</f>
        <v>50</v>
      </c>
      <c r="N335" s="102"/>
      <c r="O335" s="102"/>
      <c r="P335" s="102"/>
      <c r="Q335" s="102"/>
      <c r="R335" s="105"/>
    </row>
    <row r="336" spans="1:18" s="30" customFormat="1" ht="25.5">
      <c r="A336" s="126" t="s">
        <v>479</v>
      </c>
      <c r="B336" s="59" t="s">
        <v>68</v>
      </c>
      <c r="C336" s="59" t="s">
        <v>78</v>
      </c>
      <c r="D336" s="161" t="s">
        <v>480</v>
      </c>
      <c r="E336" s="59"/>
      <c r="F336" s="58">
        <f>F337</f>
        <v>400</v>
      </c>
      <c r="N336" s="102"/>
      <c r="O336" s="102"/>
      <c r="P336" s="102"/>
      <c r="Q336" s="102"/>
      <c r="R336" s="105"/>
    </row>
    <row r="337" spans="1:18" s="30" customFormat="1" ht="25.5">
      <c r="A337" s="126" t="s">
        <v>279</v>
      </c>
      <c r="B337" s="59" t="s">
        <v>68</v>
      </c>
      <c r="C337" s="59" t="s">
        <v>78</v>
      </c>
      <c r="D337" s="161" t="s">
        <v>481</v>
      </c>
      <c r="E337" s="59"/>
      <c r="F337" s="58">
        <f>F338</f>
        <v>400</v>
      </c>
      <c r="N337" s="102"/>
      <c r="O337" s="102"/>
      <c r="P337" s="102"/>
      <c r="Q337" s="102"/>
      <c r="R337" s="105"/>
    </row>
    <row r="338" spans="1:18" s="30" customFormat="1" ht="12.75">
      <c r="A338" s="126" t="s">
        <v>172</v>
      </c>
      <c r="B338" s="59" t="s">
        <v>68</v>
      </c>
      <c r="C338" s="59" t="s">
        <v>78</v>
      </c>
      <c r="D338" s="161" t="s">
        <v>482</v>
      </c>
      <c r="E338" s="59"/>
      <c r="F338" s="58">
        <f>F339</f>
        <v>400</v>
      </c>
      <c r="N338" s="102"/>
      <c r="O338" s="102"/>
      <c r="P338" s="102"/>
      <c r="Q338" s="102"/>
      <c r="R338" s="105"/>
    </row>
    <row r="339" spans="1:18" s="30" customFormat="1" ht="12.75">
      <c r="A339" s="28" t="s">
        <v>128</v>
      </c>
      <c r="B339" s="59" t="s">
        <v>68</v>
      </c>
      <c r="C339" s="59" t="s">
        <v>78</v>
      </c>
      <c r="D339" s="161" t="s">
        <v>482</v>
      </c>
      <c r="E339" s="59" t="s">
        <v>129</v>
      </c>
      <c r="F339" s="58">
        <f>F340</f>
        <v>400</v>
      </c>
      <c r="N339" s="102"/>
      <c r="O339" s="102"/>
      <c r="P339" s="102"/>
      <c r="Q339" s="102"/>
      <c r="R339" s="105"/>
    </row>
    <row r="340" spans="1:18" s="30" customFormat="1" ht="25.5">
      <c r="A340" s="28" t="s">
        <v>164</v>
      </c>
      <c r="B340" s="59" t="s">
        <v>68</v>
      </c>
      <c r="C340" s="59" t="s">
        <v>78</v>
      </c>
      <c r="D340" s="161" t="s">
        <v>482</v>
      </c>
      <c r="E340" s="59" t="s">
        <v>130</v>
      </c>
      <c r="F340" s="58">
        <f>'пр.4 вед.стр.'!G442</f>
        <v>400</v>
      </c>
      <c r="N340" s="102"/>
      <c r="O340" s="102"/>
      <c r="P340" s="102"/>
      <c r="Q340" s="102"/>
      <c r="R340" s="105"/>
    </row>
    <row r="341" spans="1:18" s="30" customFormat="1" ht="36" customHeight="1">
      <c r="A341" s="28" t="s">
        <v>609</v>
      </c>
      <c r="B341" s="59" t="s">
        <v>68</v>
      </c>
      <c r="C341" s="59" t="s">
        <v>78</v>
      </c>
      <c r="D341" s="161" t="s">
        <v>482</v>
      </c>
      <c r="E341" s="59" t="s">
        <v>608</v>
      </c>
      <c r="F341" s="58">
        <f>'пр.4 вед.стр.'!G443</f>
        <v>400</v>
      </c>
      <c r="N341" s="102"/>
      <c r="O341" s="102"/>
      <c r="P341" s="102"/>
      <c r="Q341" s="102"/>
      <c r="R341" s="105"/>
    </row>
    <row r="342" spans="1:18" s="30" customFormat="1" ht="12.75">
      <c r="A342" s="152" t="s">
        <v>151</v>
      </c>
      <c r="B342" s="62" t="s">
        <v>72</v>
      </c>
      <c r="C342" s="62" t="s">
        <v>36</v>
      </c>
      <c r="D342" s="59"/>
      <c r="E342" s="59"/>
      <c r="F342" s="64">
        <f>F343+F381+F439</f>
        <v>76747.5</v>
      </c>
      <c r="N342" s="102"/>
      <c r="O342" s="102"/>
      <c r="P342" s="102"/>
      <c r="Q342" s="102"/>
      <c r="R342" s="105"/>
    </row>
    <row r="343" spans="1:18" s="30" customFormat="1" ht="12.75">
      <c r="A343" s="152" t="s">
        <v>150</v>
      </c>
      <c r="B343" s="62" t="s">
        <v>72</v>
      </c>
      <c r="C343" s="62" t="s">
        <v>66</v>
      </c>
      <c r="D343" s="63"/>
      <c r="E343" s="63"/>
      <c r="F343" s="64">
        <f>F358+F344</f>
        <v>13331.4</v>
      </c>
      <c r="N343" s="102"/>
      <c r="O343" s="102"/>
      <c r="P343" s="102"/>
      <c r="Q343" s="102"/>
      <c r="R343" s="105"/>
    </row>
    <row r="344" spans="1:18" s="30" customFormat="1" ht="25.5">
      <c r="A344" s="126" t="s">
        <v>448</v>
      </c>
      <c r="B344" s="60" t="s">
        <v>72</v>
      </c>
      <c r="C344" s="60" t="s">
        <v>66</v>
      </c>
      <c r="D344" s="161" t="s">
        <v>169</v>
      </c>
      <c r="E344" s="59"/>
      <c r="F344" s="58">
        <f>F345</f>
        <v>4512.4</v>
      </c>
      <c r="N344" s="102"/>
      <c r="O344" s="102"/>
      <c r="P344" s="102"/>
      <c r="Q344" s="102"/>
      <c r="R344" s="105"/>
    </row>
    <row r="345" spans="1:18" s="30" customFormat="1" ht="12.75">
      <c r="A345" s="126" t="s">
        <v>274</v>
      </c>
      <c r="B345" s="60" t="s">
        <v>72</v>
      </c>
      <c r="C345" s="60" t="s">
        <v>66</v>
      </c>
      <c r="D345" s="161" t="s">
        <v>321</v>
      </c>
      <c r="E345" s="59"/>
      <c r="F345" s="58">
        <f>F346+F350+F354</f>
        <v>4512.4</v>
      </c>
      <c r="N345" s="102"/>
      <c r="O345" s="102"/>
      <c r="P345" s="102"/>
      <c r="Q345" s="102"/>
      <c r="R345" s="105"/>
    </row>
    <row r="346" spans="1:18" s="30" customFormat="1" ht="12.75">
      <c r="A346" s="28" t="s">
        <v>607</v>
      </c>
      <c r="B346" s="60" t="s">
        <v>72</v>
      </c>
      <c r="C346" s="60" t="s">
        <v>66</v>
      </c>
      <c r="D346" s="161" t="s">
        <v>583</v>
      </c>
      <c r="E346" s="165"/>
      <c r="F346" s="147">
        <f>F347</f>
        <v>2550</v>
      </c>
      <c r="N346" s="102"/>
      <c r="O346" s="102"/>
      <c r="P346" s="102"/>
      <c r="Q346" s="102"/>
      <c r="R346" s="105"/>
    </row>
    <row r="347" spans="1:18" s="30" customFormat="1" ht="12.75">
      <c r="A347" s="28" t="s">
        <v>610</v>
      </c>
      <c r="B347" s="60" t="s">
        <v>72</v>
      </c>
      <c r="C347" s="60" t="s">
        <v>66</v>
      </c>
      <c r="D347" s="161" t="s">
        <v>583</v>
      </c>
      <c r="E347" s="165">
        <v>200</v>
      </c>
      <c r="F347" s="147">
        <f>F348</f>
        <v>2550</v>
      </c>
      <c r="N347" s="102"/>
      <c r="O347" s="102"/>
      <c r="P347" s="102"/>
      <c r="Q347" s="102"/>
      <c r="R347" s="105"/>
    </row>
    <row r="348" spans="1:18" s="30" customFormat="1" ht="18" customHeight="1">
      <c r="A348" s="28" t="s">
        <v>98</v>
      </c>
      <c r="B348" s="60" t="s">
        <v>72</v>
      </c>
      <c r="C348" s="60" t="s">
        <v>66</v>
      </c>
      <c r="D348" s="161" t="s">
        <v>583</v>
      </c>
      <c r="E348" s="165">
        <v>240</v>
      </c>
      <c r="F348" s="147">
        <f>F349</f>
        <v>2550</v>
      </c>
      <c r="N348" s="102"/>
      <c r="O348" s="102"/>
      <c r="P348" s="102"/>
      <c r="Q348" s="102"/>
      <c r="R348" s="105"/>
    </row>
    <row r="349" spans="1:18" s="30" customFormat="1" ht="14.25" customHeight="1">
      <c r="A349" s="28" t="s">
        <v>100</v>
      </c>
      <c r="B349" s="60" t="s">
        <v>72</v>
      </c>
      <c r="C349" s="60" t="s">
        <v>66</v>
      </c>
      <c r="D349" s="161" t="s">
        <v>583</v>
      </c>
      <c r="E349" s="165">
        <v>244</v>
      </c>
      <c r="F349" s="147">
        <f>'пр.4 вед.стр.'!G1263</f>
        <v>2550</v>
      </c>
      <c r="N349" s="102"/>
      <c r="O349" s="102"/>
      <c r="P349" s="102"/>
      <c r="Q349" s="102"/>
      <c r="R349" s="105"/>
    </row>
    <row r="350" spans="1:18" s="30" customFormat="1" ht="12" customHeight="1">
      <c r="A350" s="28" t="str">
        <f>'пр.4 вед.стр.'!A1264</f>
        <v>Осуществление мероприятий по переселению граждан из ветхого и аварийного жилищного фонда</v>
      </c>
      <c r="B350" s="60" t="s">
        <v>72</v>
      </c>
      <c r="C350" s="60" t="s">
        <v>66</v>
      </c>
      <c r="D350" s="161" t="str">
        <f>'пр.4 вед.стр.'!E1264</f>
        <v>7Г 0 01 61000 </v>
      </c>
      <c r="E350" s="165"/>
      <c r="F350" s="147">
        <f>F351</f>
        <v>1912.4</v>
      </c>
      <c r="N350" s="102"/>
      <c r="O350" s="102"/>
      <c r="P350" s="102"/>
      <c r="Q350" s="102"/>
      <c r="R350" s="105"/>
    </row>
    <row r="351" spans="1:6" ht="14.25" customHeight="1">
      <c r="A351" s="28" t="str">
        <f>'пр.4 вед.стр.'!A1265</f>
        <v>Закупка товаров, работ и услуг для обеспечения государственных (муниципальных) нужд</v>
      </c>
      <c r="B351" s="60" t="s">
        <v>72</v>
      </c>
      <c r="C351" s="60" t="s">
        <v>66</v>
      </c>
      <c r="D351" s="161" t="str">
        <f>'пр.4 вед.стр.'!E1265</f>
        <v>7Г 0 01 61000 </v>
      </c>
      <c r="E351" s="165">
        <f>'пр.4 вед.стр.'!F1265</f>
        <v>200</v>
      </c>
      <c r="F351" s="147">
        <f>F352</f>
        <v>1912.4</v>
      </c>
    </row>
    <row r="352" spans="1:6" ht="14.25" customHeight="1">
      <c r="A352" s="28" t="str">
        <f>'пр.4 вед.стр.'!A1266</f>
        <v>Иные закупки товаров, работ и услуг для обеспечения государственных и муниципальных нужд</v>
      </c>
      <c r="B352" s="60" t="s">
        <v>72</v>
      </c>
      <c r="C352" s="60" t="s">
        <v>66</v>
      </c>
      <c r="D352" s="161" t="str">
        <f>'пр.4 вед.стр.'!E1266</f>
        <v>7Г 0 01 61000 </v>
      </c>
      <c r="E352" s="165">
        <f>'пр.4 вед.стр.'!F1266</f>
        <v>240</v>
      </c>
      <c r="F352" s="147">
        <f>F353</f>
        <v>1912.4</v>
      </c>
    </row>
    <row r="353" spans="1:6" ht="14.25" customHeight="1">
      <c r="A353" s="28" t="str">
        <f>'пр.4 вед.стр.'!A1267</f>
        <v>Прочая закупка товаров, работ и услуг для обеспечения государственных (муниципальных) нужд</v>
      </c>
      <c r="B353" s="60" t="s">
        <v>72</v>
      </c>
      <c r="C353" s="60" t="s">
        <v>66</v>
      </c>
      <c r="D353" s="161" t="str">
        <f>'пр.4 вед.стр.'!E1267</f>
        <v>7Г 0 01 61000 </v>
      </c>
      <c r="E353" s="165">
        <f>'пр.4 вед.стр.'!F1267</f>
        <v>244</v>
      </c>
      <c r="F353" s="147">
        <f>'пр.4 вед.стр.'!G1267</f>
        <v>1912.4</v>
      </c>
    </row>
    <row r="354" spans="1:18" s="30" customFormat="1" ht="24" customHeight="1">
      <c r="A354" s="28" t="str">
        <f>'пр.4 вед.стр.'!A1268</f>
        <v>Осуществление мероприятий по переселению граждан из ветхого и аварийного жилищного фонда за счет средств местного бюджета</v>
      </c>
      <c r="B354" s="60" t="s">
        <v>72</v>
      </c>
      <c r="C354" s="60" t="s">
        <v>66</v>
      </c>
      <c r="D354" s="161" t="str">
        <f>'пр.4 вед.стр.'!E1268</f>
        <v>7Г 0 01 S1000 </v>
      </c>
      <c r="E354" s="165"/>
      <c r="F354" s="147">
        <f>F355</f>
        <v>50</v>
      </c>
      <c r="N354" s="102"/>
      <c r="O354" s="102"/>
      <c r="P354" s="102"/>
      <c r="Q354" s="102"/>
      <c r="R354" s="105"/>
    </row>
    <row r="355" spans="1:6" ht="14.25" customHeight="1">
      <c r="A355" s="28" t="str">
        <f>'пр.4 вед.стр.'!A1269</f>
        <v>Закупка товаров, работ и услуг для обеспечения государственных (муниципальных) нужд</v>
      </c>
      <c r="B355" s="60" t="s">
        <v>72</v>
      </c>
      <c r="C355" s="60" t="s">
        <v>66</v>
      </c>
      <c r="D355" s="161" t="str">
        <f>'пр.4 вед.стр.'!E1269</f>
        <v>7Г 0 01 S1000 </v>
      </c>
      <c r="E355" s="165">
        <f>'пр.4 вед.стр.'!F1269</f>
        <v>200</v>
      </c>
      <c r="F355" s="147">
        <f>F356</f>
        <v>50</v>
      </c>
    </row>
    <row r="356" spans="1:6" ht="14.25" customHeight="1">
      <c r="A356" s="28" t="str">
        <f>'пр.4 вед.стр.'!A1270</f>
        <v>Иные закупки товаров, работ и услуг для обеспечения государственных и муниципальных нужд</v>
      </c>
      <c r="B356" s="60" t="s">
        <v>72</v>
      </c>
      <c r="C356" s="60" t="s">
        <v>66</v>
      </c>
      <c r="D356" s="161" t="str">
        <f>'пр.4 вед.стр.'!E1270</f>
        <v>7Г 0 01 S1000 </v>
      </c>
      <c r="E356" s="165">
        <f>'пр.4 вед.стр.'!F1270</f>
        <v>240</v>
      </c>
      <c r="F356" s="147">
        <f>F357</f>
        <v>50</v>
      </c>
    </row>
    <row r="357" spans="1:6" ht="14.25" customHeight="1">
      <c r="A357" s="28" t="str">
        <f>'пр.4 вед.стр.'!A1271</f>
        <v>Прочая закупка товаров, работ и услуг для обеспечения государственных (муниципальных) нужд</v>
      </c>
      <c r="B357" s="60" t="s">
        <v>72</v>
      </c>
      <c r="C357" s="60" t="s">
        <v>66</v>
      </c>
      <c r="D357" s="161" t="str">
        <f>'пр.4 вед.стр.'!E1271</f>
        <v>7Г 0 01 S1000 </v>
      </c>
      <c r="E357" s="165">
        <f>'пр.4 вед.стр.'!F1271</f>
        <v>244</v>
      </c>
      <c r="F357" s="147">
        <f>'пр.4 вед.стр.'!G1271</f>
        <v>50</v>
      </c>
    </row>
    <row r="358" spans="1:18" s="30" customFormat="1" ht="12.75">
      <c r="A358" s="154" t="s">
        <v>206</v>
      </c>
      <c r="B358" s="60" t="s">
        <v>72</v>
      </c>
      <c r="C358" s="60" t="s">
        <v>66</v>
      </c>
      <c r="D358" s="59" t="s">
        <v>217</v>
      </c>
      <c r="E358" s="59"/>
      <c r="F358" s="58">
        <f>F359+F372</f>
        <v>8819</v>
      </c>
      <c r="N358" s="102"/>
      <c r="O358" s="102"/>
      <c r="P358" s="102"/>
      <c r="Q358" s="102"/>
      <c r="R358" s="105"/>
    </row>
    <row r="359" spans="1:18" s="30" customFormat="1" ht="12.75">
      <c r="A359" s="28" t="s">
        <v>282</v>
      </c>
      <c r="B359" s="60" t="s">
        <v>72</v>
      </c>
      <c r="C359" s="60" t="s">
        <v>66</v>
      </c>
      <c r="D359" s="59" t="s">
        <v>365</v>
      </c>
      <c r="E359" s="59"/>
      <c r="F359" s="58">
        <f>F360+F364</f>
        <v>8490.9</v>
      </c>
      <c r="N359" s="102"/>
      <c r="O359" s="102"/>
      <c r="P359" s="102"/>
      <c r="Q359" s="102"/>
      <c r="R359" s="105"/>
    </row>
    <row r="360" spans="1:18" s="30" customFormat="1" ht="12.75">
      <c r="A360" s="28" t="s">
        <v>283</v>
      </c>
      <c r="B360" s="60" t="s">
        <v>72</v>
      </c>
      <c r="C360" s="60" t="s">
        <v>66</v>
      </c>
      <c r="D360" s="59" t="s">
        <v>366</v>
      </c>
      <c r="E360" s="59"/>
      <c r="F360" s="58">
        <f>F361</f>
        <v>6153.4</v>
      </c>
      <c r="N360" s="102"/>
      <c r="O360" s="102"/>
      <c r="P360" s="102"/>
      <c r="Q360" s="102"/>
      <c r="R360" s="105"/>
    </row>
    <row r="361" spans="1:18" s="30" customFormat="1" ht="12.75">
      <c r="A361" s="28" t="s">
        <v>610</v>
      </c>
      <c r="B361" s="60" t="s">
        <v>72</v>
      </c>
      <c r="C361" s="60" t="s">
        <v>66</v>
      </c>
      <c r="D361" s="59" t="s">
        <v>366</v>
      </c>
      <c r="E361" s="59" t="s">
        <v>104</v>
      </c>
      <c r="F361" s="58">
        <f>F362</f>
        <v>6153.4</v>
      </c>
      <c r="N361" s="102"/>
      <c r="O361" s="102"/>
      <c r="P361" s="102"/>
      <c r="Q361" s="102"/>
      <c r="R361" s="105"/>
    </row>
    <row r="362" spans="1:18" s="30" customFormat="1" ht="15" customHeight="1">
      <c r="A362" s="28" t="s">
        <v>98</v>
      </c>
      <c r="B362" s="60" t="s">
        <v>72</v>
      </c>
      <c r="C362" s="60" t="s">
        <v>66</v>
      </c>
      <c r="D362" s="59" t="s">
        <v>366</v>
      </c>
      <c r="E362" s="59" t="s">
        <v>99</v>
      </c>
      <c r="F362" s="58">
        <f>F363</f>
        <v>6153.4</v>
      </c>
      <c r="N362" s="102"/>
      <c r="O362" s="102"/>
      <c r="P362" s="102"/>
      <c r="Q362" s="102"/>
      <c r="R362" s="105"/>
    </row>
    <row r="363" spans="1:18" s="30" customFormat="1" ht="15" customHeight="1">
      <c r="A363" s="28" t="s">
        <v>100</v>
      </c>
      <c r="B363" s="60" t="s">
        <v>72</v>
      </c>
      <c r="C363" s="60" t="s">
        <v>66</v>
      </c>
      <c r="D363" s="59" t="s">
        <v>366</v>
      </c>
      <c r="E363" s="59" t="s">
        <v>101</v>
      </c>
      <c r="F363" s="58">
        <f>'пр.4 вед.стр.'!G1277+'пр.4 вед.стр.'!G451+'пр.4 вед.стр.'!G205</f>
        <v>6153.4</v>
      </c>
      <c r="N363" s="102"/>
      <c r="O363" s="102"/>
      <c r="P363" s="102"/>
      <c r="Q363" s="102"/>
      <c r="R363" s="105"/>
    </row>
    <row r="364" spans="1:18" s="30" customFormat="1" ht="12.75">
      <c r="A364" s="28" t="s">
        <v>288</v>
      </c>
      <c r="B364" s="60" t="s">
        <v>72</v>
      </c>
      <c r="C364" s="60" t="s">
        <v>66</v>
      </c>
      <c r="D364" s="59" t="s">
        <v>388</v>
      </c>
      <c r="E364" s="59"/>
      <c r="F364" s="58">
        <f>F365+F368</f>
        <v>2337.5</v>
      </c>
      <c r="N364" s="102"/>
      <c r="O364" s="102"/>
      <c r="P364" s="102"/>
      <c r="Q364" s="102"/>
      <c r="R364" s="105"/>
    </row>
    <row r="365" spans="1:18" s="30" customFormat="1" ht="12.75">
      <c r="A365" s="28" t="s">
        <v>610</v>
      </c>
      <c r="B365" s="60" t="s">
        <v>72</v>
      </c>
      <c r="C365" s="60" t="s">
        <v>66</v>
      </c>
      <c r="D365" s="59" t="s">
        <v>388</v>
      </c>
      <c r="E365" s="59" t="s">
        <v>104</v>
      </c>
      <c r="F365" s="58">
        <f>F366</f>
        <v>1200</v>
      </c>
      <c r="N365" s="102"/>
      <c r="O365" s="102"/>
      <c r="P365" s="102"/>
      <c r="Q365" s="102"/>
      <c r="R365" s="105"/>
    </row>
    <row r="366" spans="1:18" s="30" customFormat="1" ht="15" customHeight="1">
      <c r="A366" s="28" t="s">
        <v>98</v>
      </c>
      <c r="B366" s="60" t="s">
        <v>72</v>
      </c>
      <c r="C366" s="60" t="s">
        <v>66</v>
      </c>
      <c r="D366" s="59" t="s">
        <v>388</v>
      </c>
      <c r="E366" s="59" t="s">
        <v>99</v>
      </c>
      <c r="F366" s="58">
        <f>F367</f>
        <v>1200</v>
      </c>
      <c r="N366" s="102"/>
      <c r="O366" s="102"/>
      <c r="P366" s="102"/>
      <c r="Q366" s="102"/>
      <c r="R366" s="105"/>
    </row>
    <row r="367" spans="1:18" s="30" customFormat="1" ht="14.25" customHeight="1">
      <c r="A367" s="28" t="s">
        <v>100</v>
      </c>
      <c r="B367" s="60" t="s">
        <v>72</v>
      </c>
      <c r="C367" s="60" t="s">
        <v>66</v>
      </c>
      <c r="D367" s="59" t="s">
        <v>388</v>
      </c>
      <c r="E367" s="59" t="s">
        <v>101</v>
      </c>
      <c r="F367" s="58">
        <f>'пр.4 вед.стр.'!G1281</f>
        <v>1200</v>
      </c>
      <c r="N367" s="102"/>
      <c r="O367" s="102"/>
      <c r="P367" s="102"/>
      <c r="Q367" s="102"/>
      <c r="R367" s="105"/>
    </row>
    <row r="368" spans="1:18" s="30" customFormat="1" ht="12.75">
      <c r="A368" s="28" t="s">
        <v>128</v>
      </c>
      <c r="B368" s="60" t="s">
        <v>72</v>
      </c>
      <c r="C368" s="60" t="s">
        <v>66</v>
      </c>
      <c r="D368" s="59" t="s">
        <v>388</v>
      </c>
      <c r="E368" s="59" t="s">
        <v>129</v>
      </c>
      <c r="F368" s="58">
        <f>F369</f>
        <v>1137.5</v>
      </c>
      <c r="N368" s="102"/>
      <c r="O368" s="102"/>
      <c r="P368" s="102"/>
      <c r="Q368" s="102"/>
      <c r="R368" s="105"/>
    </row>
    <row r="369" spans="1:18" s="30" customFormat="1" ht="12.75">
      <c r="A369" s="28" t="s">
        <v>131</v>
      </c>
      <c r="B369" s="60" t="s">
        <v>72</v>
      </c>
      <c r="C369" s="60" t="s">
        <v>66</v>
      </c>
      <c r="D369" s="59" t="s">
        <v>388</v>
      </c>
      <c r="E369" s="59" t="s">
        <v>132</v>
      </c>
      <c r="F369" s="58">
        <f>F370+F371</f>
        <v>1137.5</v>
      </c>
      <c r="N369" s="102"/>
      <c r="O369" s="102"/>
      <c r="P369" s="102"/>
      <c r="Q369" s="102"/>
      <c r="R369" s="105"/>
    </row>
    <row r="370" spans="1:18" s="30" customFormat="1" ht="12.75">
      <c r="A370" s="28" t="s">
        <v>133</v>
      </c>
      <c r="B370" s="60" t="s">
        <v>72</v>
      </c>
      <c r="C370" s="60" t="s">
        <v>66</v>
      </c>
      <c r="D370" s="59" t="s">
        <v>388</v>
      </c>
      <c r="E370" s="59" t="s">
        <v>134</v>
      </c>
      <c r="F370" s="58">
        <f>'пр.4 вед.стр.'!G1284</f>
        <v>1136.8</v>
      </c>
      <c r="N370" s="102"/>
      <c r="O370" s="102"/>
      <c r="P370" s="102"/>
      <c r="Q370" s="102"/>
      <c r="R370" s="105"/>
    </row>
    <row r="371" spans="1:18" s="30" customFormat="1" ht="12.75">
      <c r="A371" s="28" t="s">
        <v>162</v>
      </c>
      <c r="B371" s="60" t="s">
        <v>72</v>
      </c>
      <c r="C371" s="60" t="s">
        <v>66</v>
      </c>
      <c r="D371" s="59" t="s">
        <v>388</v>
      </c>
      <c r="E371" s="59" t="s">
        <v>163</v>
      </c>
      <c r="F371" s="58">
        <f>'пр.4 вед.стр.'!G1285</f>
        <v>0.7</v>
      </c>
      <c r="N371" s="102"/>
      <c r="O371" s="102"/>
      <c r="P371" s="102"/>
      <c r="Q371" s="102"/>
      <c r="R371" s="105"/>
    </row>
    <row r="372" spans="1:18" s="30" customFormat="1" ht="30" customHeight="1">
      <c r="A372" s="28" t="str">
        <f>'пр.4 вед.стр.'!A206</f>
        <v>Основное мероприятие "Строительство 16- квартирного жилого дома из каркасно- панельных деревянных элементов в г. Сусумане" </v>
      </c>
      <c r="B372" s="60" t="s">
        <v>72</v>
      </c>
      <c r="C372" s="60" t="s">
        <v>66</v>
      </c>
      <c r="D372" s="149" t="str">
        <f>'пр.4 вед.стр.'!E206</f>
        <v>Ж5 0 02 00000</v>
      </c>
      <c r="E372" s="149"/>
      <c r="F372" s="146">
        <f>F373+F377</f>
        <v>328.09999999999997</v>
      </c>
      <c r="N372" s="102"/>
      <c r="O372" s="102"/>
      <c r="P372" s="102"/>
      <c r="Q372" s="102"/>
      <c r="R372" s="105"/>
    </row>
    <row r="373" spans="1:18" s="30" customFormat="1" ht="25.5">
      <c r="A373" s="28" t="str">
        <f>'пр.4 вед.стр.'!A207</f>
        <v>Проценты за пользование чужими денежными средствами на основании вступивших в законную силу судебных актов</v>
      </c>
      <c r="B373" s="60" t="s">
        <v>72</v>
      </c>
      <c r="C373" s="60" t="s">
        <v>66</v>
      </c>
      <c r="D373" s="149" t="str">
        <f>'пр.4 вед.стр.'!E207</f>
        <v>Ж5 0 02 08090</v>
      </c>
      <c r="E373" s="149"/>
      <c r="F373" s="146">
        <f>F374</f>
        <v>318.7</v>
      </c>
      <c r="N373" s="102"/>
      <c r="O373" s="102"/>
      <c r="P373" s="102"/>
      <c r="Q373" s="102"/>
      <c r="R373" s="105"/>
    </row>
    <row r="374" spans="1:18" s="30" customFormat="1" ht="15" customHeight="1">
      <c r="A374" s="28" t="str">
        <f>'пр.4 вед.стр.'!A208</f>
        <v>Иные бюджетные ассигнования</v>
      </c>
      <c r="B374" s="60" t="s">
        <v>72</v>
      </c>
      <c r="C374" s="60" t="s">
        <v>66</v>
      </c>
      <c r="D374" s="149" t="str">
        <f>'пр.4 вед.стр.'!E208</f>
        <v>Ж5 0 02 08090</v>
      </c>
      <c r="E374" s="149" t="str">
        <f>'пр.4 вед.стр.'!F208</f>
        <v>800</v>
      </c>
      <c r="F374" s="146">
        <f>F375</f>
        <v>318.7</v>
      </c>
      <c r="N374" s="102"/>
      <c r="O374" s="102"/>
      <c r="P374" s="102"/>
      <c r="Q374" s="102"/>
      <c r="R374" s="105"/>
    </row>
    <row r="375" spans="1:18" s="30" customFormat="1" ht="12.75" customHeight="1">
      <c r="A375" s="28" t="str">
        <f>'пр.4 вед.стр.'!A209</f>
        <v>Исполнение судебных актов</v>
      </c>
      <c r="B375" s="60" t="s">
        <v>72</v>
      </c>
      <c r="C375" s="60" t="s">
        <v>66</v>
      </c>
      <c r="D375" s="149" t="str">
        <f>'пр.4 вед.стр.'!E209</f>
        <v>Ж5 0 02 08090</v>
      </c>
      <c r="E375" s="149" t="str">
        <f>'пр.4 вед.стр.'!F209</f>
        <v>830</v>
      </c>
      <c r="F375" s="146">
        <f>F376</f>
        <v>318.7</v>
      </c>
      <c r="N375" s="102"/>
      <c r="O375" s="102"/>
      <c r="P375" s="102"/>
      <c r="Q375" s="102"/>
      <c r="R375" s="105"/>
    </row>
    <row r="376" spans="1:18" s="30" customFormat="1" ht="27.75" customHeight="1">
      <c r="A376" s="155" t="str">
        <f>'пр.4 вед.стр.'!A210</f>
        <v>Исполнение судебных актов Российской Федерации и мировых соглашений по возмещению причиненного вреда
</v>
      </c>
      <c r="B376" s="60" t="s">
        <v>72</v>
      </c>
      <c r="C376" s="60" t="s">
        <v>66</v>
      </c>
      <c r="D376" s="149" t="str">
        <f>'пр.4 вед.стр.'!E210</f>
        <v>Ж5 0 02 08090</v>
      </c>
      <c r="E376" s="149" t="str">
        <f>'пр.4 вед.стр.'!F210</f>
        <v>831</v>
      </c>
      <c r="F376" s="146">
        <f>'пр.4 вед.стр.'!G210</f>
        <v>318.7</v>
      </c>
      <c r="N376" s="102"/>
      <c r="O376" s="102"/>
      <c r="P376" s="102"/>
      <c r="Q376" s="102"/>
      <c r="R376" s="105"/>
    </row>
    <row r="377" spans="1:18" s="30" customFormat="1" ht="12.75">
      <c r="A377" s="28" t="str">
        <f>'пр.4 вед.стр.'!A211</f>
        <v>Неустойка и судебные расходы на основании вступивших в законную силу судебных актов</v>
      </c>
      <c r="B377" s="60" t="s">
        <v>72</v>
      </c>
      <c r="C377" s="60" t="s">
        <v>66</v>
      </c>
      <c r="D377" s="149" t="str">
        <f>'пр.4 вед.стр.'!E211</f>
        <v>Ж5 0 02 08190</v>
      </c>
      <c r="E377" s="149"/>
      <c r="F377" s="146">
        <f>F378</f>
        <v>9.4</v>
      </c>
      <c r="N377" s="102"/>
      <c r="O377" s="102"/>
      <c r="P377" s="102"/>
      <c r="Q377" s="102"/>
      <c r="R377" s="105"/>
    </row>
    <row r="378" spans="1:18" s="30" customFormat="1" ht="13.5" customHeight="1">
      <c r="A378" s="28" t="str">
        <f>'пр.4 вед.стр.'!A212</f>
        <v>Иные бюджетные ассигнования</v>
      </c>
      <c r="B378" s="60" t="s">
        <v>72</v>
      </c>
      <c r="C378" s="60" t="s">
        <v>66</v>
      </c>
      <c r="D378" s="149" t="str">
        <f>'пр.4 вед.стр.'!E212</f>
        <v>Ж5 0 02 08190</v>
      </c>
      <c r="E378" s="149" t="str">
        <f>'пр.4 вед.стр.'!F212</f>
        <v>800</v>
      </c>
      <c r="F378" s="146">
        <f>F379</f>
        <v>9.4</v>
      </c>
      <c r="N378" s="102"/>
      <c r="O378" s="102"/>
      <c r="P378" s="102"/>
      <c r="Q378" s="102"/>
      <c r="R378" s="105"/>
    </row>
    <row r="379" spans="1:18" s="30" customFormat="1" ht="14.25" customHeight="1">
      <c r="A379" s="28" t="str">
        <f>'пр.4 вед.стр.'!A213</f>
        <v>Исполнение судебных актов</v>
      </c>
      <c r="B379" s="60" t="s">
        <v>72</v>
      </c>
      <c r="C379" s="60" t="s">
        <v>66</v>
      </c>
      <c r="D379" s="149" t="str">
        <f>'пр.4 вед.стр.'!E213</f>
        <v>Ж5 0 02 08190</v>
      </c>
      <c r="E379" s="149" t="str">
        <f>'пр.4 вед.стр.'!F213</f>
        <v>830</v>
      </c>
      <c r="F379" s="146">
        <f>F380</f>
        <v>9.4</v>
      </c>
      <c r="N379" s="102"/>
      <c r="O379" s="102"/>
      <c r="P379" s="102"/>
      <c r="Q379" s="102"/>
      <c r="R379" s="105"/>
    </row>
    <row r="380" spans="1:18" s="30" customFormat="1" ht="27" customHeight="1">
      <c r="A380" s="155" t="str">
        <f>'пр.4 вед.стр.'!A214</f>
        <v>Исполнение судебных актов Российской Федерации и мировых соглашений по возмещению причиненного вреда
</v>
      </c>
      <c r="B380" s="60" t="s">
        <v>72</v>
      </c>
      <c r="C380" s="60" t="s">
        <v>66</v>
      </c>
      <c r="D380" s="149" t="str">
        <f>'пр.4 вед.стр.'!E214</f>
        <v>Ж5 0 02 08190</v>
      </c>
      <c r="E380" s="149" t="str">
        <f>'пр.4 вед.стр.'!F214</f>
        <v>831</v>
      </c>
      <c r="F380" s="146">
        <f>'пр.4 вед.стр.'!G214</f>
        <v>9.4</v>
      </c>
      <c r="N380" s="102"/>
      <c r="O380" s="102"/>
      <c r="P380" s="102"/>
      <c r="Q380" s="102"/>
      <c r="R380" s="105"/>
    </row>
    <row r="381" spans="1:18" s="30" customFormat="1" ht="12.75">
      <c r="A381" s="61" t="s">
        <v>208</v>
      </c>
      <c r="B381" s="62" t="s">
        <v>72</v>
      </c>
      <c r="C381" s="62" t="s">
        <v>67</v>
      </c>
      <c r="D381" s="76"/>
      <c r="E381" s="63"/>
      <c r="F381" s="64">
        <f>F382+F414+F392+F404+F424+F434</f>
        <v>49721.4</v>
      </c>
      <c r="N381" s="102"/>
      <c r="O381" s="102"/>
      <c r="P381" s="102"/>
      <c r="Q381" s="102"/>
      <c r="R381" s="105"/>
    </row>
    <row r="382" spans="1:18" s="30" customFormat="1" ht="25.5">
      <c r="A382" s="28" t="s">
        <v>584</v>
      </c>
      <c r="B382" s="60" t="s">
        <v>72</v>
      </c>
      <c r="C382" s="60" t="s">
        <v>67</v>
      </c>
      <c r="D382" s="161" t="s">
        <v>284</v>
      </c>
      <c r="E382" s="59"/>
      <c r="F382" s="58">
        <f>F383</f>
        <v>2700</v>
      </c>
      <c r="N382" s="102"/>
      <c r="O382" s="102"/>
      <c r="P382" s="102"/>
      <c r="Q382" s="102"/>
      <c r="R382" s="105"/>
    </row>
    <row r="383" spans="1:18" s="30" customFormat="1" ht="12.75">
      <c r="A383" s="154" t="s">
        <v>281</v>
      </c>
      <c r="B383" s="60" t="s">
        <v>72</v>
      </c>
      <c r="C383" s="60" t="s">
        <v>67</v>
      </c>
      <c r="D383" s="161" t="s">
        <v>356</v>
      </c>
      <c r="E383" s="59"/>
      <c r="F383" s="58">
        <f>F384+F388</f>
        <v>2700</v>
      </c>
      <c r="N383" s="102"/>
      <c r="O383" s="102"/>
      <c r="P383" s="102"/>
      <c r="Q383" s="102"/>
      <c r="R383" s="105"/>
    </row>
    <row r="384" spans="1:18" s="30" customFormat="1" ht="25.5">
      <c r="A384" s="28" t="s">
        <v>585</v>
      </c>
      <c r="B384" s="60" t="s">
        <v>72</v>
      </c>
      <c r="C384" s="60" t="s">
        <v>67</v>
      </c>
      <c r="D384" s="161" t="s">
        <v>357</v>
      </c>
      <c r="E384" s="59"/>
      <c r="F384" s="58">
        <f>F385</f>
        <v>1881.3</v>
      </c>
      <c r="N384" s="102"/>
      <c r="O384" s="102"/>
      <c r="P384" s="102"/>
      <c r="Q384" s="102"/>
      <c r="R384" s="105"/>
    </row>
    <row r="385" spans="1:18" s="30" customFormat="1" ht="12.75">
      <c r="A385" s="28" t="s">
        <v>128</v>
      </c>
      <c r="B385" s="60" t="s">
        <v>72</v>
      </c>
      <c r="C385" s="60" t="s">
        <v>67</v>
      </c>
      <c r="D385" s="161" t="s">
        <v>357</v>
      </c>
      <c r="E385" s="59" t="s">
        <v>129</v>
      </c>
      <c r="F385" s="58">
        <f>F386</f>
        <v>1881.3</v>
      </c>
      <c r="N385" s="102"/>
      <c r="O385" s="102"/>
      <c r="P385" s="102"/>
      <c r="Q385" s="102"/>
      <c r="R385" s="105"/>
    </row>
    <row r="386" spans="1:18" s="30" customFormat="1" ht="25.5">
      <c r="A386" s="28" t="s">
        <v>164</v>
      </c>
      <c r="B386" s="60" t="s">
        <v>72</v>
      </c>
      <c r="C386" s="60" t="s">
        <v>67</v>
      </c>
      <c r="D386" s="161" t="s">
        <v>357</v>
      </c>
      <c r="E386" s="59" t="s">
        <v>130</v>
      </c>
      <c r="F386" s="58">
        <f>'пр.4 вед.стр.'!G1291</f>
        <v>1881.3</v>
      </c>
      <c r="N386" s="102"/>
      <c r="O386" s="102"/>
      <c r="P386" s="102"/>
      <c r="Q386" s="102"/>
      <c r="R386" s="105"/>
    </row>
    <row r="387" spans="1:18" s="30" customFormat="1" ht="25.5">
      <c r="A387" s="28" t="s">
        <v>609</v>
      </c>
      <c r="B387" s="60" t="s">
        <v>72</v>
      </c>
      <c r="C387" s="60" t="s">
        <v>67</v>
      </c>
      <c r="D387" s="161" t="s">
        <v>357</v>
      </c>
      <c r="E387" s="59" t="s">
        <v>608</v>
      </c>
      <c r="F387" s="58">
        <f>'пр.4 вед.стр.'!G1292</f>
        <v>1881.3</v>
      </c>
      <c r="N387" s="102"/>
      <c r="O387" s="102"/>
      <c r="P387" s="102"/>
      <c r="Q387" s="102"/>
      <c r="R387" s="105"/>
    </row>
    <row r="388" spans="1:18" s="30" customFormat="1" ht="25.5">
      <c r="A388" s="28" t="s">
        <v>586</v>
      </c>
      <c r="B388" s="60" t="s">
        <v>72</v>
      </c>
      <c r="C388" s="60" t="s">
        <v>67</v>
      </c>
      <c r="D388" s="161" t="s">
        <v>587</v>
      </c>
      <c r="E388" s="59"/>
      <c r="F388" s="58">
        <f>F389</f>
        <v>818.7</v>
      </c>
      <c r="N388" s="102"/>
      <c r="O388" s="102"/>
      <c r="P388" s="102"/>
      <c r="Q388" s="102"/>
      <c r="R388" s="105"/>
    </row>
    <row r="389" spans="1:18" s="30" customFormat="1" ht="12.75">
      <c r="A389" s="28" t="s">
        <v>128</v>
      </c>
      <c r="B389" s="60" t="s">
        <v>72</v>
      </c>
      <c r="C389" s="60" t="s">
        <v>67</v>
      </c>
      <c r="D389" s="161" t="s">
        <v>587</v>
      </c>
      <c r="E389" s="59" t="s">
        <v>129</v>
      </c>
      <c r="F389" s="58">
        <f>F390</f>
        <v>818.7</v>
      </c>
      <c r="N389" s="102"/>
      <c r="O389" s="102"/>
      <c r="P389" s="102"/>
      <c r="Q389" s="102"/>
      <c r="R389" s="105"/>
    </row>
    <row r="390" spans="1:18" s="30" customFormat="1" ht="25.5">
      <c r="A390" s="28" t="s">
        <v>164</v>
      </c>
      <c r="B390" s="60" t="s">
        <v>72</v>
      </c>
      <c r="C390" s="60" t="s">
        <v>67</v>
      </c>
      <c r="D390" s="161" t="s">
        <v>587</v>
      </c>
      <c r="E390" s="59" t="s">
        <v>130</v>
      </c>
      <c r="F390" s="58">
        <f>F391</f>
        <v>818.7</v>
      </c>
      <c r="N390" s="102"/>
      <c r="O390" s="102"/>
      <c r="P390" s="102"/>
      <c r="Q390" s="102"/>
      <c r="R390" s="105"/>
    </row>
    <row r="391" spans="1:18" s="30" customFormat="1" ht="25.5">
      <c r="A391" s="28" t="s">
        <v>609</v>
      </c>
      <c r="B391" s="60" t="s">
        <v>72</v>
      </c>
      <c r="C391" s="60" t="s">
        <v>67</v>
      </c>
      <c r="D391" s="161" t="s">
        <v>587</v>
      </c>
      <c r="E391" s="59" t="s">
        <v>608</v>
      </c>
      <c r="F391" s="58">
        <f>'пр.4 вед.стр.'!G1296</f>
        <v>818.7</v>
      </c>
      <c r="N391" s="102"/>
      <c r="O391" s="102"/>
      <c r="P391" s="102"/>
      <c r="Q391" s="102"/>
      <c r="R391" s="105"/>
    </row>
    <row r="392" spans="1:18" s="30" customFormat="1" ht="25.5">
      <c r="A392" s="28" t="str">
        <f>'пр.4 вед.стр.'!A1297</f>
        <v>Муниципальная программа "Комплексное развитие систем коммунальной инфраструктуры муниципального образования "Сусуманский городской округ" на 2017 год"</v>
      </c>
      <c r="B392" s="60" t="s">
        <v>72</v>
      </c>
      <c r="C392" s="60" t="s">
        <v>67</v>
      </c>
      <c r="D392" s="161" t="str">
        <f>'пр.4 вед.стр.'!E1297</f>
        <v>7N 0 00 00000</v>
      </c>
      <c r="E392" s="149"/>
      <c r="F392" s="58">
        <f>F393</f>
        <v>20300.5</v>
      </c>
      <c r="N392" s="102"/>
      <c r="O392" s="102"/>
      <c r="P392" s="102"/>
      <c r="Q392" s="102"/>
      <c r="R392" s="105"/>
    </row>
    <row r="393" spans="1:18" s="30" customFormat="1" ht="25.5">
      <c r="A393" s="28" t="str">
        <f>'пр.4 вед.стр.'!A1298</f>
        <v>Основное мероприятие "Подготовка коммунальной инфраструктуры Сусуманского городского округа к отопительным периодам"</v>
      </c>
      <c r="B393" s="60" t="s">
        <v>72</v>
      </c>
      <c r="C393" s="60" t="s">
        <v>67</v>
      </c>
      <c r="D393" s="161" t="str">
        <f>'пр.4 вед.стр.'!E1298</f>
        <v>7N 0 01 00000</v>
      </c>
      <c r="E393" s="149"/>
      <c r="F393" s="58">
        <f>F394+F399</f>
        <v>20300.5</v>
      </c>
      <c r="N393" s="102"/>
      <c r="O393" s="102"/>
      <c r="P393" s="102"/>
      <c r="Q393" s="102"/>
      <c r="R393" s="105"/>
    </row>
    <row r="394" spans="1:18" s="30" customFormat="1" ht="12.75">
      <c r="A394" s="28" t="str">
        <f>'пр.4 вед.стр.'!A1299</f>
        <v>Мероприятия по подготовке  к осенне-зимнему отопительному периоду</v>
      </c>
      <c r="B394" s="60" t="s">
        <v>72</v>
      </c>
      <c r="C394" s="60" t="s">
        <v>67</v>
      </c>
      <c r="D394" s="161" t="str">
        <f>'пр.4 вед.стр.'!E1299</f>
        <v>7N 0 01 62110</v>
      </c>
      <c r="E394" s="149"/>
      <c r="F394" s="58">
        <f>F395</f>
        <v>20000</v>
      </c>
      <c r="N394" s="102"/>
      <c r="O394" s="102"/>
      <c r="P394" s="102"/>
      <c r="Q394" s="102"/>
      <c r="R394" s="105"/>
    </row>
    <row r="395" spans="1:18" s="30" customFormat="1" ht="12.75">
      <c r="A395" s="28" t="str">
        <f>'пр.4 вед.стр.'!A1300</f>
        <v>Закупка товаров, работ и услуг для обеспечения государственных (муниципальных) нужд</v>
      </c>
      <c r="B395" s="60" t="s">
        <v>72</v>
      </c>
      <c r="C395" s="60" t="s">
        <v>67</v>
      </c>
      <c r="D395" s="161" t="str">
        <f>'пр.4 вед.стр.'!E1300</f>
        <v>7N 0 01 62110</v>
      </c>
      <c r="E395" s="149" t="str">
        <f>'пр.4 вед.стр.'!F1300</f>
        <v>200</v>
      </c>
      <c r="F395" s="58">
        <f>F396</f>
        <v>20000</v>
      </c>
      <c r="N395" s="102"/>
      <c r="O395" s="102"/>
      <c r="P395" s="102"/>
      <c r="Q395" s="102"/>
      <c r="R395" s="105"/>
    </row>
    <row r="396" spans="1:18" s="30" customFormat="1" ht="12.75">
      <c r="A396" s="28" t="str">
        <f>'пр.4 вед.стр.'!A1301</f>
        <v>Иные закупки товаров, работ и услуг для обеспечения государственных и муниципальных нужд</v>
      </c>
      <c r="B396" s="60" t="s">
        <v>72</v>
      </c>
      <c r="C396" s="60" t="s">
        <v>67</v>
      </c>
      <c r="D396" s="161" t="str">
        <f>'пр.4 вед.стр.'!E1301</f>
        <v>7N 0 01 62110</v>
      </c>
      <c r="E396" s="149" t="str">
        <f>'пр.4 вед.стр.'!F1301</f>
        <v>240</v>
      </c>
      <c r="F396" s="58">
        <f>F398+F397</f>
        <v>20000</v>
      </c>
      <c r="N396" s="102"/>
      <c r="O396" s="102"/>
      <c r="P396" s="102"/>
      <c r="Q396" s="102"/>
      <c r="R396" s="105"/>
    </row>
    <row r="397" spans="1:18" s="30" customFormat="1" ht="25.5">
      <c r="A397" s="28" t="str">
        <f>'пр.4 вед.стр.'!A1302</f>
        <v>Закупка товаров, работ и услуг в целях капитального ремонта государственного (муниципального) имущества</v>
      </c>
      <c r="B397" s="60" t="s">
        <v>72</v>
      </c>
      <c r="C397" s="60" t="s">
        <v>67</v>
      </c>
      <c r="D397" s="161" t="str">
        <f>'пр.4 вед.стр.'!E1302</f>
        <v>7N 0 01 62110</v>
      </c>
      <c r="E397" s="149" t="str">
        <f>'пр.4 вед.стр.'!F1302</f>
        <v>243</v>
      </c>
      <c r="F397" s="58">
        <f>'пр.4 вед.стр.'!G1302</f>
        <v>6618</v>
      </c>
      <c r="N397" s="102"/>
      <c r="O397" s="102"/>
      <c r="P397" s="102"/>
      <c r="Q397" s="102"/>
      <c r="R397" s="105"/>
    </row>
    <row r="398" spans="1:18" s="30" customFormat="1" ht="12.75">
      <c r="A398" s="28" t="str">
        <f>'пр.4 вед.стр.'!A1303</f>
        <v>Прочая закупка товаров, работ и услуг для обеспечения государственных (муниципальных) нужд</v>
      </c>
      <c r="B398" s="60" t="s">
        <v>72</v>
      </c>
      <c r="C398" s="60" t="s">
        <v>67</v>
      </c>
      <c r="D398" s="161" t="str">
        <f>'пр.4 вед.стр.'!E1303</f>
        <v>7N 0 01 62110</v>
      </c>
      <c r="E398" s="149" t="str">
        <f>'пр.4 вед.стр.'!F1303</f>
        <v>244</v>
      </c>
      <c r="F398" s="58">
        <f>'пр.4 вед.стр.'!G1303</f>
        <v>13382</v>
      </c>
      <c r="N398" s="102"/>
      <c r="O398" s="102"/>
      <c r="P398" s="102"/>
      <c r="Q398" s="102"/>
      <c r="R398" s="105"/>
    </row>
    <row r="399" spans="1:18" s="30" customFormat="1" ht="25.5">
      <c r="A399" s="28" t="str">
        <f>'пр.4 вед.стр.'!A1304</f>
        <v>Мероприятия по подготовке  к осенне-зимнему отопительному периоду за счет средств местного бюджета</v>
      </c>
      <c r="B399" s="60" t="s">
        <v>72</v>
      </c>
      <c r="C399" s="60" t="s">
        <v>67</v>
      </c>
      <c r="D399" s="161" t="str">
        <f>'пр.4 вед.стр.'!E1304</f>
        <v>7N 0 01  S2100</v>
      </c>
      <c r="E399" s="149"/>
      <c r="F399" s="58">
        <f>F400</f>
        <v>300.5</v>
      </c>
      <c r="N399" s="102"/>
      <c r="O399" s="102"/>
      <c r="P399" s="102"/>
      <c r="Q399" s="102"/>
      <c r="R399" s="105"/>
    </row>
    <row r="400" spans="1:18" s="30" customFormat="1" ht="12.75">
      <c r="A400" s="28" t="str">
        <f>'пр.4 вед.стр.'!A1305</f>
        <v>Закупка товаров, работ и услуг для обеспечения государственных (муниципальных) нужд</v>
      </c>
      <c r="B400" s="60" t="s">
        <v>72</v>
      </c>
      <c r="C400" s="60" t="s">
        <v>67</v>
      </c>
      <c r="D400" s="161" t="str">
        <f>'пр.4 вед.стр.'!E1305</f>
        <v>7N 0 01  S2100</v>
      </c>
      <c r="E400" s="149" t="str">
        <f>'пр.4 вед.стр.'!F1305</f>
        <v>200</v>
      </c>
      <c r="F400" s="58">
        <f>F401</f>
        <v>300.5</v>
      </c>
      <c r="N400" s="102"/>
      <c r="O400" s="102"/>
      <c r="P400" s="102"/>
      <c r="Q400" s="102"/>
      <c r="R400" s="105"/>
    </row>
    <row r="401" spans="1:18" s="30" customFormat="1" ht="12.75">
      <c r="A401" s="28" t="str">
        <f>'пр.4 вед.стр.'!A1306</f>
        <v>Иные закупки товаров, работ и услуг для обеспечения государственных и муниципальных нужд</v>
      </c>
      <c r="B401" s="60" t="s">
        <v>72</v>
      </c>
      <c r="C401" s="60" t="s">
        <v>67</v>
      </c>
      <c r="D401" s="161" t="str">
        <f>'пр.4 вед.стр.'!E1306</f>
        <v>7N 0 01  S2100</v>
      </c>
      <c r="E401" s="149" t="str">
        <f>'пр.4 вед.стр.'!F1306</f>
        <v>240</v>
      </c>
      <c r="F401" s="58">
        <f>F403+F402</f>
        <v>300.5</v>
      </c>
      <c r="N401" s="102"/>
      <c r="O401" s="102"/>
      <c r="P401" s="102"/>
      <c r="Q401" s="102"/>
      <c r="R401" s="105"/>
    </row>
    <row r="402" spans="1:18" s="30" customFormat="1" ht="25.5">
      <c r="A402" s="28" t="str">
        <f>'пр.4 вед.стр.'!A1307</f>
        <v>Закупка товаров, работ и услуг в целях капитального ремонта государственного (муниципального) имущества</v>
      </c>
      <c r="B402" s="60" t="s">
        <v>72</v>
      </c>
      <c r="C402" s="60" t="s">
        <v>67</v>
      </c>
      <c r="D402" s="161" t="str">
        <f>'пр.4 вед.стр.'!E1307</f>
        <v>7N 0 01  S2100</v>
      </c>
      <c r="E402" s="149" t="str">
        <f>'пр.4 вед.стр.'!F1307</f>
        <v>243</v>
      </c>
      <c r="F402" s="58">
        <f>'пр.4 вед.стр.'!G1307</f>
        <v>76.89999999999999</v>
      </c>
      <c r="N402" s="102"/>
      <c r="O402" s="102"/>
      <c r="P402" s="102"/>
      <c r="Q402" s="102"/>
      <c r="R402" s="105"/>
    </row>
    <row r="403" spans="1:18" s="30" customFormat="1" ht="12.75">
      <c r="A403" s="28" t="str">
        <f>'пр.4 вед.стр.'!A1308</f>
        <v>Прочая закупка товаров, работ и услуг для обеспечения государственных (муниципальных) нужд</v>
      </c>
      <c r="B403" s="60" t="s">
        <v>72</v>
      </c>
      <c r="C403" s="60" t="s">
        <v>67</v>
      </c>
      <c r="D403" s="161" t="str">
        <f>'пр.4 вед.стр.'!E1308</f>
        <v>7N 0 01  S2100</v>
      </c>
      <c r="E403" s="149" t="str">
        <f>'пр.4 вед.стр.'!F1308</f>
        <v>244</v>
      </c>
      <c r="F403" s="58">
        <f>'пр.4 вед.стр.'!G1308</f>
        <v>223.6</v>
      </c>
      <c r="N403" s="102"/>
      <c r="O403" s="102"/>
      <c r="P403" s="102"/>
      <c r="Q403" s="102"/>
      <c r="R403" s="105"/>
    </row>
    <row r="404" spans="1:18" s="30" customFormat="1" ht="25.5">
      <c r="A404" s="28" t="str">
        <f>'пр.4 вед.стр.'!A1309</f>
        <v>Муниципальная программа "Энергосбережение и повышение энергетической эффективности на территории Сусуманского городского округа в 2017 году"</v>
      </c>
      <c r="B404" s="60" t="s">
        <v>72</v>
      </c>
      <c r="C404" s="60" t="s">
        <v>67</v>
      </c>
      <c r="D404" s="161" t="str">
        <f>'пр.4 вед.стр.'!E1309</f>
        <v>7U 0 00 00000</v>
      </c>
      <c r="E404" s="149"/>
      <c r="F404" s="58">
        <f>'пр.4 вед.стр.'!G1309</f>
        <v>175</v>
      </c>
      <c r="N404" s="102"/>
      <c r="O404" s="102"/>
      <c r="P404" s="102"/>
      <c r="Q404" s="102"/>
      <c r="R404" s="105"/>
    </row>
    <row r="405" spans="1:18" s="30" customFormat="1" ht="21" customHeight="1">
      <c r="A405" s="28" t="str">
        <f>'пр.4 вед.стр.'!A1310</f>
        <v>Основное мероприятие "Установка общедомовых приборов учета энергетических ресурсов "</v>
      </c>
      <c r="B405" s="60" t="s">
        <v>72</v>
      </c>
      <c r="C405" s="60" t="s">
        <v>67</v>
      </c>
      <c r="D405" s="161" t="str">
        <f>'пр.4 вед.стр.'!E1310</f>
        <v>7U 0 01 00000</v>
      </c>
      <c r="E405" s="149"/>
      <c r="F405" s="58">
        <f>F406+F410</f>
        <v>175</v>
      </c>
      <c r="N405" s="102"/>
      <c r="O405" s="102"/>
      <c r="P405" s="102"/>
      <c r="Q405" s="102"/>
      <c r="R405" s="105"/>
    </row>
    <row r="406" spans="1:18" s="30" customFormat="1" ht="25.5">
      <c r="A406" s="28" t="str">
        <f>'пр.4 вед.стр.'!A1311</f>
        <v>Финансирование мероприятия "Приобретение и монтаж общедомовых приборов учета  энергетических ресурсов" за счет средств областного бюджета</v>
      </c>
      <c r="B406" s="60" t="s">
        <v>72</v>
      </c>
      <c r="C406" s="60" t="s">
        <v>67</v>
      </c>
      <c r="D406" s="161" t="str">
        <f>'пр.4 вед.стр.'!E1311</f>
        <v>7U 0 01 73880</v>
      </c>
      <c r="E406" s="149"/>
      <c r="F406" s="58">
        <f>F407</f>
        <v>166.7</v>
      </c>
      <c r="N406" s="102"/>
      <c r="O406" s="102"/>
      <c r="P406" s="102"/>
      <c r="Q406" s="102"/>
      <c r="R406" s="105"/>
    </row>
    <row r="407" spans="1:18" s="30" customFormat="1" ht="12.75">
      <c r="A407" s="28" t="str">
        <f>'пр.4 вед.стр.'!A1312</f>
        <v>Закупка товаров, работ и услуг для обеспечения государственных (муниципальных) нужд</v>
      </c>
      <c r="B407" s="60" t="s">
        <v>72</v>
      </c>
      <c r="C407" s="60" t="s">
        <v>67</v>
      </c>
      <c r="D407" s="161" t="str">
        <f>'пр.4 вед.стр.'!E1312</f>
        <v>7U 0 01 73880</v>
      </c>
      <c r="E407" s="149" t="str">
        <f>'пр.4 вед.стр.'!F1312</f>
        <v>200</v>
      </c>
      <c r="F407" s="58">
        <f>F408</f>
        <v>166.7</v>
      </c>
      <c r="N407" s="102"/>
      <c r="O407" s="102"/>
      <c r="P407" s="102"/>
      <c r="Q407" s="102"/>
      <c r="R407" s="105"/>
    </row>
    <row r="408" spans="1:18" s="30" customFormat="1" ht="12.75">
      <c r="A408" s="28" t="str">
        <f>'пр.4 вед.стр.'!A1313</f>
        <v>Иные закупки товаров, работ и услуг для обеспечения государственных и муниципальных нужд</v>
      </c>
      <c r="B408" s="60" t="s">
        <v>72</v>
      </c>
      <c r="C408" s="60" t="s">
        <v>67</v>
      </c>
      <c r="D408" s="161" t="str">
        <f>'пр.4 вед.стр.'!E1313</f>
        <v>7U 0 01 73880</v>
      </c>
      <c r="E408" s="149" t="str">
        <f>'пр.4 вед.стр.'!F1313</f>
        <v>240</v>
      </c>
      <c r="F408" s="58">
        <f>F409</f>
        <v>166.7</v>
      </c>
      <c r="N408" s="102"/>
      <c r="O408" s="102"/>
      <c r="P408" s="102"/>
      <c r="Q408" s="102"/>
      <c r="R408" s="105"/>
    </row>
    <row r="409" spans="1:18" s="30" customFormat="1" ht="12.75">
      <c r="A409" s="28" t="str">
        <f>'пр.4 вед.стр.'!A1314</f>
        <v>Прочая закупка товаров, работ и услуг для обеспечения государственных (муниципальных) нужд</v>
      </c>
      <c r="B409" s="60" t="s">
        <v>72</v>
      </c>
      <c r="C409" s="60" t="s">
        <v>67</v>
      </c>
      <c r="D409" s="161" t="str">
        <f>'пр.4 вед.стр.'!E1314</f>
        <v>7U 0 01 73880</v>
      </c>
      <c r="E409" s="149" t="str">
        <f>'пр.4 вед.стр.'!F1314</f>
        <v>244</v>
      </c>
      <c r="F409" s="58">
        <f>'пр.4 вед.стр.'!G1314</f>
        <v>166.7</v>
      </c>
      <c r="N409" s="102"/>
      <c r="O409" s="102"/>
      <c r="P409" s="102"/>
      <c r="Q409" s="102"/>
      <c r="R409" s="105"/>
    </row>
    <row r="410" spans="1:18" s="30" customFormat="1" ht="24" customHeight="1">
      <c r="A410" s="28" t="str">
        <f>'пр.4 вед.стр.'!A1315</f>
        <v>Софинансирование мероприятия  "Приобретение и монтаж общедомовых приборов учета энергетических ресурсов" </v>
      </c>
      <c r="B410" s="60" t="s">
        <v>72</v>
      </c>
      <c r="C410" s="60" t="s">
        <v>67</v>
      </c>
      <c r="D410" s="161" t="str">
        <f>'пр.4 вед.стр.'!E1315</f>
        <v>7U 0 01 S3880</v>
      </c>
      <c r="E410" s="149"/>
      <c r="F410" s="58">
        <f>F411</f>
        <v>8.3</v>
      </c>
      <c r="N410" s="102"/>
      <c r="O410" s="102"/>
      <c r="P410" s="102"/>
      <c r="Q410" s="102"/>
      <c r="R410" s="105"/>
    </row>
    <row r="411" spans="1:18" s="30" customFormat="1" ht="12.75">
      <c r="A411" s="28" t="str">
        <f>'пр.4 вед.стр.'!A1316</f>
        <v>Закупка товаров, работ и услуг для обеспечения государственных (муниципальных) нужд</v>
      </c>
      <c r="B411" s="60" t="s">
        <v>72</v>
      </c>
      <c r="C411" s="60" t="s">
        <v>67</v>
      </c>
      <c r="D411" s="161" t="str">
        <f>'пр.4 вед.стр.'!E1316</f>
        <v>7U 0 01 S3880</v>
      </c>
      <c r="E411" s="149" t="str">
        <f>'пр.4 вед.стр.'!F1316</f>
        <v>200</v>
      </c>
      <c r="F411" s="58">
        <f>F412</f>
        <v>8.3</v>
      </c>
      <c r="N411" s="102"/>
      <c r="O411" s="102"/>
      <c r="P411" s="102"/>
      <c r="Q411" s="102"/>
      <c r="R411" s="105"/>
    </row>
    <row r="412" spans="1:18" s="30" customFormat="1" ht="12.75">
      <c r="A412" s="28" t="str">
        <f>'пр.4 вед.стр.'!A1317</f>
        <v>Иные закупки товаров, работ и услуг для обеспечения государственных и муниципальных нужд</v>
      </c>
      <c r="B412" s="60" t="s">
        <v>72</v>
      </c>
      <c r="C412" s="60" t="s">
        <v>67</v>
      </c>
      <c r="D412" s="161" t="str">
        <f>'пр.4 вед.стр.'!E1317</f>
        <v>7U 0 01 S3880</v>
      </c>
      <c r="E412" s="149" t="str">
        <f>'пр.4 вед.стр.'!F1317</f>
        <v>240</v>
      </c>
      <c r="F412" s="58">
        <f>F413</f>
        <v>8.3</v>
      </c>
      <c r="N412" s="102"/>
      <c r="O412" s="102"/>
      <c r="P412" s="102"/>
      <c r="Q412" s="102"/>
      <c r="R412" s="105"/>
    </row>
    <row r="413" spans="1:18" s="30" customFormat="1" ht="12.75">
      <c r="A413" s="28" t="str">
        <f>'пр.4 вед.стр.'!A1318</f>
        <v>Прочая закупка товаров, работ и услуг для обеспечения государственных (муниципальных) нужд</v>
      </c>
      <c r="B413" s="60" t="s">
        <v>72</v>
      </c>
      <c r="C413" s="60" t="s">
        <v>67</v>
      </c>
      <c r="D413" s="161" t="str">
        <f>'пр.4 вед.стр.'!E1318</f>
        <v>7U 0 01 S3880</v>
      </c>
      <c r="E413" s="149" t="str">
        <f>'пр.4 вед.стр.'!F1318</f>
        <v>244</v>
      </c>
      <c r="F413" s="58">
        <f>'пр.4 вед.стр.'!G1318</f>
        <v>8.3</v>
      </c>
      <c r="N413" s="102"/>
      <c r="O413" s="102"/>
      <c r="P413" s="102"/>
      <c r="Q413" s="102"/>
      <c r="R413" s="105"/>
    </row>
    <row r="414" spans="1:18" s="30" customFormat="1" ht="12.75">
      <c r="A414" s="28" t="s">
        <v>209</v>
      </c>
      <c r="B414" s="60" t="s">
        <v>72</v>
      </c>
      <c r="C414" s="60" t="s">
        <v>67</v>
      </c>
      <c r="D414" s="59" t="s">
        <v>220</v>
      </c>
      <c r="E414" s="59"/>
      <c r="F414" s="58">
        <f>F415</f>
        <v>6484.2</v>
      </c>
      <c r="N414" s="102"/>
      <c r="O414" s="102"/>
      <c r="P414" s="102"/>
      <c r="Q414" s="102"/>
      <c r="R414" s="105"/>
    </row>
    <row r="415" spans="1:18" s="30" customFormat="1" ht="12.75">
      <c r="A415" s="28" t="s">
        <v>270</v>
      </c>
      <c r="B415" s="60" t="s">
        <v>72</v>
      </c>
      <c r="C415" s="60" t="s">
        <v>67</v>
      </c>
      <c r="D415" s="59" t="s">
        <v>389</v>
      </c>
      <c r="E415" s="59"/>
      <c r="F415" s="58">
        <f>F416+F420</f>
        <v>6484.2</v>
      </c>
      <c r="N415" s="102"/>
      <c r="O415" s="102"/>
      <c r="P415" s="102"/>
      <c r="Q415" s="102"/>
      <c r="R415" s="105"/>
    </row>
    <row r="416" spans="1:18" s="30" customFormat="1" ht="30" customHeight="1">
      <c r="A416" s="28" t="str">
        <f>'пр.4 вед.стр.'!A1321</f>
        <v>Частичное возмещение недополученных доходов от оказания населению услуг общественными банями на территории Сусуманского городского округа  </v>
      </c>
      <c r="B416" s="60" t="s">
        <v>72</v>
      </c>
      <c r="C416" s="60" t="s">
        <v>67</v>
      </c>
      <c r="D416" s="59" t="s">
        <v>390</v>
      </c>
      <c r="E416" s="59"/>
      <c r="F416" s="58">
        <f>F417</f>
        <v>3020.2</v>
      </c>
      <c r="N416" s="102"/>
      <c r="O416" s="102"/>
      <c r="P416" s="102"/>
      <c r="Q416" s="102"/>
      <c r="R416" s="105"/>
    </row>
    <row r="417" spans="1:18" s="30" customFormat="1" ht="12.75">
      <c r="A417" s="28" t="s">
        <v>128</v>
      </c>
      <c r="B417" s="60" t="s">
        <v>72</v>
      </c>
      <c r="C417" s="60" t="s">
        <v>67</v>
      </c>
      <c r="D417" s="59" t="s">
        <v>390</v>
      </c>
      <c r="E417" s="59" t="s">
        <v>129</v>
      </c>
      <c r="F417" s="58">
        <f>F418</f>
        <v>3020.2</v>
      </c>
      <c r="N417" s="102"/>
      <c r="O417" s="102"/>
      <c r="P417" s="102"/>
      <c r="Q417" s="102"/>
      <c r="R417" s="105"/>
    </row>
    <row r="418" spans="1:18" s="30" customFormat="1" ht="25.5">
      <c r="A418" s="28" t="s">
        <v>164</v>
      </c>
      <c r="B418" s="60" t="s">
        <v>72</v>
      </c>
      <c r="C418" s="60" t="s">
        <v>67</v>
      </c>
      <c r="D418" s="59" t="s">
        <v>390</v>
      </c>
      <c r="E418" s="59" t="s">
        <v>130</v>
      </c>
      <c r="F418" s="58">
        <f>F419</f>
        <v>3020.2</v>
      </c>
      <c r="N418" s="102"/>
      <c r="O418" s="102"/>
      <c r="P418" s="102"/>
      <c r="Q418" s="102"/>
      <c r="R418" s="105"/>
    </row>
    <row r="419" spans="1:18" s="30" customFormat="1" ht="27" customHeight="1">
      <c r="A419" s="28" t="s">
        <v>609</v>
      </c>
      <c r="B419" s="60" t="s">
        <v>72</v>
      </c>
      <c r="C419" s="60" t="s">
        <v>67</v>
      </c>
      <c r="D419" s="59" t="s">
        <v>390</v>
      </c>
      <c r="E419" s="59" t="s">
        <v>608</v>
      </c>
      <c r="F419" s="58">
        <f>'пр.4 вед.стр.'!G1324</f>
        <v>3020.2</v>
      </c>
      <c r="N419" s="102"/>
      <c r="O419" s="102"/>
      <c r="P419" s="102"/>
      <c r="Q419" s="102"/>
      <c r="R419" s="105"/>
    </row>
    <row r="420" spans="1:18" s="30" customFormat="1" ht="12.75">
      <c r="A420" s="28" t="s">
        <v>289</v>
      </c>
      <c r="B420" s="60" t="s">
        <v>72</v>
      </c>
      <c r="C420" s="60" t="s">
        <v>67</v>
      </c>
      <c r="D420" s="59" t="s">
        <v>391</v>
      </c>
      <c r="E420" s="59"/>
      <c r="F420" s="58">
        <f>F421</f>
        <v>3464</v>
      </c>
      <c r="N420" s="102"/>
      <c r="O420" s="102"/>
      <c r="P420" s="102"/>
      <c r="Q420" s="102"/>
      <c r="R420" s="105"/>
    </row>
    <row r="421" spans="1:18" s="30" customFormat="1" ht="12.75">
      <c r="A421" s="28" t="s">
        <v>610</v>
      </c>
      <c r="B421" s="60" t="s">
        <v>72</v>
      </c>
      <c r="C421" s="60" t="s">
        <v>67</v>
      </c>
      <c r="D421" s="59" t="s">
        <v>391</v>
      </c>
      <c r="E421" s="59" t="s">
        <v>104</v>
      </c>
      <c r="F421" s="58">
        <f>F422</f>
        <v>3464</v>
      </c>
      <c r="N421" s="102"/>
      <c r="O421" s="102"/>
      <c r="P421" s="102"/>
      <c r="Q421" s="102"/>
      <c r="R421" s="105"/>
    </row>
    <row r="422" spans="1:18" s="30" customFormat="1" ht="16.5" customHeight="1">
      <c r="A422" s="28" t="s">
        <v>98</v>
      </c>
      <c r="B422" s="60" t="s">
        <v>72</v>
      </c>
      <c r="C422" s="60" t="s">
        <v>67</v>
      </c>
      <c r="D422" s="59" t="s">
        <v>391</v>
      </c>
      <c r="E422" s="59" t="s">
        <v>99</v>
      </c>
      <c r="F422" s="58">
        <f>F423</f>
        <v>3464</v>
      </c>
      <c r="N422" s="102"/>
      <c r="O422" s="102"/>
      <c r="P422" s="102"/>
      <c r="Q422" s="102"/>
      <c r="R422" s="105"/>
    </row>
    <row r="423" spans="1:18" s="30" customFormat="1" ht="16.5" customHeight="1">
      <c r="A423" s="28" t="s">
        <v>100</v>
      </c>
      <c r="B423" s="60" t="s">
        <v>72</v>
      </c>
      <c r="C423" s="60" t="s">
        <v>67</v>
      </c>
      <c r="D423" s="59" t="s">
        <v>391</v>
      </c>
      <c r="E423" s="59" t="s">
        <v>101</v>
      </c>
      <c r="F423" s="58">
        <f>'пр.4 вед.стр.'!G1328</f>
        <v>3464</v>
      </c>
      <c r="N423" s="102"/>
      <c r="O423" s="102"/>
      <c r="P423" s="102"/>
      <c r="Q423" s="102"/>
      <c r="R423" s="105"/>
    </row>
    <row r="424" spans="1:18" s="30" customFormat="1" ht="16.5" customHeight="1">
      <c r="A424" s="28" t="str">
        <f>'пр.4 вед.стр.'!A216</f>
        <v>Прочие непрограммные мероприятия</v>
      </c>
      <c r="B424" s="60" t="s">
        <v>72</v>
      </c>
      <c r="C424" s="60" t="s">
        <v>67</v>
      </c>
      <c r="D424" s="149" t="str">
        <f>'пр.4 вед.стр.'!E216</f>
        <v>66 0 00 00000</v>
      </c>
      <c r="E424" s="149"/>
      <c r="F424" s="146">
        <f>F425</f>
        <v>5899.8</v>
      </c>
      <c r="N424" s="102"/>
      <c r="O424" s="102"/>
      <c r="P424" s="102"/>
      <c r="Q424" s="102"/>
      <c r="R424" s="105"/>
    </row>
    <row r="425" spans="1:18" s="30" customFormat="1" ht="27.75" customHeight="1">
      <c r="A425" s="28" t="str">
        <f>'пр.4 вед.стр.'!A217</f>
        <v>Обеспечение выполнения функций органами местного самоуправления  Сусуманского городского округа в рамках непрограммных мероприятий</v>
      </c>
      <c r="B425" s="60" t="s">
        <v>72</v>
      </c>
      <c r="C425" s="60" t="s">
        <v>67</v>
      </c>
      <c r="D425" s="149" t="str">
        <f>'пр.4 вед.стр.'!E217</f>
        <v>66 1 00 00000</v>
      </c>
      <c r="E425" s="149"/>
      <c r="F425" s="146">
        <f>F426+F430</f>
        <v>5899.8</v>
      </c>
      <c r="N425" s="102"/>
      <c r="O425" s="102"/>
      <c r="P425" s="102"/>
      <c r="Q425" s="102"/>
      <c r="R425" s="105"/>
    </row>
    <row r="426" spans="1:18" s="30" customFormat="1" ht="28.5" customHeight="1">
      <c r="A426" s="28" t="str">
        <f>'пр.4 вед.стр.'!A218</f>
        <v>Погашение кредиторской задолженности за поставленный уголь  в рамках заключенных договоров прошлых лет</v>
      </c>
      <c r="B426" s="60" t="s">
        <v>72</v>
      </c>
      <c r="C426" s="60" t="s">
        <v>67</v>
      </c>
      <c r="D426" s="149" t="str">
        <f>'пр.4 вед.стр.'!E218</f>
        <v>66 1 00 08081</v>
      </c>
      <c r="E426" s="149"/>
      <c r="F426" s="146">
        <f>F427</f>
        <v>5749.5</v>
      </c>
      <c r="N426" s="102"/>
      <c r="O426" s="102"/>
      <c r="P426" s="102"/>
      <c r="Q426" s="102"/>
      <c r="R426" s="105"/>
    </row>
    <row r="427" spans="1:18" s="30" customFormat="1" ht="16.5" customHeight="1">
      <c r="A427" s="28" t="str">
        <f>'пр.4 вед.стр.'!A219</f>
        <v>Иные бюджетные ассигнования</v>
      </c>
      <c r="B427" s="60" t="s">
        <v>72</v>
      </c>
      <c r="C427" s="60" t="s">
        <v>67</v>
      </c>
      <c r="D427" s="149" t="str">
        <f>'пр.4 вед.стр.'!E219</f>
        <v>66 1 00 08081</v>
      </c>
      <c r="E427" s="149" t="str">
        <f>'пр.4 вед.стр.'!F219</f>
        <v>800</v>
      </c>
      <c r="F427" s="146">
        <f>F428</f>
        <v>5749.5</v>
      </c>
      <c r="N427" s="102"/>
      <c r="O427" s="102"/>
      <c r="P427" s="102"/>
      <c r="Q427" s="102"/>
      <c r="R427" s="105"/>
    </row>
    <row r="428" spans="1:18" s="30" customFormat="1" ht="27.75" customHeight="1">
      <c r="A428" s="28" t="str">
        <f>'пр.4 вед.стр.'!A220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428" s="60" t="s">
        <v>72</v>
      </c>
      <c r="C428" s="60" t="s">
        <v>67</v>
      </c>
      <c r="D428" s="149" t="str">
        <f>'пр.4 вед.стр.'!E220</f>
        <v>66 1 00 08081</v>
      </c>
      <c r="E428" s="149" t="str">
        <f>'пр.4 вед.стр.'!F220</f>
        <v>810</v>
      </c>
      <c r="F428" s="146">
        <f>F429</f>
        <v>5749.5</v>
      </c>
      <c r="N428" s="102"/>
      <c r="O428" s="102"/>
      <c r="P428" s="102"/>
      <c r="Q428" s="102"/>
      <c r="R428" s="105"/>
    </row>
    <row r="429" spans="1:18" s="30" customFormat="1" ht="29.25" customHeight="1">
      <c r="A429" s="28" t="str">
        <f>'пр.4 вед.стр.'!A221</f>
        <v>Иные 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429" s="60" t="s">
        <v>72</v>
      </c>
      <c r="C429" s="60" t="s">
        <v>67</v>
      </c>
      <c r="D429" s="149" t="str">
        <f>'пр.4 вед.стр.'!E221</f>
        <v>66 1 00 08081</v>
      </c>
      <c r="E429" s="149" t="str">
        <f>'пр.4 вед.стр.'!F221</f>
        <v>814</v>
      </c>
      <c r="F429" s="146">
        <f>'пр.4 вед.стр.'!G221</f>
        <v>5749.5</v>
      </c>
      <c r="N429" s="102"/>
      <c r="O429" s="102"/>
      <c r="P429" s="102"/>
      <c r="Q429" s="102"/>
      <c r="R429" s="105"/>
    </row>
    <row r="430" spans="1:18" s="30" customFormat="1" ht="16.5" customHeight="1">
      <c r="A430" s="28" t="str">
        <f>'пр.4 вед.стр.'!A222</f>
        <v>Неустойка и судебные расходы на основании вступивших в законную силу судебных актов</v>
      </c>
      <c r="B430" s="60" t="s">
        <v>72</v>
      </c>
      <c r="C430" s="60" t="s">
        <v>67</v>
      </c>
      <c r="D430" s="149" t="str">
        <f>'пр.4 вед.стр.'!E222</f>
        <v> 66 0 01 08190</v>
      </c>
      <c r="E430" s="149"/>
      <c r="F430" s="146">
        <f>F431</f>
        <v>150.3</v>
      </c>
      <c r="N430" s="102"/>
      <c r="O430" s="102"/>
      <c r="P430" s="102"/>
      <c r="Q430" s="102"/>
      <c r="R430" s="105"/>
    </row>
    <row r="431" spans="1:18" s="30" customFormat="1" ht="15" customHeight="1">
      <c r="A431" s="28" t="str">
        <f>'пр.4 вед.стр.'!A223</f>
        <v>Иные бюджетные ассигнования</v>
      </c>
      <c r="B431" s="60" t="s">
        <v>72</v>
      </c>
      <c r="C431" s="60" t="s">
        <v>67</v>
      </c>
      <c r="D431" s="149" t="str">
        <f>'пр.4 вед.стр.'!E223</f>
        <v> 66 0 01 08190</v>
      </c>
      <c r="E431" s="149" t="str">
        <f>'пр.4 вед.стр.'!F223</f>
        <v>800</v>
      </c>
      <c r="F431" s="146">
        <f>F432</f>
        <v>150.3</v>
      </c>
      <c r="N431" s="102"/>
      <c r="O431" s="102"/>
      <c r="P431" s="102"/>
      <c r="Q431" s="102"/>
      <c r="R431" s="105"/>
    </row>
    <row r="432" spans="1:18" s="30" customFormat="1" ht="16.5" customHeight="1">
      <c r="A432" s="28" t="str">
        <f>'пр.4 вед.стр.'!A224</f>
        <v>Исполнение судебных актов</v>
      </c>
      <c r="B432" s="60" t="s">
        <v>72</v>
      </c>
      <c r="C432" s="60" t="s">
        <v>67</v>
      </c>
      <c r="D432" s="149" t="str">
        <f>'пр.4 вед.стр.'!E224</f>
        <v> 66 0 01 08190</v>
      </c>
      <c r="E432" s="149" t="str">
        <f>'пр.4 вед.стр.'!F224</f>
        <v>830</v>
      </c>
      <c r="F432" s="146">
        <f>F433</f>
        <v>150.3</v>
      </c>
      <c r="N432" s="102"/>
      <c r="O432" s="102"/>
      <c r="P432" s="102"/>
      <c r="Q432" s="102"/>
      <c r="R432" s="105"/>
    </row>
    <row r="433" spans="1:18" s="30" customFormat="1" ht="33" customHeight="1">
      <c r="A433" s="155" t="str">
        <f>'пр.4 вед.стр.'!A225</f>
        <v>Исполнение судебных актов Российской Федерации и мировых соглашений по возмещению причиненного вреда
</v>
      </c>
      <c r="B433" s="60" t="s">
        <v>72</v>
      </c>
      <c r="C433" s="60" t="s">
        <v>67</v>
      </c>
      <c r="D433" s="149" t="str">
        <f>'пр.4 вед.стр.'!E225</f>
        <v> 66 0 01 08190</v>
      </c>
      <c r="E433" s="149" t="str">
        <f>'пр.4 вед.стр.'!F225</f>
        <v>831</v>
      </c>
      <c r="F433" s="146">
        <f>'пр.4 вед.стр.'!G225</f>
        <v>150.3</v>
      </c>
      <c r="N433" s="102"/>
      <c r="O433" s="102"/>
      <c r="P433" s="102"/>
      <c r="Q433" s="102"/>
      <c r="R433" s="105"/>
    </row>
    <row r="434" spans="1:18" s="30" customFormat="1" ht="24.75" customHeight="1">
      <c r="A434" s="155" t="s">
        <v>632</v>
      </c>
      <c r="B434" s="60" t="s">
        <v>72</v>
      </c>
      <c r="C434" s="60" t="s">
        <v>67</v>
      </c>
      <c r="D434" s="59" t="s">
        <v>808</v>
      </c>
      <c r="E434" s="59"/>
      <c r="F434" s="58">
        <f>F435</f>
        <v>14161.9</v>
      </c>
      <c r="N434" s="102"/>
      <c r="O434" s="102"/>
      <c r="P434" s="102"/>
      <c r="Q434" s="102"/>
      <c r="R434" s="105"/>
    </row>
    <row r="435" spans="1:18" s="30" customFormat="1" ht="27" customHeight="1">
      <c r="A435" s="155" t="s">
        <v>633</v>
      </c>
      <c r="B435" s="60" t="s">
        <v>72</v>
      </c>
      <c r="C435" s="60" t="s">
        <v>67</v>
      </c>
      <c r="D435" s="59" t="s">
        <v>809</v>
      </c>
      <c r="E435" s="59"/>
      <c r="F435" s="58">
        <f>F436</f>
        <v>14161.9</v>
      </c>
      <c r="N435" s="102"/>
      <c r="O435" s="102"/>
      <c r="P435" s="102"/>
      <c r="Q435" s="102"/>
      <c r="R435" s="105"/>
    </row>
    <row r="436" spans="1:18" s="30" customFormat="1" ht="18" customHeight="1">
      <c r="A436" s="28" t="s">
        <v>128</v>
      </c>
      <c r="B436" s="60" t="s">
        <v>72</v>
      </c>
      <c r="C436" s="60" t="s">
        <v>67</v>
      </c>
      <c r="D436" s="59" t="s">
        <v>809</v>
      </c>
      <c r="E436" s="59" t="s">
        <v>129</v>
      </c>
      <c r="F436" s="58">
        <f>F437</f>
        <v>14161.9</v>
      </c>
      <c r="N436" s="102"/>
      <c r="O436" s="102"/>
      <c r="P436" s="102"/>
      <c r="Q436" s="102"/>
      <c r="R436" s="105"/>
    </row>
    <row r="437" spans="1:18" s="30" customFormat="1" ht="15" customHeight="1">
      <c r="A437" s="28" t="s">
        <v>634</v>
      </c>
      <c r="B437" s="60" t="s">
        <v>72</v>
      </c>
      <c r="C437" s="60" t="s">
        <v>67</v>
      </c>
      <c r="D437" s="59" t="s">
        <v>809</v>
      </c>
      <c r="E437" s="59" t="s">
        <v>635</v>
      </c>
      <c r="F437" s="58">
        <f>F438</f>
        <v>14161.9</v>
      </c>
      <c r="N437" s="102"/>
      <c r="O437" s="102"/>
      <c r="P437" s="102"/>
      <c r="Q437" s="102"/>
      <c r="R437" s="105"/>
    </row>
    <row r="438" spans="1:18" s="30" customFormat="1" ht="27.75" customHeight="1">
      <c r="A438" s="155" t="s">
        <v>636</v>
      </c>
      <c r="B438" s="60" t="s">
        <v>72</v>
      </c>
      <c r="C438" s="60" t="s">
        <v>67</v>
      </c>
      <c r="D438" s="59" t="s">
        <v>809</v>
      </c>
      <c r="E438" s="59" t="s">
        <v>637</v>
      </c>
      <c r="F438" s="58">
        <f>'пр.4 вед.стр.'!G226</f>
        <v>14161.9</v>
      </c>
      <c r="N438" s="102"/>
      <c r="O438" s="102"/>
      <c r="P438" s="102"/>
      <c r="Q438" s="102"/>
      <c r="R438" s="105"/>
    </row>
    <row r="439" spans="1:18" s="30" customFormat="1" ht="12.75">
      <c r="A439" s="61" t="s">
        <v>210</v>
      </c>
      <c r="B439" s="62" t="s">
        <v>72</v>
      </c>
      <c r="C439" s="62" t="s">
        <v>70</v>
      </c>
      <c r="D439" s="63"/>
      <c r="E439" s="63"/>
      <c r="F439" s="64">
        <f>F440+F472+F462</f>
        <v>13694.699999999999</v>
      </c>
      <c r="N439" s="102"/>
      <c r="O439" s="102"/>
      <c r="P439" s="102"/>
      <c r="Q439" s="102"/>
      <c r="R439" s="105"/>
    </row>
    <row r="440" spans="1:18" s="30" customFormat="1" ht="19.5" customHeight="1">
      <c r="A440" s="28" t="s">
        <v>588</v>
      </c>
      <c r="B440" s="60" t="s">
        <v>72</v>
      </c>
      <c r="C440" s="60" t="s">
        <v>70</v>
      </c>
      <c r="D440" s="161" t="s">
        <v>589</v>
      </c>
      <c r="E440" s="59"/>
      <c r="F440" s="58">
        <f>F441</f>
        <v>7971.199999999999</v>
      </c>
      <c r="N440" s="102"/>
      <c r="O440" s="102"/>
      <c r="P440" s="102"/>
      <c r="Q440" s="102"/>
      <c r="R440" s="105"/>
    </row>
    <row r="441" spans="1:18" s="30" customFormat="1" ht="18" customHeight="1">
      <c r="A441" s="154" t="s">
        <v>281</v>
      </c>
      <c r="B441" s="60" t="s">
        <v>72</v>
      </c>
      <c r="C441" s="60" t="s">
        <v>70</v>
      </c>
      <c r="D441" s="161" t="s">
        <v>590</v>
      </c>
      <c r="E441" s="59"/>
      <c r="F441" s="58">
        <f>F450+F454+F458+F442+F446</f>
        <v>7971.199999999999</v>
      </c>
      <c r="N441" s="102"/>
      <c r="O441" s="102"/>
      <c r="P441" s="102"/>
      <c r="Q441" s="102"/>
      <c r="R441" s="105"/>
    </row>
    <row r="442" spans="1:18" s="30" customFormat="1" ht="29.25" customHeight="1">
      <c r="A442" s="28" t="s">
        <v>591</v>
      </c>
      <c r="B442" s="60" t="s">
        <v>72</v>
      </c>
      <c r="C442" s="60" t="s">
        <v>70</v>
      </c>
      <c r="D442" s="161" t="s">
        <v>592</v>
      </c>
      <c r="E442" s="59"/>
      <c r="F442" s="58">
        <f>F443</f>
        <v>4602.9</v>
      </c>
      <c r="N442" s="102"/>
      <c r="O442" s="102"/>
      <c r="P442" s="102"/>
      <c r="Q442" s="102"/>
      <c r="R442" s="105"/>
    </row>
    <row r="443" spans="1:18" s="30" customFormat="1" ht="12.75">
      <c r="A443" s="28" t="s">
        <v>610</v>
      </c>
      <c r="B443" s="60" t="s">
        <v>72</v>
      </c>
      <c r="C443" s="60" t="s">
        <v>70</v>
      </c>
      <c r="D443" s="161" t="s">
        <v>592</v>
      </c>
      <c r="E443" s="59" t="s">
        <v>104</v>
      </c>
      <c r="F443" s="58">
        <f>F444</f>
        <v>4602.9</v>
      </c>
      <c r="N443" s="102"/>
      <c r="O443" s="102"/>
      <c r="P443" s="102"/>
      <c r="Q443" s="102"/>
      <c r="R443" s="105"/>
    </row>
    <row r="444" spans="1:18" s="30" customFormat="1" ht="14.25" customHeight="1">
      <c r="A444" s="28" t="s">
        <v>98</v>
      </c>
      <c r="B444" s="60" t="s">
        <v>72</v>
      </c>
      <c r="C444" s="60" t="s">
        <v>70</v>
      </c>
      <c r="D444" s="161" t="s">
        <v>592</v>
      </c>
      <c r="E444" s="59" t="s">
        <v>99</v>
      </c>
      <c r="F444" s="58">
        <f>F445</f>
        <v>4602.9</v>
      </c>
      <c r="N444" s="105"/>
      <c r="O444" s="105"/>
      <c r="P444" s="105"/>
      <c r="Q444" s="105"/>
      <c r="R444" s="105"/>
    </row>
    <row r="445" spans="1:18" s="30" customFormat="1" ht="13.5" customHeight="1">
      <c r="A445" s="28" t="s">
        <v>100</v>
      </c>
      <c r="B445" s="60" t="s">
        <v>72</v>
      </c>
      <c r="C445" s="60" t="s">
        <v>70</v>
      </c>
      <c r="D445" s="161" t="s">
        <v>592</v>
      </c>
      <c r="E445" s="59" t="s">
        <v>101</v>
      </c>
      <c r="F445" s="58">
        <f>'пр.4 вед.стр.'!G1335</f>
        <v>4602.9</v>
      </c>
      <c r="N445" s="105"/>
      <c r="O445" s="105"/>
      <c r="P445" s="105"/>
      <c r="Q445" s="105"/>
      <c r="R445" s="105"/>
    </row>
    <row r="446" spans="1:18" s="30" customFormat="1" ht="15.75" customHeight="1">
      <c r="A446" s="28" t="s">
        <v>593</v>
      </c>
      <c r="B446" s="60" t="s">
        <v>72</v>
      </c>
      <c r="C446" s="60" t="s">
        <v>70</v>
      </c>
      <c r="D446" s="161" t="s">
        <v>594</v>
      </c>
      <c r="E446" s="59"/>
      <c r="F446" s="58">
        <f>F447</f>
        <v>100</v>
      </c>
      <c r="N446" s="102"/>
      <c r="O446" s="102"/>
      <c r="P446" s="102"/>
      <c r="Q446" s="102"/>
      <c r="R446" s="105"/>
    </row>
    <row r="447" spans="1:18" s="30" customFormat="1" ht="12.75">
      <c r="A447" s="28" t="s">
        <v>610</v>
      </c>
      <c r="B447" s="60" t="s">
        <v>72</v>
      </c>
      <c r="C447" s="60" t="s">
        <v>70</v>
      </c>
      <c r="D447" s="161" t="s">
        <v>594</v>
      </c>
      <c r="E447" s="59" t="s">
        <v>104</v>
      </c>
      <c r="F447" s="58">
        <f>F448</f>
        <v>100</v>
      </c>
      <c r="N447" s="102"/>
      <c r="O447" s="102"/>
      <c r="P447" s="102"/>
      <c r="Q447" s="102"/>
      <c r="R447" s="105"/>
    </row>
    <row r="448" spans="1:18" s="30" customFormat="1" ht="15.75" customHeight="1">
      <c r="A448" s="28" t="s">
        <v>98</v>
      </c>
      <c r="B448" s="60" t="s">
        <v>72</v>
      </c>
      <c r="C448" s="60" t="s">
        <v>70</v>
      </c>
      <c r="D448" s="161" t="s">
        <v>594</v>
      </c>
      <c r="E448" s="59" t="s">
        <v>99</v>
      </c>
      <c r="F448" s="58">
        <f>F449</f>
        <v>100</v>
      </c>
      <c r="N448" s="102"/>
      <c r="O448" s="102"/>
      <c r="P448" s="102"/>
      <c r="Q448" s="102"/>
      <c r="R448" s="105"/>
    </row>
    <row r="449" spans="1:18" s="30" customFormat="1" ht="15.75" customHeight="1">
      <c r="A449" s="28" t="s">
        <v>100</v>
      </c>
      <c r="B449" s="60" t="s">
        <v>72</v>
      </c>
      <c r="C449" s="60" t="s">
        <v>70</v>
      </c>
      <c r="D449" s="161" t="s">
        <v>594</v>
      </c>
      <c r="E449" s="59" t="s">
        <v>101</v>
      </c>
      <c r="F449" s="58">
        <f>'пр.4 вед.стр.'!G1339</f>
        <v>100</v>
      </c>
      <c r="N449" s="102"/>
      <c r="O449" s="102"/>
      <c r="P449" s="102"/>
      <c r="Q449" s="102"/>
      <c r="R449" s="105"/>
    </row>
    <row r="450" spans="1:18" s="30" customFormat="1" ht="12.75">
      <c r="A450" s="28" t="s">
        <v>595</v>
      </c>
      <c r="B450" s="60" t="s">
        <v>72</v>
      </c>
      <c r="C450" s="60" t="s">
        <v>70</v>
      </c>
      <c r="D450" s="161" t="s">
        <v>596</v>
      </c>
      <c r="E450" s="59"/>
      <c r="F450" s="58">
        <f>F451</f>
        <v>2050</v>
      </c>
      <c r="N450" s="102"/>
      <c r="O450" s="102"/>
      <c r="P450" s="102"/>
      <c r="Q450" s="102"/>
      <c r="R450" s="105"/>
    </row>
    <row r="451" spans="1:18" s="30" customFormat="1" ht="12.75">
      <c r="A451" s="28" t="s">
        <v>610</v>
      </c>
      <c r="B451" s="60" t="s">
        <v>72</v>
      </c>
      <c r="C451" s="60" t="s">
        <v>70</v>
      </c>
      <c r="D451" s="161" t="s">
        <v>596</v>
      </c>
      <c r="E451" s="59" t="s">
        <v>104</v>
      </c>
      <c r="F451" s="58">
        <f>F452</f>
        <v>2050</v>
      </c>
      <c r="N451" s="102"/>
      <c r="O451" s="102"/>
      <c r="P451" s="102"/>
      <c r="Q451" s="102"/>
      <c r="R451" s="105"/>
    </row>
    <row r="452" spans="1:18" s="30" customFormat="1" ht="14.25" customHeight="1">
      <c r="A452" s="28" t="s">
        <v>98</v>
      </c>
      <c r="B452" s="60" t="s">
        <v>72</v>
      </c>
      <c r="C452" s="60" t="s">
        <v>70</v>
      </c>
      <c r="D452" s="161" t="s">
        <v>596</v>
      </c>
      <c r="E452" s="59" t="s">
        <v>99</v>
      </c>
      <c r="F452" s="58">
        <f>F453</f>
        <v>2050</v>
      </c>
      <c r="N452" s="102"/>
      <c r="O452" s="102"/>
      <c r="P452" s="102"/>
      <c r="Q452" s="102"/>
      <c r="R452" s="105"/>
    </row>
    <row r="453" spans="1:18" s="30" customFormat="1" ht="16.5" customHeight="1">
      <c r="A453" s="28" t="s">
        <v>100</v>
      </c>
      <c r="B453" s="60" t="s">
        <v>72</v>
      </c>
      <c r="C453" s="60" t="s">
        <v>70</v>
      </c>
      <c r="D453" s="161" t="s">
        <v>596</v>
      </c>
      <c r="E453" s="59" t="s">
        <v>101</v>
      </c>
      <c r="F453" s="58">
        <f>'пр.4 вед.стр.'!G1343</f>
        <v>2050</v>
      </c>
      <c r="N453" s="102"/>
      <c r="O453" s="102"/>
      <c r="P453" s="102"/>
      <c r="Q453" s="102"/>
      <c r="R453" s="105"/>
    </row>
    <row r="454" spans="1:18" s="30" customFormat="1" ht="12.75">
      <c r="A454" s="28" t="s">
        <v>597</v>
      </c>
      <c r="B454" s="60" t="s">
        <v>72</v>
      </c>
      <c r="C454" s="60" t="s">
        <v>70</v>
      </c>
      <c r="D454" s="161" t="s">
        <v>598</v>
      </c>
      <c r="E454" s="59"/>
      <c r="F454" s="58">
        <f>F456</f>
        <v>1096.6</v>
      </c>
      <c r="N454" s="105"/>
      <c r="O454" s="105"/>
      <c r="P454" s="105"/>
      <c r="Q454" s="105"/>
      <c r="R454" s="105"/>
    </row>
    <row r="455" spans="1:18" s="30" customFormat="1" ht="12.75">
      <c r="A455" s="28" t="s">
        <v>610</v>
      </c>
      <c r="B455" s="60" t="s">
        <v>72</v>
      </c>
      <c r="C455" s="60" t="s">
        <v>70</v>
      </c>
      <c r="D455" s="161" t="s">
        <v>598</v>
      </c>
      <c r="E455" s="59" t="s">
        <v>104</v>
      </c>
      <c r="F455" s="58">
        <f>F456</f>
        <v>1096.6</v>
      </c>
      <c r="N455" s="105"/>
      <c r="O455" s="105"/>
      <c r="P455" s="105"/>
      <c r="Q455" s="105"/>
      <c r="R455" s="105"/>
    </row>
    <row r="456" spans="1:18" s="30" customFormat="1" ht="14.25" customHeight="1">
      <c r="A456" s="28" t="s">
        <v>98</v>
      </c>
      <c r="B456" s="60" t="s">
        <v>72</v>
      </c>
      <c r="C456" s="60" t="s">
        <v>70</v>
      </c>
      <c r="D456" s="161" t="s">
        <v>598</v>
      </c>
      <c r="E456" s="59" t="s">
        <v>99</v>
      </c>
      <c r="F456" s="58">
        <f>F457</f>
        <v>1096.6</v>
      </c>
      <c r="N456" s="102"/>
      <c r="O456" s="102"/>
      <c r="P456" s="102"/>
      <c r="Q456" s="102"/>
      <c r="R456" s="105"/>
    </row>
    <row r="457" spans="1:18" s="30" customFormat="1" ht="15" customHeight="1">
      <c r="A457" s="28" t="s">
        <v>100</v>
      </c>
      <c r="B457" s="60" t="s">
        <v>72</v>
      </c>
      <c r="C457" s="60" t="s">
        <v>70</v>
      </c>
      <c r="D457" s="161" t="s">
        <v>598</v>
      </c>
      <c r="E457" s="59" t="s">
        <v>101</v>
      </c>
      <c r="F457" s="58">
        <f>'пр.4 вед.стр.'!G1347</f>
        <v>1096.6</v>
      </c>
      <c r="N457" s="102"/>
      <c r="O457" s="102"/>
      <c r="P457" s="102"/>
      <c r="Q457" s="102"/>
      <c r="R457" s="105"/>
    </row>
    <row r="458" spans="1:18" s="30" customFormat="1" ht="12.75">
      <c r="A458" s="28" t="s">
        <v>599</v>
      </c>
      <c r="B458" s="60" t="s">
        <v>72</v>
      </c>
      <c r="C458" s="60" t="s">
        <v>70</v>
      </c>
      <c r="D458" s="161" t="s">
        <v>600</v>
      </c>
      <c r="E458" s="59"/>
      <c r="F458" s="58">
        <f>F459</f>
        <v>121.69999999999999</v>
      </c>
      <c r="N458" s="102"/>
      <c r="O458" s="102"/>
      <c r="P458" s="102"/>
      <c r="Q458" s="102"/>
      <c r="R458" s="105"/>
    </row>
    <row r="459" spans="1:18" s="30" customFormat="1" ht="12.75">
      <c r="A459" s="28" t="s">
        <v>610</v>
      </c>
      <c r="B459" s="60" t="s">
        <v>72</v>
      </c>
      <c r="C459" s="60" t="s">
        <v>70</v>
      </c>
      <c r="D459" s="161" t="s">
        <v>600</v>
      </c>
      <c r="E459" s="59" t="s">
        <v>104</v>
      </c>
      <c r="F459" s="58">
        <f>F460</f>
        <v>121.69999999999999</v>
      </c>
      <c r="N459" s="102"/>
      <c r="O459" s="102"/>
      <c r="P459" s="102"/>
      <c r="Q459" s="102"/>
      <c r="R459" s="105"/>
    </row>
    <row r="460" spans="1:18" s="30" customFormat="1" ht="13.5" customHeight="1">
      <c r="A460" s="28" t="s">
        <v>98</v>
      </c>
      <c r="B460" s="60" t="s">
        <v>72</v>
      </c>
      <c r="C460" s="60" t="s">
        <v>70</v>
      </c>
      <c r="D460" s="161" t="s">
        <v>600</v>
      </c>
      <c r="E460" s="59" t="s">
        <v>99</v>
      </c>
      <c r="F460" s="58">
        <f>F461</f>
        <v>121.69999999999999</v>
      </c>
      <c r="N460" s="102"/>
      <c r="O460" s="102"/>
      <c r="P460" s="102"/>
      <c r="Q460" s="102"/>
      <c r="R460" s="105"/>
    </row>
    <row r="461" spans="1:18" s="30" customFormat="1" ht="15" customHeight="1">
      <c r="A461" s="28" t="s">
        <v>100</v>
      </c>
      <c r="B461" s="60" t="s">
        <v>72</v>
      </c>
      <c r="C461" s="60" t="s">
        <v>70</v>
      </c>
      <c r="D461" s="161" t="s">
        <v>600</v>
      </c>
      <c r="E461" s="59" t="s">
        <v>101</v>
      </c>
      <c r="F461" s="58">
        <f>'пр.4 вед.стр.'!G1351</f>
        <v>121.69999999999999</v>
      </c>
      <c r="N461" s="105"/>
      <c r="O461" s="105"/>
      <c r="P461" s="105"/>
      <c r="Q461" s="105"/>
      <c r="R461" s="105"/>
    </row>
    <row r="462" spans="1:18" s="30" customFormat="1" ht="26.25" customHeight="1">
      <c r="A462" s="28" t="str">
        <f>'пр.4 вед.стр.'!A1352</f>
        <v>Муниципальная программа "Формирование современной городской среды муниципального образования "Сусуманский городской округ" на 2017 год"</v>
      </c>
      <c r="B462" s="60" t="s">
        <v>72</v>
      </c>
      <c r="C462" s="60" t="s">
        <v>70</v>
      </c>
      <c r="D462" s="161" t="str">
        <f>'пр.4 вед.стр.'!E1352</f>
        <v>7К 0 00 00000</v>
      </c>
      <c r="E462" s="149"/>
      <c r="F462" s="58">
        <f>F463</f>
        <v>2372.5</v>
      </c>
      <c r="N462" s="105"/>
      <c r="O462" s="105"/>
      <c r="P462" s="105"/>
      <c r="Q462" s="105"/>
      <c r="R462" s="105"/>
    </row>
    <row r="463" spans="1:18" s="30" customFormat="1" ht="33.75" customHeight="1">
      <c r="A463" s="28" t="str">
        <f>'пр.4 вед.стр.'!A1353</f>
        <v>Основное мероприятие "Формирование современной городской среды при реализации проектов благоустройства территорий муниципальных образований"</v>
      </c>
      <c r="B463" s="60" t="s">
        <v>72</v>
      </c>
      <c r="C463" s="60" t="s">
        <v>70</v>
      </c>
      <c r="D463" s="161" t="str">
        <f>'пр.4 вед.стр.'!E1353</f>
        <v>7К 0 01 00000</v>
      </c>
      <c r="E463" s="149"/>
      <c r="F463" s="58">
        <f>F464+F468</f>
        <v>2372.5</v>
      </c>
      <c r="N463" s="102"/>
      <c r="O463" s="102"/>
      <c r="P463" s="102"/>
      <c r="Q463" s="102"/>
      <c r="R463" s="105"/>
    </row>
    <row r="464" spans="1:18" s="30" customFormat="1" ht="40.5" customHeight="1">
      <c r="A464" s="28" t="str">
        <f>'пр.4 вед.стр.'!A1354</f>
        <v>Формирование современной городской среды при реализации проектов благоустройства территорий муниципальных образований  </v>
      </c>
      <c r="B464" s="60" t="s">
        <v>72</v>
      </c>
      <c r="C464" s="60" t="s">
        <v>70</v>
      </c>
      <c r="D464" s="161" t="str">
        <f>'пр.4 вед.стр.'!E1354</f>
        <v>7К 0 01 R5550</v>
      </c>
      <c r="E464" s="149"/>
      <c r="F464" s="58">
        <f>F465</f>
        <v>2325.5</v>
      </c>
      <c r="N464" s="102"/>
      <c r="O464" s="102"/>
      <c r="P464" s="102"/>
      <c r="Q464" s="102"/>
      <c r="R464" s="105"/>
    </row>
    <row r="465" spans="1:18" s="30" customFormat="1" ht="15" customHeight="1">
      <c r="A465" s="28" t="str">
        <f>'пр.4 вед.стр.'!A1355</f>
        <v>Закупка товаров, работ и услуг для обеспечения государственных (муниципальных) нужд</v>
      </c>
      <c r="B465" s="60" t="s">
        <v>72</v>
      </c>
      <c r="C465" s="60" t="s">
        <v>70</v>
      </c>
      <c r="D465" s="161" t="str">
        <f>'пр.4 вед.стр.'!E1355</f>
        <v>7К 0 01 R5550</v>
      </c>
      <c r="E465" s="149" t="str">
        <f>'пр.4 вед.стр.'!F1355</f>
        <v>200</v>
      </c>
      <c r="F465" s="58">
        <f>F466</f>
        <v>2325.5</v>
      </c>
      <c r="N465" s="102"/>
      <c r="O465" s="102"/>
      <c r="P465" s="102"/>
      <c r="Q465" s="102"/>
      <c r="R465" s="105"/>
    </row>
    <row r="466" spans="1:18" s="30" customFormat="1" ht="15" customHeight="1">
      <c r="A466" s="28" t="str">
        <f>'пр.4 вед.стр.'!A1356</f>
        <v>Иные закупки товаров, работ и услуг для обеспечения государственных и муниципальных нужд</v>
      </c>
      <c r="B466" s="60" t="s">
        <v>72</v>
      </c>
      <c r="C466" s="60" t="s">
        <v>70</v>
      </c>
      <c r="D466" s="161" t="str">
        <f>'пр.4 вед.стр.'!E1356</f>
        <v>7К 0 01 R5550</v>
      </c>
      <c r="E466" s="149" t="str">
        <f>'пр.4 вед.стр.'!F1356</f>
        <v>240</v>
      </c>
      <c r="F466" s="58">
        <f>F467</f>
        <v>2325.5</v>
      </c>
      <c r="N466" s="102"/>
      <c r="O466" s="102"/>
      <c r="P466" s="102"/>
      <c r="Q466" s="102"/>
      <c r="R466" s="105"/>
    </row>
    <row r="467" spans="1:18" s="30" customFormat="1" ht="15" customHeight="1">
      <c r="A467" s="28" t="str">
        <f>'пр.4 вед.стр.'!A1357</f>
        <v>Прочая закупка товаров, работ и услуг для обеспечения государственных (муниципальных) нужд</v>
      </c>
      <c r="B467" s="60" t="s">
        <v>72</v>
      </c>
      <c r="C467" s="60" t="s">
        <v>70</v>
      </c>
      <c r="D467" s="161" t="str">
        <f>'пр.4 вед.стр.'!E1357</f>
        <v>7К 0 01 R5550</v>
      </c>
      <c r="E467" s="149" t="str">
        <f>'пр.4 вед.стр.'!F1357</f>
        <v>244</v>
      </c>
      <c r="F467" s="58">
        <f>'пр.4 вед.стр.'!G1357</f>
        <v>2325.5</v>
      </c>
      <c r="N467" s="102"/>
      <c r="O467" s="102"/>
      <c r="P467" s="102"/>
      <c r="Q467" s="102"/>
      <c r="R467" s="105"/>
    </row>
    <row r="468" spans="1:18" s="30" customFormat="1" ht="15" customHeight="1">
      <c r="A468" s="28" t="str">
        <f>'пр.4 вед.стр.'!A1358</f>
        <v> Формирование современной городской среды при реализации проектов благоустройства территорий муниципальных образований за счет средств местного бюджета</v>
      </c>
      <c r="B468" s="60" t="s">
        <v>72</v>
      </c>
      <c r="C468" s="60" t="s">
        <v>70</v>
      </c>
      <c r="D468" s="161" t="str">
        <f>'пр.4 вед.стр.'!E1358</f>
        <v>7К 0 01 L5550</v>
      </c>
      <c r="E468" s="149"/>
      <c r="F468" s="58">
        <f>F469</f>
        <v>47</v>
      </c>
      <c r="N468" s="102"/>
      <c r="O468" s="102"/>
      <c r="P468" s="102"/>
      <c r="Q468" s="102"/>
      <c r="R468" s="105"/>
    </row>
    <row r="469" spans="1:18" s="30" customFormat="1" ht="15" customHeight="1">
      <c r="A469" s="28" t="str">
        <f>'пр.4 вед.стр.'!A1359</f>
        <v>Закупка товаров, работ и услуг для обеспечения государственных (муниципальных) нужд</v>
      </c>
      <c r="B469" s="60" t="s">
        <v>72</v>
      </c>
      <c r="C469" s="60" t="s">
        <v>70</v>
      </c>
      <c r="D469" s="161" t="str">
        <f>'пр.4 вед.стр.'!E1359</f>
        <v>7К 0 01 L5550</v>
      </c>
      <c r="E469" s="149" t="str">
        <f>'пр.4 вед.стр.'!F1359</f>
        <v>200</v>
      </c>
      <c r="F469" s="58">
        <f>F470</f>
        <v>47</v>
      </c>
      <c r="N469" s="102"/>
      <c r="O469" s="102"/>
      <c r="P469" s="102"/>
      <c r="Q469" s="102"/>
      <c r="R469" s="105"/>
    </row>
    <row r="470" spans="1:18" s="30" customFormat="1" ht="15" customHeight="1">
      <c r="A470" s="28" t="str">
        <f>'пр.4 вед.стр.'!A1360</f>
        <v>Иные закупки товаров, работ и услуг для обеспечения государственных и муниципальных нужд</v>
      </c>
      <c r="B470" s="60" t="s">
        <v>72</v>
      </c>
      <c r="C470" s="60" t="s">
        <v>70</v>
      </c>
      <c r="D470" s="161" t="str">
        <f>'пр.4 вед.стр.'!E1360</f>
        <v>7К 0 01 L5550</v>
      </c>
      <c r="E470" s="149" t="str">
        <f>'пр.4 вед.стр.'!F1360</f>
        <v>240</v>
      </c>
      <c r="F470" s="58">
        <f>F471</f>
        <v>47</v>
      </c>
      <c r="N470" s="102"/>
      <c r="O470" s="102"/>
      <c r="P470" s="102"/>
      <c r="Q470" s="102"/>
      <c r="R470" s="105"/>
    </row>
    <row r="471" spans="1:18" s="30" customFormat="1" ht="15" customHeight="1">
      <c r="A471" s="28" t="str">
        <f>'пр.4 вед.стр.'!A1361</f>
        <v>Прочая закупка товаров, работ и услуг для обеспечения государственных (муниципальных) нужд</v>
      </c>
      <c r="B471" s="60" t="s">
        <v>72</v>
      </c>
      <c r="C471" s="60" t="s">
        <v>70</v>
      </c>
      <c r="D471" s="161" t="str">
        <f>'пр.4 вед.стр.'!E1361</f>
        <v>7К 0 01 L5550</v>
      </c>
      <c r="E471" s="149" t="str">
        <f>'пр.4 вед.стр.'!F1361</f>
        <v>244</v>
      </c>
      <c r="F471" s="58">
        <f>'пр.4 вед.стр.'!G1361</f>
        <v>47</v>
      </c>
      <c r="N471" s="102"/>
      <c r="O471" s="102"/>
      <c r="P471" s="102"/>
      <c r="Q471" s="102"/>
      <c r="R471" s="105"/>
    </row>
    <row r="472" spans="1:18" s="30" customFormat="1" ht="12.75">
      <c r="A472" s="154" t="str">
        <f>'пр.4 вед.стр.'!A1362</f>
        <v>Мероприятия по благоустройству </v>
      </c>
      <c r="B472" s="60" t="s">
        <v>72</v>
      </c>
      <c r="C472" s="60" t="s">
        <v>70</v>
      </c>
      <c r="D472" s="59" t="s">
        <v>601</v>
      </c>
      <c r="E472" s="165"/>
      <c r="F472" s="58">
        <f>F478+F489+F481+F485+F473</f>
        <v>3351</v>
      </c>
      <c r="N472" s="102"/>
      <c r="O472" s="102"/>
      <c r="P472" s="102"/>
      <c r="Q472" s="102"/>
      <c r="R472" s="105"/>
    </row>
    <row r="473" spans="1:6" ht="12.75">
      <c r="A473" s="16" t="str">
        <f>'пр.4 вед.стр.'!A1363</f>
        <v>Прочие мероприятия по благоустройству</v>
      </c>
      <c r="B473" s="34" t="s">
        <v>72</v>
      </c>
      <c r="C473" s="34" t="s">
        <v>70</v>
      </c>
      <c r="D473" s="204" t="s">
        <v>869</v>
      </c>
      <c r="E473" s="19"/>
      <c r="F473" s="58">
        <f>F474</f>
        <v>100</v>
      </c>
    </row>
    <row r="474" spans="1:18" s="30" customFormat="1" ht="12.75">
      <c r="A474" s="16" t="s">
        <v>610</v>
      </c>
      <c r="B474" s="34" t="s">
        <v>72</v>
      </c>
      <c r="C474" s="34" t="s">
        <v>70</v>
      </c>
      <c r="D474" s="204" t="s">
        <v>869</v>
      </c>
      <c r="E474" s="170">
        <v>200</v>
      </c>
      <c r="F474" s="58">
        <f>F475</f>
        <v>100</v>
      </c>
      <c r="N474" s="102"/>
      <c r="O474" s="102"/>
      <c r="P474" s="102"/>
      <c r="Q474" s="102"/>
      <c r="R474" s="105"/>
    </row>
    <row r="475" spans="1:18" s="30" customFormat="1" ht="12" customHeight="1">
      <c r="A475" s="16" t="s">
        <v>98</v>
      </c>
      <c r="B475" s="34" t="s">
        <v>72</v>
      </c>
      <c r="C475" s="34" t="s">
        <v>70</v>
      </c>
      <c r="D475" s="204" t="s">
        <v>869</v>
      </c>
      <c r="E475" s="19" t="s">
        <v>99</v>
      </c>
      <c r="F475" s="58">
        <f>F476</f>
        <v>100</v>
      </c>
      <c r="N475" s="102"/>
      <c r="O475" s="102"/>
      <c r="P475" s="102"/>
      <c r="Q475" s="102"/>
      <c r="R475" s="105"/>
    </row>
    <row r="476" spans="1:18" s="30" customFormat="1" ht="12.75">
      <c r="A476" s="16" t="s">
        <v>100</v>
      </c>
      <c r="B476" s="34" t="s">
        <v>72</v>
      </c>
      <c r="C476" s="34" t="s">
        <v>70</v>
      </c>
      <c r="D476" s="204" t="s">
        <v>869</v>
      </c>
      <c r="E476" s="19" t="s">
        <v>101</v>
      </c>
      <c r="F476" s="58">
        <f>'пр.4 вед.стр.'!G1366</f>
        <v>100</v>
      </c>
      <c r="N476" s="102"/>
      <c r="O476" s="102"/>
      <c r="P476" s="102"/>
      <c r="Q476" s="102"/>
      <c r="R476" s="105"/>
    </row>
    <row r="477" spans="1:18" s="30" customFormat="1" ht="12.75">
      <c r="A477" s="154" t="s">
        <v>285</v>
      </c>
      <c r="B477" s="60" t="s">
        <v>72</v>
      </c>
      <c r="C477" s="60" t="s">
        <v>70</v>
      </c>
      <c r="D477" s="59" t="s">
        <v>602</v>
      </c>
      <c r="E477" s="165"/>
      <c r="F477" s="58">
        <f>F478</f>
        <v>497</v>
      </c>
      <c r="N477" s="102"/>
      <c r="O477" s="102"/>
      <c r="P477" s="102"/>
      <c r="Q477" s="102"/>
      <c r="R477" s="105"/>
    </row>
    <row r="478" spans="1:18" s="30" customFormat="1" ht="12.75">
      <c r="A478" s="28" t="s">
        <v>610</v>
      </c>
      <c r="B478" s="60" t="s">
        <v>72</v>
      </c>
      <c r="C478" s="60" t="s">
        <v>70</v>
      </c>
      <c r="D478" s="59" t="s">
        <v>602</v>
      </c>
      <c r="E478" s="59" t="s">
        <v>104</v>
      </c>
      <c r="F478" s="58">
        <f>F479</f>
        <v>497</v>
      </c>
      <c r="N478" s="102"/>
      <c r="O478" s="102"/>
      <c r="P478" s="102"/>
      <c r="Q478" s="102"/>
      <c r="R478" s="105"/>
    </row>
    <row r="479" spans="1:18" s="30" customFormat="1" ht="18" customHeight="1">
      <c r="A479" s="28" t="s">
        <v>98</v>
      </c>
      <c r="B479" s="60" t="s">
        <v>72</v>
      </c>
      <c r="C479" s="60" t="s">
        <v>70</v>
      </c>
      <c r="D479" s="59" t="s">
        <v>602</v>
      </c>
      <c r="E479" s="59" t="s">
        <v>99</v>
      </c>
      <c r="F479" s="58">
        <f>F480</f>
        <v>497</v>
      </c>
      <c r="N479" s="102"/>
      <c r="O479" s="102"/>
      <c r="P479" s="102"/>
      <c r="Q479" s="102"/>
      <c r="R479" s="105"/>
    </row>
    <row r="480" spans="1:18" s="30" customFormat="1" ht="12.75">
      <c r="A480" s="28" t="s">
        <v>100</v>
      </c>
      <c r="B480" s="60" t="s">
        <v>72</v>
      </c>
      <c r="C480" s="60" t="s">
        <v>70</v>
      </c>
      <c r="D480" s="59" t="s">
        <v>602</v>
      </c>
      <c r="E480" s="59" t="s">
        <v>101</v>
      </c>
      <c r="F480" s="58">
        <f>'пр.4 вед.стр.'!G1370</f>
        <v>497</v>
      </c>
      <c r="N480" s="102"/>
      <c r="O480" s="102"/>
      <c r="P480" s="102"/>
      <c r="Q480" s="102"/>
      <c r="R480" s="105"/>
    </row>
    <row r="481" spans="1:18" s="30" customFormat="1" ht="25.5">
      <c r="A481" s="28" t="str">
        <f>'пр.4 вед.стр.'!A1371</f>
        <v>Субсидии на частичное возмещение затрат по оказанию ритуальных услуг на территории Сусуманского городского округа</v>
      </c>
      <c r="B481" s="60" t="s">
        <v>72</v>
      </c>
      <c r="C481" s="60" t="s">
        <v>70</v>
      </c>
      <c r="D481" s="59" t="s">
        <v>793</v>
      </c>
      <c r="E481" s="59"/>
      <c r="F481" s="58">
        <f>F482</f>
        <v>534</v>
      </c>
      <c r="N481" s="102"/>
      <c r="O481" s="102"/>
      <c r="P481" s="102"/>
      <c r="Q481" s="102"/>
      <c r="R481" s="105"/>
    </row>
    <row r="482" spans="1:18" s="30" customFormat="1" ht="12.75">
      <c r="A482" s="28" t="s">
        <v>128</v>
      </c>
      <c r="B482" s="60" t="s">
        <v>72</v>
      </c>
      <c r="C482" s="60" t="s">
        <v>70</v>
      </c>
      <c r="D482" s="59" t="s">
        <v>793</v>
      </c>
      <c r="E482" s="59" t="s">
        <v>129</v>
      </c>
      <c r="F482" s="58">
        <f>F483</f>
        <v>534</v>
      </c>
      <c r="N482" s="102"/>
      <c r="O482" s="102"/>
      <c r="P482" s="102"/>
      <c r="Q482" s="102"/>
      <c r="R482" s="105"/>
    </row>
    <row r="483" spans="1:18" s="30" customFormat="1" ht="25.5">
      <c r="A483" s="28" t="s">
        <v>164</v>
      </c>
      <c r="B483" s="60" t="s">
        <v>72</v>
      </c>
      <c r="C483" s="60" t="s">
        <v>70</v>
      </c>
      <c r="D483" s="59" t="s">
        <v>793</v>
      </c>
      <c r="E483" s="59" t="s">
        <v>130</v>
      </c>
      <c r="F483" s="58">
        <f>F484</f>
        <v>534</v>
      </c>
      <c r="N483" s="102"/>
      <c r="O483" s="102"/>
      <c r="P483" s="102"/>
      <c r="Q483" s="102"/>
      <c r="R483" s="105"/>
    </row>
    <row r="484" spans="1:18" s="30" customFormat="1" ht="25.5">
      <c r="A484" s="28" t="s">
        <v>609</v>
      </c>
      <c r="B484" s="60" t="s">
        <v>72</v>
      </c>
      <c r="C484" s="60" t="s">
        <v>70</v>
      </c>
      <c r="D484" s="59" t="s">
        <v>793</v>
      </c>
      <c r="E484" s="59" t="s">
        <v>608</v>
      </c>
      <c r="F484" s="58">
        <f>'пр.4 вед.стр.'!G1374</f>
        <v>534</v>
      </c>
      <c r="N484" s="102"/>
      <c r="O484" s="102"/>
      <c r="P484" s="102"/>
      <c r="Q484" s="102"/>
      <c r="R484" s="105"/>
    </row>
    <row r="485" spans="1:6" ht="12.75">
      <c r="A485" s="28" t="str">
        <f>'пр.4 вед.стр.'!A1375</f>
        <v>Услуги по захоронению не востребованных трупов</v>
      </c>
      <c r="B485" s="60" t="s">
        <v>72</v>
      </c>
      <c r="C485" s="60" t="s">
        <v>70</v>
      </c>
      <c r="D485" s="59" t="s">
        <v>795</v>
      </c>
      <c r="E485" s="59"/>
      <c r="F485" s="58">
        <f>F486</f>
        <v>140</v>
      </c>
    </row>
    <row r="486" spans="1:18" s="30" customFormat="1" ht="12.75">
      <c r="A486" s="28" t="s">
        <v>610</v>
      </c>
      <c r="B486" s="60" t="s">
        <v>72</v>
      </c>
      <c r="C486" s="60" t="s">
        <v>70</v>
      </c>
      <c r="D486" s="59" t="s">
        <v>795</v>
      </c>
      <c r="E486" s="59" t="s">
        <v>104</v>
      </c>
      <c r="F486" s="58">
        <f>F487</f>
        <v>140</v>
      </c>
      <c r="N486" s="102"/>
      <c r="O486" s="102"/>
      <c r="P486" s="102"/>
      <c r="Q486" s="102"/>
      <c r="R486" s="105"/>
    </row>
    <row r="487" spans="1:18" s="30" customFormat="1" ht="12.75">
      <c r="A487" s="28" t="s">
        <v>98</v>
      </c>
      <c r="B487" s="60" t="s">
        <v>72</v>
      </c>
      <c r="C487" s="60" t="s">
        <v>70</v>
      </c>
      <c r="D487" s="59" t="s">
        <v>795</v>
      </c>
      <c r="E487" s="59" t="s">
        <v>99</v>
      </c>
      <c r="F487" s="58">
        <f>F488</f>
        <v>140</v>
      </c>
      <c r="N487" s="102"/>
      <c r="O487" s="102"/>
      <c r="P487" s="102"/>
      <c r="Q487" s="102"/>
      <c r="R487" s="105"/>
    </row>
    <row r="488" spans="1:18" s="30" customFormat="1" ht="12.75">
      <c r="A488" s="28" t="s">
        <v>100</v>
      </c>
      <c r="B488" s="60" t="s">
        <v>72</v>
      </c>
      <c r="C488" s="60" t="s">
        <v>70</v>
      </c>
      <c r="D488" s="59" t="s">
        <v>795</v>
      </c>
      <c r="E488" s="59" t="s">
        <v>101</v>
      </c>
      <c r="F488" s="58">
        <f>'пр.4 вед.стр.'!G1378</f>
        <v>140</v>
      </c>
      <c r="N488" s="102"/>
      <c r="O488" s="102"/>
      <c r="P488" s="102"/>
      <c r="Q488" s="102"/>
      <c r="R488" s="105"/>
    </row>
    <row r="489" spans="1:18" s="30" customFormat="1" ht="29.25" customHeight="1">
      <c r="A489" s="28" t="str">
        <f>'пр.4 вед.стр.'!A1379</f>
        <v>Осуществление государственных полномочий по отлову и содержанию безнадзорных животных за счет средств областного бюджета</v>
      </c>
      <c r="B489" s="60" t="s">
        <v>72</v>
      </c>
      <c r="C489" s="60" t="s">
        <v>70</v>
      </c>
      <c r="D489" s="149" t="str">
        <f>'пр.4 вед.стр.'!E1379</f>
        <v>К6 0 00 74170</v>
      </c>
      <c r="E489" s="149"/>
      <c r="F489" s="146">
        <f>F490+F493</f>
        <v>2080</v>
      </c>
      <c r="N489" s="102"/>
      <c r="O489" s="102"/>
      <c r="P489" s="102"/>
      <c r="Q489" s="102"/>
      <c r="R489" s="105"/>
    </row>
    <row r="490" spans="1:18" s="30" customFormat="1" ht="16.5" customHeight="1">
      <c r="A490" s="28" t="str">
        <f>'пр.4 вед.стр.'!A1380</f>
        <v>Закупка товаров, работ и услуг для обеспечения государственных (муниципальных) нужд</v>
      </c>
      <c r="B490" s="60" t="s">
        <v>72</v>
      </c>
      <c r="C490" s="60" t="s">
        <v>70</v>
      </c>
      <c r="D490" s="149" t="str">
        <f>'пр.4 вед.стр.'!E1380</f>
        <v>К6 0 00 74170</v>
      </c>
      <c r="E490" s="149" t="str">
        <f>'пр.4 вед.стр.'!F1380</f>
        <v>200</v>
      </c>
      <c r="F490" s="146">
        <f>F491</f>
        <v>803.3</v>
      </c>
      <c r="N490" s="102"/>
      <c r="O490" s="102"/>
      <c r="P490" s="102"/>
      <c r="Q490" s="102"/>
      <c r="R490" s="105"/>
    </row>
    <row r="491" spans="1:18" s="30" customFormat="1" ht="19.5" customHeight="1">
      <c r="A491" s="28" t="str">
        <f>'пр.4 вед.стр.'!A1381</f>
        <v>Иные закупки товаров, работ и услуг для обеспечения государственных и муниципальных нужд</v>
      </c>
      <c r="B491" s="60" t="s">
        <v>72</v>
      </c>
      <c r="C491" s="60" t="s">
        <v>70</v>
      </c>
      <c r="D491" s="149" t="str">
        <f>'пр.4 вед.стр.'!E1381</f>
        <v>К6 0 00 74170</v>
      </c>
      <c r="E491" s="149" t="str">
        <f>'пр.4 вед.стр.'!F1381</f>
        <v>240</v>
      </c>
      <c r="F491" s="146">
        <f>F492</f>
        <v>803.3</v>
      </c>
      <c r="N491" s="102"/>
      <c r="O491" s="102"/>
      <c r="P491" s="102"/>
      <c r="Q491" s="102"/>
      <c r="R491" s="105"/>
    </row>
    <row r="492" spans="1:18" s="30" customFormat="1" ht="12.75">
      <c r="A492" s="28" t="str">
        <f>'пр.4 вед.стр.'!A1382</f>
        <v>Прочая закупка товаров, работ и услуг для обеспечения государственных (муниципальных) нужд</v>
      </c>
      <c r="B492" s="60" t="s">
        <v>72</v>
      </c>
      <c r="C492" s="60" t="s">
        <v>70</v>
      </c>
      <c r="D492" s="149" t="str">
        <f>'пр.4 вед.стр.'!E1382</f>
        <v>К6 0 00 74170</v>
      </c>
      <c r="E492" s="149" t="str">
        <f>'пр.4 вед.стр.'!F1382</f>
        <v>244</v>
      </c>
      <c r="F492" s="146">
        <f>'пр.4 вед.стр.'!G1382</f>
        <v>803.3</v>
      </c>
      <c r="N492" s="102"/>
      <c r="O492" s="102"/>
      <c r="P492" s="102"/>
      <c r="Q492" s="102"/>
      <c r="R492" s="105"/>
    </row>
    <row r="493" spans="1:18" s="30" customFormat="1" ht="16.5" customHeight="1">
      <c r="A493" s="28" t="str">
        <f>'пр.4 вед.стр.'!A1383</f>
        <v>Капитальные вложения в объекты государственной (муниципальной) собственности</v>
      </c>
      <c r="B493" s="60" t="s">
        <v>72</v>
      </c>
      <c r="C493" s="60" t="s">
        <v>70</v>
      </c>
      <c r="D493" s="149" t="str">
        <f>'пр.4 вед.стр.'!E1383</f>
        <v>К6 0 00 74170</v>
      </c>
      <c r="E493" s="149" t="str">
        <f>'пр.4 вед.стр.'!F1383</f>
        <v>400</v>
      </c>
      <c r="F493" s="146">
        <f>F494</f>
        <v>1276.7</v>
      </c>
      <c r="N493" s="102"/>
      <c r="O493" s="102"/>
      <c r="P493" s="102"/>
      <c r="Q493" s="102"/>
      <c r="R493" s="105"/>
    </row>
    <row r="494" spans="1:18" s="30" customFormat="1" ht="12.75">
      <c r="A494" s="28" t="str">
        <f>'пр.4 вед.стр.'!A1384</f>
        <v>Бюджетные инвестиции</v>
      </c>
      <c r="B494" s="60" t="s">
        <v>72</v>
      </c>
      <c r="C494" s="60" t="s">
        <v>70</v>
      </c>
      <c r="D494" s="149" t="str">
        <f>'пр.4 вед.стр.'!E1384</f>
        <v>К6 0 00 74170</v>
      </c>
      <c r="E494" s="149" t="str">
        <f>'пр.4 вед.стр.'!F1384</f>
        <v>410</v>
      </c>
      <c r="F494" s="146">
        <f>F495</f>
        <v>1276.7</v>
      </c>
      <c r="N494" s="102"/>
      <c r="O494" s="102"/>
      <c r="P494" s="102"/>
      <c r="Q494" s="102"/>
      <c r="R494" s="105"/>
    </row>
    <row r="495" spans="1:18" s="30" customFormat="1" ht="25.5">
      <c r="A495" s="28" t="str">
        <f>'пр.4 вед.стр.'!A1385</f>
        <v>Бюджетные инвестиции в объекты капитального строительства государственной ( муниципальной собственности)</v>
      </c>
      <c r="B495" s="60" t="s">
        <v>72</v>
      </c>
      <c r="C495" s="60" t="s">
        <v>70</v>
      </c>
      <c r="D495" s="149" t="str">
        <f>'пр.4 вед.стр.'!E1385</f>
        <v>К6 0 00 74170</v>
      </c>
      <c r="E495" s="149" t="str">
        <f>'пр.4 вед.стр.'!F1385</f>
        <v>414</v>
      </c>
      <c r="F495" s="146">
        <f>'пр.4 вед.стр.'!G1385</f>
        <v>1276.7</v>
      </c>
      <c r="N495" s="102"/>
      <c r="O495" s="102"/>
      <c r="P495" s="102"/>
      <c r="Q495" s="102"/>
      <c r="R495" s="105"/>
    </row>
    <row r="496" spans="1:18" s="30" customFormat="1" ht="12.75">
      <c r="A496" s="61" t="s">
        <v>604</v>
      </c>
      <c r="B496" s="62" t="s">
        <v>76</v>
      </c>
      <c r="C496" s="62" t="s">
        <v>36</v>
      </c>
      <c r="D496" s="76"/>
      <c r="E496" s="63"/>
      <c r="F496" s="144">
        <f>F497</f>
        <v>2650</v>
      </c>
      <c r="N496" s="102"/>
      <c r="O496" s="102"/>
      <c r="P496" s="102"/>
      <c r="Q496" s="102"/>
      <c r="R496" s="105"/>
    </row>
    <row r="497" spans="1:18" s="30" customFormat="1" ht="12.75">
      <c r="A497" s="61" t="s">
        <v>483</v>
      </c>
      <c r="B497" s="62" t="s">
        <v>76</v>
      </c>
      <c r="C497" s="62" t="s">
        <v>72</v>
      </c>
      <c r="D497" s="76"/>
      <c r="E497" s="63"/>
      <c r="F497" s="144">
        <f>F498+F517</f>
        <v>2650</v>
      </c>
      <c r="N497" s="102"/>
      <c r="O497" s="102"/>
      <c r="P497" s="102"/>
      <c r="Q497" s="102"/>
      <c r="R497" s="105"/>
    </row>
    <row r="498" spans="1:18" s="30" customFormat="1" ht="28.5" customHeight="1">
      <c r="A498" s="28" t="str">
        <f>'пр.4 вед.стр.'!A1389</f>
        <v>Муниципальная программа "Развитие системы обращения с отходами производства и потребления на территории муниципального образования "Сусуманский городской округ" на 2017- 2018 годы"</v>
      </c>
      <c r="B498" s="60" t="s">
        <v>76</v>
      </c>
      <c r="C498" s="60" t="s">
        <v>72</v>
      </c>
      <c r="D498" s="161" t="s">
        <v>485</v>
      </c>
      <c r="E498" s="59"/>
      <c r="F498" s="145">
        <f>F499+F508</f>
        <v>2650</v>
      </c>
      <c r="N498" s="105"/>
      <c r="O498" s="105"/>
      <c r="P498" s="105"/>
      <c r="Q498" s="105"/>
      <c r="R498" s="105"/>
    </row>
    <row r="499" spans="1:18" s="30" customFormat="1" ht="25.5">
      <c r="A499" s="28" t="str">
        <f>'пр.4 вед.стр.'!A1390</f>
        <v>Основное мероприятие "Разработка проектно- сметной документации и выполнение инженерных изысканий по объекту: "Межпоселенческий полигон ТКО в городе Сусуман"</v>
      </c>
      <c r="B499" s="60" t="s">
        <v>76</v>
      </c>
      <c r="C499" s="60" t="s">
        <v>72</v>
      </c>
      <c r="D499" s="161" t="s">
        <v>486</v>
      </c>
      <c r="E499" s="59"/>
      <c r="F499" s="145">
        <f>F500+F504</f>
        <v>2100</v>
      </c>
      <c r="N499" s="105"/>
      <c r="O499" s="105"/>
      <c r="P499" s="105"/>
      <c r="Q499" s="105"/>
      <c r="R499" s="105"/>
    </row>
    <row r="500" spans="1:18" s="30" customFormat="1" ht="36" customHeight="1">
      <c r="A500" s="28" t="str">
        <f>'пр.4 вед.стр.'!A1391</f>
        <v>Разработка проектно-сметной документации и выполнение инженерных изысканий по объекту: "Межпоселенческий полигон ТКО в городе Сусуман"</v>
      </c>
      <c r="B500" s="60" t="s">
        <v>76</v>
      </c>
      <c r="C500" s="60" t="s">
        <v>72</v>
      </c>
      <c r="D500" s="161" t="s">
        <v>487</v>
      </c>
      <c r="E500" s="59"/>
      <c r="F500" s="145">
        <f>F501</f>
        <v>1900</v>
      </c>
      <c r="N500" s="105"/>
      <c r="O500" s="105"/>
      <c r="P500" s="105"/>
      <c r="Q500" s="105"/>
      <c r="R500" s="105"/>
    </row>
    <row r="501" spans="1:18" s="30" customFormat="1" ht="12.75">
      <c r="A501" s="28" t="s">
        <v>610</v>
      </c>
      <c r="B501" s="60" t="s">
        <v>76</v>
      </c>
      <c r="C501" s="60" t="s">
        <v>72</v>
      </c>
      <c r="D501" s="161" t="s">
        <v>487</v>
      </c>
      <c r="E501" s="59" t="s">
        <v>104</v>
      </c>
      <c r="F501" s="145">
        <f>F502</f>
        <v>1900</v>
      </c>
      <c r="N501" s="102"/>
      <c r="O501" s="102"/>
      <c r="P501" s="102"/>
      <c r="Q501" s="102"/>
      <c r="R501" s="105"/>
    </row>
    <row r="502" spans="1:18" s="30" customFormat="1" ht="16.5" customHeight="1">
      <c r="A502" s="28" t="s">
        <v>98</v>
      </c>
      <c r="B502" s="60" t="s">
        <v>76</v>
      </c>
      <c r="C502" s="60" t="s">
        <v>72</v>
      </c>
      <c r="D502" s="161" t="s">
        <v>487</v>
      </c>
      <c r="E502" s="59" t="s">
        <v>99</v>
      </c>
      <c r="F502" s="145">
        <f>F503</f>
        <v>1900</v>
      </c>
      <c r="N502" s="102"/>
      <c r="O502" s="102"/>
      <c r="P502" s="102"/>
      <c r="Q502" s="102"/>
      <c r="R502" s="105"/>
    </row>
    <row r="503" spans="1:18" s="30" customFormat="1" ht="13.5" customHeight="1">
      <c r="A503" s="28" t="s">
        <v>100</v>
      </c>
      <c r="B503" s="60" t="s">
        <v>76</v>
      </c>
      <c r="C503" s="60" t="s">
        <v>72</v>
      </c>
      <c r="D503" s="161" t="s">
        <v>487</v>
      </c>
      <c r="E503" s="59" t="s">
        <v>101</v>
      </c>
      <c r="F503" s="145">
        <f>'пр.4 вед.стр.'!G1394</f>
        <v>1900</v>
      </c>
      <c r="N503" s="102"/>
      <c r="O503" s="102"/>
      <c r="P503" s="102"/>
      <c r="Q503" s="102"/>
      <c r="R503" s="105"/>
    </row>
    <row r="504" spans="1:18" s="30" customFormat="1" ht="38.25" customHeight="1">
      <c r="A504" s="28" t="str">
        <f>'пр.4 вед.стр.'!A1395</f>
        <v>Разработка проектно-сметной документации и выполнение инженерных изысканий по объекту: "Межпоселенческий полигон ТКО в городе Сусуман" за счет средств местного бюджета</v>
      </c>
      <c r="B504" s="60" t="s">
        <v>76</v>
      </c>
      <c r="C504" s="60" t="s">
        <v>72</v>
      </c>
      <c r="D504" s="161" t="s">
        <v>488</v>
      </c>
      <c r="E504" s="59"/>
      <c r="F504" s="145">
        <f>F505</f>
        <v>200</v>
      </c>
      <c r="N504" s="105"/>
      <c r="O504" s="105"/>
      <c r="P504" s="105"/>
      <c r="Q504" s="105"/>
      <c r="R504" s="105"/>
    </row>
    <row r="505" spans="1:18" s="30" customFormat="1" ht="12.75">
      <c r="A505" s="28" t="s">
        <v>610</v>
      </c>
      <c r="B505" s="60" t="s">
        <v>76</v>
      </c>
      <c r="C505" s="60" t="s">
        <v>72</v>
      </c>
      <c r="D505" s="161" t="s">
        <v>488</v>
      </c>
      <c r="E505" s="59" t="s">
        <v>104</v>
      </c>
      <c r="F505" s="145">
        <f>F506</f>
        <v>200</v>
      </c>
      <c r="N505" s="102"/>
      <c r="O505" s="102"/>
      <c r="P505" s="102"/>
      <c r="Q505" s="102"/>
      <c r="R505" s="105"/>
    </row>
    <row r="506" spans="1:18" s="30" customFormat="1" ht="16.5" customHeight="1">
      <c r="A506" s="28" t="s">
        <v>98</v>
      </c>
      <c r="B506" s="60" t="s">
        <v>76</v>
      </c>
      <c r="C506" s="60" t="s">
        <v>72</v>
      </c>
      <c r="D506" s="161" t="s">
        <v>488</v>
      </c>
      <c r="E506" s="59" t="s">
        <v>99</v>
      </c>
      <c r="F506" s="145">
        <f>F507</f>
        <v>200</v>
      </c>
      <c r="N506" s="102"/>
      <c r="O506" s="102"/>
      <c r="P506" s="102"/>
      <c r="Q506" s="102"/>
      <c r="R506" s="105"/>
    </row>
    <row r="507" spans="1:18" s="30" customFormat="1" ht="12.75" customHeight="1">
      <c r="A507" s="28" t="s">
        <v>100</v>
      </c>
      <c r="B507" s="60" t="s">
        <v>76</v>
      </c>
      <c r="C507" s="60" t="s">
        <v>72</v>
      </c>
      <c r="D507" s="161" t="s">
        <v>488</v>
      </c>
      <c r="E507" s="59" t="s">
        <v>101</v>
      </c>
      <c r="F507" s="145">
        <f>'пр.4 вед.стр.'!G1398</f>
        <v>200</v>
      </c>
      <c r="N507" s="102"/>
      <c r="O507" s="102"/>
      <c r="P507" s="102"/>
      <c r="Q507" s="102"/>
      <c r="R507" s="105"/>
    </row>
    <row r="508" spans="1:18" s="30" customFormat="1" ht="25.5">
      <c r="A508" s="28" t="str">
        <f>'пр.4 вед.стр.'!A455</f>
        <v>Основное мероприятие "Приобретение оборудования для термического уничтожения различного типа (вида) отходов (утилизации отходов) для Сусуманского городского округа"</v>
      </c>
      <c r="B508" s="60" t="s">
        <v>76</v>
      </c>
      <c r="C508" s="60" t="s">
        <v>72</v>
      </c>
      <c r="D508" s="161" t="s">
        <v>490</v>
      </c>
      <c r="E508" s="59"/>
      <c r="F508" s="145">
        <f>F509+F513</f>
        <v>550</v>
      </c>
      <c r="N508" s="102"/>
      <c r="O508" s="102"/>
      <c r="P508" s="102"/>
      <c r="Q508" s="102"/>
      <c r="R508" s="105"/>
    </row>
    <row r="509" spans="1:18" s="30" customFormat="1" ht="24" customHeight="1">
      <c r="A509" s="28" t="str">
        <f>'пр.4 вед.стр.'!A456</f>
        <v>Приобретение оборудования для термического уничтожения различного типа (вида) отходов (утилизации отходов) для Сусуманского городского округа </v>
      </c>
      <c r="B509" s="60" t="s">
        <v>76</v>
      </c>
      <c r="C509" s="60" t="s">
        <v>72</v>
      </c>
      <c r="D509" s="161" t="s">
        <v>623</v>
      </c>
      <c r="E509" s="59"/>
      <c r="F509" s="145">
        <f>F510</f>
        <v>495</v>
      </c>
      <c r="N509" s="105"/>
      <c r="O509" s="105"/>
      <c r="P509" s="105"/>
      <c r="Q509" s="105"/>
      <c r="R509" s="105"/>
    </row>
    <row r="510" spans="1:18" s="30" customFormat="1" ht="12.75">
      <c r="A510" s="28" t="s">
        <v>610</v>
      </c>
      <c r="B510" s="60" t="s">
        <v>76</v>
      </c>
      <c r="C510" s="60" t="s">
        <v>72</v>
      </c>
      <c r="D510" s="161" t="s">
        <v>623</v>
      </c>
      <c r="E510" s="59" t="s">
        <v>104</v>
      </c>
      <c r="F510" s="145">
        <f>F511</f>
        <v>495</v>
      </c>
      <c r="N510" s="102"/>
      <c r="O510" s="102"/>
      <c r="P510" s="102"/>
      <c r="Q510" s="102"/>
      <c r="R510" s="105"/>
    </row>
    <row r="511" spans="1:18" s="30" customFormat="1" ht="14.25" customHeight="1">
      <c r="A511" s="28" t="s">
        <v>98</v>
      </c>
      <c r="B511" s="60" t="s">
        <v>76</v>
      </c>
      <c r="C511" s="60" t="s">
        <v>72</v>
      </c>
      <c r="D511" s="161" t="s">
        <v>623</v>
      </c>
      <c r="E511" s="59" t="s">
        <v>99</v>
      </c>
      <c r="F511" s="145">
        <f>F512</f>
        <v>495</v>
      </c>
      <c r="N511" s="102"/>
      <c r="O511" s="102"/>
      <c r="P511" s="102"/>
      <c r="Q511" s="102"/>
      <c r="R511" s="105"/>
    </row>
    <row r="512" spans="1:18" s="30" customFormat="1" ht="14.25" customHeight="1">
      <c r="A512" s="28" t="s">
        <v>100</v>
      </c>
      <c r="B512" s="60" t="s">
        <v>76</v>
      </c>
      <c r="C512" s="60" t="s">
        <v>72</v>
      </c>
      <c r="D512" s="161" t="s">
        <v>623</v>
      </c>
      <c r="E512" s="59" t="s">
        <v>101</v>
      </c>
      <c r="F512" s="145">
        <f>'пр.4 вед.стр.'!G459</f>
        <v>495</v>
      </c>
      <c r="N512" s="102"/>
      <c r="O512" s="102"/>
      <c r="P512" s="102"/>
      <c r="Q512" s="102"/>
      <c r="R512" s="105"/>
    </row>
    <row r="513" spans="1:18" s="30" customFormat="1" ht="29.25" customHeight="1">
      <c r="A513" s="28" t="str">
        <f>'пр.4 вед.стр.'!A460</f>
        <v>Приобретение оборудования для термического уничтожения различного типа (вида) отходов (утилизации отходов) для Сусуманского городского округа за счет средств местного бюджета</v>
      </c>
      <c r="B513" s="60" t="s">
        <v>76</v>
      </c>
      <c r="C513" s="60" t="s">
        <v>72</v>
      </c>
      <c r="D513" s="161" t="s">
        <v>624</v>
      </c>
      <c r="E513" s="59"/>
      <c r="F513" s="145">
        <f>F514</f>
        <v>55</v>
      </c>
      <c r="N513" s="105"/>
      <c r="O513" s="105"/>
      <c r="P513" s="105"/>
      <c r="Q513" s="105"/>
      <c r="R513" s="105"/>
    </row>
    <row r="514" spans="1:18" s="30" customFormat="1" ht="12.75">
      <c r="A514" s="28" t="s">
        <v>610</v>
      </c>
      <c r="B514" s="60" t="s">
        <v>76</v>
      </c>
      <c r="C514" s="60" t="s">
        <v>72</v>
      </c>
      <c r="D514" s="161" t="s">
        <v>624</v>
      </c>
      <c r="E514" s="59" t="s">
        <v>104</v>
      </c>
      <c r="F514" s="145">
        <f>F515</f>
        <v>55</v>
      </c>
      <c r="N514" s="102"/>
      <c r="O514" s="102"/>
      <c r="P514" s="102"/>
      <c r="Q514" s="102"/>
      <c r="R514" s="105"/>
    </row>
    <row r="515" spans="1:18" s="30" customFormat="1" ht="15" customHeight="1">
      <c r="A515" s="28" t="s">
        <v>98</v>
      </c>
      <c r="B515" s="60" t="s">
        <v>76</v>
      </c>
      <c r="C515" s="60" t="s">
        <v>72</v>
      </c>
      <c r="D515" s="161" t="s">
        <v>624</v>
      </c>
      <c r="E515" s="59" t="s">
        <v>99</v>
      </c>
      <c r="F515" s="145">
        <f>F516</f>
        <v>55</v>
      </c>
      <c r="N515" s="102"/>
      <c r="O515" s="102"/>
      <c r="P515" s="102"/>
      <c r="Q515" s="102"/>
      <c r="R515" s="105"/>
    </row>
    <row r="516" spans="1:18" s="30" customFormat="1" ht="17.25" customHeight="1">
      <c r="A516" s="28" t="s">
        <v>100</v>
      </c>
      <c r="B516" s="60" t="s">
        <v>76</v>
      </c>
      <c r="C516" s="60" t="s">
        <v>72</v>
      </c>
      <c r="D516" s="161" t="s">
        <v>624</v>
      </c>
      <c r="E516" s="59" t="s">
        <v>101</v>
      </c>
      <c r="F516" s="145">
        <f>'пр.4 вед.стр.'!G463</f>
        <v>55</v>
      </c>
      <c r="N516" s="102"/>
      <c r="O516" s="102"/>
      <c r="P516" s="102"/>
      <c r="Q516" s="102"/>
      <c r="R516" s="105"/>
    </row>
    <row r="517" spans="1:18" s="30" customFormat="1" ht="30" customHeight="1">
      <c r="A517" s="28" t="str">
        <f>'пр.4 вед.стр.'!A1399</f>
        <v>Муниципальная программа "Экологическая безопасность и охрана окружающей среды муниципального образования "Сусуманский городской округ" на 2017 год"</v>
      </c>
      <c r="B517" s="60" t="s">
        <v>76</v>
      </c>
      <c r="C517" s="60" t="s">
        <v>72</v>
      </c>
      <c r="D517" s="166" t="str">
        <f>'пр.4 вед.стр.'!E1399</f>
        <v>7W 0 00 00000</v>
      </c>
      <c r="E517" s="149"/>
      <c r="F517" s="149">
        <f>F518</f>
        <v>0</v>
      </c>
      <c r="N517" s="102"/>
      <c r="O517" s="102"/>
      <c r="P517" s="102"/>
      <c r="Q517" s="102"/>
      <c r="R517" s="105"/>
    </row>
    <row r="518" spans="1:18" s="30" customFormat="1" ht="28.5" customHeight="1">
      <c r="A518" s="28" t="str">
        <f>'пр.4 вед.стр.'!A1400</f>
        <v>Основное мероприятие "Снос ветхого, заброшенного жилья на территории Сусуманского городского округа"</v>
      </c>
      <c r="B518" s="60" t="s">
        <v>76</v>
      </c>
      <c r="C518" s="60" t="s">
        <v>72</v>
      </c>
      <c r="D518" s="166" t="str">
        <f>'пр.4 вед.стр.'!E1400</f>
        <v>7W 0 01 00000</v>
      </c>
      <c r="E518" s="149"/>
      <c r="F518" s="149">
        <f>F519+F523</f>
        <v>0</v>
      </c>
      <c r="N518" s="102"/>
      <c r="O518" s="102"/>
      <c r="P518" s="102"/>
      <c r="Q518" s="102"/>
      <c r="R518" s="105"/>
    </row>
    <row r="519" spans="1:18" s="30" customFormat="1" ht="47.25" customHeight="1">
      <c r="A519" s="28" t="str">
        <f>'пр.4 вед.стр.'!A1401</f>
        <v>Финансирование мероприятия "Снос ветхого, заброшенного жилья в действующих поселках и полностью заброшенных поселках, в том числе вдоль автомобильных дорог, расположенных на территории  Сусуманского городского округа" за счет средств областного бюджета</v>
      </c>
      <c r="B519" s="60" t="s">
        <v>76</v>
      </c>
      <c r="C519" s="60" t="s">
        <v>72</v>
      </c>
      <c r="D519" s="166" t="str">
        <f>'пр.4 вед.стр.'!E1401</f>
        <v>7W 0 01 73520</v>
      </c>
      <c r="E519" s="149"/>
      <c r="F519" s="149">
        <f>F520</f>
        <v>0</v>
      </c>
      <c r="N519" s="102"/>
      <c r="O519" s="102"/>
      <c r="P519" s="102"/>
      <c r="Q519" s="102"/>
      <c r="R519" s="105"/>
    </row>
    <row r="520" spans="1:18" s="30" customFormat="1" ht="17.25" customHeight="1">
      <c r="A520" s="28" t="str">
        <f>'пр.4 вед.стр.'!A1402</f>
        <v>Закупка товаров, работ и услуг для обеспечения государственных (муниципальных) нужд</v>
      </c>
      <c r="B520" s="60" t="s">
        <v>76</v>
      </c>
      <c r="C520" s="60" t="s">
        <v>72</v>
      </c>
      <c r="D520" s="166" t="str">
        <f>'пр.4 вед.стр.'!E1402</f>
        <v>7W 0 01 73520</v>
      </c>
      <c r="E520" s="149" t="str">
        <f>'пр.4 вед.стр.'!F1402</f>
        <v>200</v>
      </c>
      <c r="F520" s="149">
        <f>F521</f>
        <v>0</v>
      </c>
      <c r="N520" s="102"/>
      <c r="O520" s="102"/>
      <c r="P520" s="102"/>
      <c r="Q520" s="102"/>
      <c r="R520" s="105"/>
    </row>
    <row r="521" spans="1:18" s="30" customFormat="1" ht="17.25" customHeight="1">
      <c r="A521" s="28" t="str">
        <f>'пр.4 вед.стр.'!A1403</f>
        <v>Иные закупки товаров, работ и услуг для обеспечения государственных и муниципальных нужд</v>
      </c>
      <c r="B521" s="60" t="s">
        <v>76</v>
      </c>
      <c r="C521" s="60" t="s">
        <v>72</v>
      </c>
      <c r="D521" s="166" t="str">
        <f>'пр.4 вед.стр.'!E1403</f>
        <v>7W 0 01 73520</v>
      </c>
      <c r="E521" s="149" t="str">
        <f>'пр.4 вед.стр.'!F1403</f>
        <v>240</v>
      </c>
      <c r="F521" s="149">
        <f>F522</f>
        <v>0</v>
      </c>
      <c r="N521" s="102"/>
      <c r="O521" s="102"/>
      <c r="P521" s="102"/>
      <c r="Q521" s="102"/>
      <c r="R521" s="105"/>
    </row>
    <row r="522" spans="1:18" s="30" customFormat="1" ht="17.25" customHeight="1">
      <c r="A522" s="28" t="str">
        <f>'пр.4 вед.стр.'!A1404</f>
        <v>Прочая закупка товаров, работ и услуг для обеспечения государственных (муниципальных) нужд</v>
      </c>
      <c r="B522" s="60" t="s">
        <v>76</v>
      </c>
      <c r="C522" s="60" t="s">
        <v>72</v>
      </c>
      <c r="D522" s="166" t="str">
        <f>'пр.4 вед.стр.'!E1404</f>
        <v>7W 0 01 73520</v>
      </c>
      <c r="E522" s="149" t="str">
        <f>'пр.4 вед.стр.'!F1404</f>
        <v>244</v>
      </c>
      <c r="F522" s="149">
        <f>'пр.4 вед.стр.'!G1404</f>
        <v>0</v>
      </c>
      <c r="N522" s="102"/>
      <c r="O522" s="102"/>
      <c r="P522" s="102"/>
      <c r="Q522" s="102"/>
      <c r="R522" s="105"/>
    </row>
    <row r="523" spans="1:18" s="30" customFormat="1" ht="40.5" customHeight="1">
      <c r="A523" s="28" t="str">
        <f>'пр.4 вед.стр.'!A1405</f>
        <v>Софинансирование мероприятия "Снос ветхого, заброшенного жилья в действующих поселках и полностью заброшенных поселках, в том числе вдоль автомобильных дорог, расположенных на территории  Сусуманского городского округа" </v>
      </c>
      <c r="B523" s="60" t="s">
        <v>76</v>
      </c>
      <c r="C523" s="60" t="s">
        <v>72</v>
      </c>
      <c r="D523" s="166" t="str">
        <f>'пр.4 вед.стр.'!E1405</f>
        <v>7W 0 01 S3520</v>
      </c>
      <c r="E523" s="149"/>
      <c r="F523" s="149">
        <f>F524</f>
        <v>0</v>
      </c>
      <c r="N523" s="102"/>
      <c r="O523" s="102"/>
      <c r="P523" s="102"/>
      <c r="Q523" s="102"/>
      <c r="R523" s="105"/>
    </row>
    <row r="524" spans="1:18" s="30" customFormat="1" ht="17.25" customHeight="1">
      <c r="A524" s="28" t="str">
        <f>'пр.4 вед.стр.'!A1406</f>
        <v>Закупка товаров, работ и услуг для обеспечения государственных (муниципальных) нужд</v>
      </c>
      <c r="B524" s="60" t="s">
        <v>76</v>
      </c>
      <c r="C524" s="60" t="s">
        <v>72</v>
      </c>
      <c r="D524" s="166" t="str">
        <f>'пр.4 вед.стр.'!E1406</f>
        <v>7W 0 01 S3520</v>
      </c>
      <c r="E524" s="149" t="str">
        <f>'пр.4 вед.стр.'!F1406</f>
        <v>200</v>
      </c>
      <c r="F524" s="149">
        <f>F525</f>
        <v>0</v>
      </c>
      <c r="N524" s="102"/>
      <c r="O524" s="102"/>
      <c r="P524" s="102"/>
      <c r="Q524" s="102"/>
      <c r="R524" s="105"/>
    </row>
    <row r="525" spans="1:18" s="30" customFormat="1" ht="17.25" customHeight="1">
      <c r="A525" s="28" t="str">
        <f>'пр.4 вед.стр.'!A1407</f>
        <v>Иные закупки товаров, работ и услуг для обеспечения государственных и муниципальных нужд</v>
      </c>
      <c r="B525" s="60" t="s">
        <v>76</v>
      </c>
      <c r="C525" s="60" t="s">
        <v>72</v>
      </c>
      <c r="D525" s="166" t="str">
        <f>'пр.4 вед.стр.'!E1407</f>
        <v>7W 0 01 S3520</v>
      </c>
      <c r="E525" s="149" t="str">
        <f>'пр.4 вед.стр.'!F1407</f>
        <v>240</v>
      </c>
      <c r="F525" s="149">
        <f>F526</f>
        <v>0</v>
      </c>
      <c r="N525" s="102"/>
      <c r="O525" s="102"/>
      <c r="P525" s="102"/>
      <c r="Q525" s="102"/>
      <c r="R525" s="105"/>
    </row>
    <row r="526" spans="1:18" s="30" customFormat="1" ht="17.25" customHeight="1">
      <c r="A526" s="28" t="str">
        <f>'пр.4 вед.стр.'!A1408</f>
        <v>Прочая закупка товаров, работ и услуг для обеспечения государственных (муниципальных) нужд</v>
      </c>
      <c r="B526" s="60" t="s">
        <v>76</v>
      </c>
      <c r="C526" s="60" t="s">
        <v>72</v>
      </c>
      <c r="D526" s="166" t="str">
        <f>'пр.4 вед.стр.'!E1408</f>
        <v>7W 0 01 S3520</v>
      </c>
      <c r="E526" s="149" t="str">
        <f>'пр.4 вед.стр.'!F1408</f>
        <v>244</v>
      </c>
      <c r="F526" s="149">
        <f>'пр.4 вед.стр.'!G1408</f>
        <v>0</v>
      </c>
      <c r="N526" s="102"/>
      <c r="O526" s="102"/>
      <c r="P526" s="102"/>
      <c r="Q526" s="102"/>
      <c r="R526" s="105"/>
    </row>
    <row r="527" spans="1:18" s="30" customFormat="1" ht="17.25" customHeight="1">
      <c r="A527" s="61" t="s">
        <v>8</v>
      </c>
      <c r="B527" s="63" t="s">
        <v>69</v>
      </c>
      <c r="C527" s="63" t="s">
        <v>36</v>
      </c>
      <c r="D527" s="59"/>
      <c r="E527" s="59"/>
      <c r="F527" s="64">
        <f>F528+F606+F724+F794+F881</f>
        <v>349687.5</v>
      </c>
      <c r="N527" s="102"/>
      <c r="O527" s="102"/>
      <c r="P527" s="102"/>
      <c r="Q527" s="102"/>
      <c r="R527" s="105"/>
    </row>
    <row r="528" spans="1:18" s="30" customFormat="1" ht="17.25" customHeight="1">
      <c r="A528" s="61" t="s">
        <v>9</v>
      </c>
      <c r="B528" s="63" t="s">
        <v>69</v>
      </c>
      <c r="C528" s="63" t="s">
        <v>66</v>
      </c>
      <c r="D528" s="63"/>
      <c r="E528" s="63"/>
      <c r="F528" s="64">
        <f>F547+F553+F559+F589+F599+F529+F577+F583</f>
        <v>78054.00000000001</v>
      </c>
      <c r="N528" s="102"/>
      <c r="O528" s="102"/>
      <c r="P528" s="102"/>
      <c r="Q528" s="102"/>
      <c r="R528" s="105"/>
    </row>
    <row r="529" spans="1:18" s="30" customFormat="1" ht="18" customHeight="1">
      <c r="A529" s="126" t="s">
        <v>444</v>
      </c>
      <c r="B529" s="59" t="s">
        <v>69</v>
      </c>
      <c r="C529" s="59" t="s">
        <v>66</v>
      </c>
      <c r="D529" s="161" t="s">
        <v>191</v>
      </c>
      <c r="E529" s="59"/>
      <c r="F529" s="58">
        <f>F530</f>
        <v>60531.200000000004</v>
      </c>
      <c r="N529" s="102"/>
      <c r="O529" s="102"/>
      <c r="P529" s="102"/>
      <c r="Q529" s="102"/>
      <c r="R529" s="105"/>
    </row>
    <row r="530" spans="1:18" s="30" customFormat="1" ht="17.25" customHeight="1">
      <c r="A530" s="28" t="s">
        <v>791</v>
      </c>
      <c r="B530" s="59" t="s">
        <v>69</v>
      </c>
      <c r="C530" s="59" t="s">
        <v>66</v>
      </c>
      <c r="D530" s="59" t="s">
        <v>615</v>
      </c>
      <c r="E530" s="59"/>
      <c r="F530" s="58">
        <f>F531+F535+F539+F543</f>
        <v>60531.200000000004</v>
      </c>
      <c r="N530" s="102"/>
      <c r="O530" s="102"/>
      <c r="P530" s="102"/>
      <c r="Q530" s="102"/>
      <c r="R530" s="105"/>
    </row>
    <row r="531" spans="1:18" s="30" customFormat="1" ht="44.25" customHeight="1">
      <c r="A531" s="28" t="s">
        <v>503</v>
      </c>
      <c r="B531" s="59" t="s">
        <v>69</v>
      </c>
      <c r="C531" s="59" t="s">
        <v>66</v>
      </c>
      <c r="D531" s="59" t="s">
        <v>616</v>
      </c>
      <c r="E531" s="59"/>
      <c r="F531" s="58">
        <f>F532</f>
        <v>236.39999999999998</v>
      </c>
      <c r="N531" s="102"/>
      <c r="O531" s="102"/>
      <c r="P531" s="102"/>
      <c r="Q531" s="102"/>
      <c r="R531" s="105"/>
    </row>
    <row r="532" spans="1:18" s="30" customFormat="1" ht="33.75" customHeight="1">
      <c r="A532" s="28" t="s">
        <v>105</v>
      </c>
      <c r="B532" s="59" t="s">
        <v>69</v>
      </c>
      <c r="C532" s="59" t="s">
        <v>66</v>
      </c>
      <c r="D532" s="59" t="s">
        <v>616</v>
      </c>
      <c r="E532" s="59" t="s">
        <v>106</v>
      </c>
      <c r="F532" s="58">
        <f>F533</f>
        <v>236.39999999999998</v>
      </c>
      <c r="N532" s="102"/>
      <c r="O532" s="102"/>
      <c r="P532" s="102"/>
      <c r="Q532" s="102"/>
      <c r="R532" s="105"/>
    </row>
    <row r="533" spans="1:18" s="30" customFormat="1" ht="17.25" customHeight="1">
      <c r="A533" s="28" t="s">
        <v>111</v>
      </c>
      <c r="B533" s="59" t="s">
        <v>69</v>
      </c>
      <c r="C533" s="59" t="s">
        <v>66</v>
      </c>
      <c r="D533" s="59" t="s">
        <v>616</v>
      </c>
      <c r="E533" s="59" t="s">
        <v>112</v>
      </c>
      <c r="F533" s="58">
        <f>F534</f>
        <v>236.39999999999998</v>
      </c>
      <c r="N533" s="102"/>
      <c r="O533" s="102"/>
      <c r="P533" s="102"/>
      <c r="Q533" s="102"/>
      <c r="R533" s="105"/>
    </row>
    <row r="534" spans="1:18" s="30" customFormat="1" ht="30" customHeight="1">
      <c r="A534" s="28" t="s">
        <v>113</v>
      </c>
      <c r="B534" s="59" t="s">
        <v>69</v>
      </c>
      <c r="C534" s="59" t="s">
        <v>66</v>
      </c>
      <c r="D534" s="59" t="s">
        <v>616</v>
      </c>
      <c r="E534" s="59" t="s">
        <v>114</v>
      </c>
      <c r="F534" s="58">
        <f>'пр.4 вед.стр.'!G495</f>
        <v>236.39999999999998</v>
      </c>
      <c r="N534" s="102"/>
      <c r="O534" s="102"/>
      <c r="P534" s="102"/>
      <c r="Q534" s="102"/>
      <c r="R534" s="105"/>
    </row>
    <row r="535" spans="1:18" s="30" customFormat="1" ht="41.25" customHeight="1">
      <c r="A535" s="28" t="s">
        <v>504</v>
      </c>
      <c r="B535" s="59" t="s">
        <v>69</v>
      </c>
      <c r="C535" s="59" t="s">
        <v>66</v>
      </c>
      <c r="D535" s="59" t="s">
        <v>617</v>
      </c>
      <c r="E535" s="59"/>
      <c r="F535" s="58">
        <f>F536</f>
        <v>1332.6000000000001</v>
      </c>
      <c r="N535" s="102"/>
      <c r="O535" s="102"/>
      <c r="P535" s="102"/>
      <c r="Q535" s="102"/>
      <c r="R535" s="105"/>
    </row>
    <row r="536" spans="1:18" s="30" customFormat="1" ht="29.25" customHeight="1">
      <c r="A536" s="28" t="s">
        <v>105</v>
      </c>
      <c r="B536" s="59" t="s">
        <v>69</v>
      </c>
      <c r="C536" s="59" t="s">
        <v>66</v>
      </c>
      <c r="D536" s="59" t="s">
        <v>617</v>
      </c>
      <c r="E536" s="59" t="s">
        <v>106</v>
      </c>
      <c r="F536" s="58">
        <f>F537</f>
        <v>1332.6000000000001</v>
      </c>
      <c r="N536" s="102"/>
      <c r="O536" s="102"/>
      <c r="P536" s="102"/>
      <c r="Q536" s="102"/>
      <c r="R536" s="105"/>
    </row>
    <row r="537" spans="1:18" s="30" customFormat="1" ht="17.25" customHeight="1">
      <c r="A537" s="28" t="s">
        <v>111</v>
      </c>
      <c r="B537" s="59" t="s">
        <v>69</v>
      </c>
      <c r="C537" s="59" t="s">
        <v>66</v>
      </c>
      <c r="D537" s="59" t="s">
        <v>617</v>
      </c>
      <c r="E537" s="59" t="s">
        <v>112</v>
      </c>
      <c r="F537" s="58">
        <f>F538</f>
        <v>1332.6000000000001</v>
      </c>
      <c r="N537" s="102"/>
      <c r="O537" s="102"/>
      <c r="P537" s="102"/>
      <c r="Q537" s="102"/>
      <c r="R537" s="105"/>
    </row>
    <row r="538" spans="1:18" s="30" customFormat="1" ht="44.25" customHeight="1">
      <c r="A538" s="28" t="s">
        <v>113</v>
      </c>
      <c r="B538" s="59" t="s">
        <v>69</v>
      </c>
      <c r="C538" s="59" t="s">
        <v>66</v>
      </c>
      <c r="D538" s="59" t="s">
        <v>617</v>
      </c>
      <c r="E538" s="59" t="s">
        <v>114</v>
      </c>
      <c r="F538" s="58">
        <f>'пр.4 вед.стр.'!G499</f>
        <v>1332.6000000000001</v>
      </c>
      <c r="N538" s="102"/>
      <c r="O538" s="102"/>
      <c r="P538" s="102"/>
      <c r="Q538" s="102"/>
      <c r="R538" s="105"/>
    </row>
    <row r="539" spans="1:18" s="30" customFormat="1" ht="45.75" customHeight="1">
      <c r="A539" s="28" t="s">
        <v>505</v>
      </c>
      <c r="B539" s="59" t="s">
        <v>69</v>
      </c>
      <c r="C539" s="59" t="s">
        <v>66</v>
      </c>
      <c r="D539" s="59" t="s">
        <v>618</v>
      </c>
      <c r="E539" s="59"/>
      <c r="F539" s="58">
        <f>F540</f>
        <v>56152.3</v>
      </c>
      <c r="N539" s="102"/>
      <c r="O539" s="102"/>
      <c r="P539" s="102"/>
      <c r="Q539" s="102"/>
      <c r="R539" s="105"/>
    </row>
    <row r="540" spans="1:18" s="30" customFormat="1" ht="30" customHeight="1">
      <c r="A540" s="28" t="s">
        <v>105</v>
      </c>
      <c r="B540" s="59" t="s">
        <v>69</v>
      </c>
      <c r="C540" s="59" t="s">
        <v>66</v>
      </c>
      <c r="D540" s="59" t="s">
        <v>618</v>
      </c>
      <c r="E540" s="59" t="s">
        <v>106</v>
      </c>
      <c r="F540" s="58">
        <f>F541</f>
        <v>56152.3</v>
      </c>
      <c r="N540" s="102"/>
      <c r="O540" s="102"/>
      <c r="P540" s="102"/>
      <c r="Q540" s="102"/>
      <c r="R540" s="105"/>
    </row>
    <row r="541" spans="1:18" s="30" customFormat="1" ht="17.25" customHeight="1">
      <c r="A541" s="28" t="s">
        <v>111</v>
      </c>
      <c r="B541" s="59" t="s">
        <v>69</v>
      </c>
      <c r="C541" s="59" t="s">
        <v>66</v>
      </c>
      <c r="D541" s="59" t="s">
        <v>618</v>
      </c>
      <c r="E541" s="59" t="s">
        <v>112</v>
      </c>
      <c r="F541" s="58">
        <f>F542</f>
        <v>56152.3</v>
      </c>
      <c r="N541" s="102"/>
      <c r="O541" s="102"/>
      <c r="P541" s="102"/>
      <c r="Q541" s="102"/>
      <c r="R541" s="105"/>
    </row>
    <row r="542" spans="1:18" s="30" customFormat="1" ht="39.75" customHeight="1">
      <c r="A542" s="28" t="s">
        <v>113</v>
      </c>
      <c r="B542" s="59" t="s">
        <v>69</v>
      </c>
      <c r="C542" s="59" t="s">
        <v>66</v>
      </c>
      <c r="D542" s="59" t="s">
        <v>618</v>
      </c>
      <c r="E542" s="59" t="s">
        <v>114</v>
      </c>
      <c r="F542" s="58">
        <f>'пр.4 вед.стр.'!G503</f>
        <v>56152.3</v>
      </c>
      <c r="N542" s="102"/>
      <c r="O542" s="102"/>
      <c r="P542" s="102"/>
      <c r="Q542" s="102"/>
      <c r="R542" s="105"/>
    </row>
    <row r="543" spans="1:18" s="30" customFormat="1" ht="43.5" customHeight="1">
      <c r="A543" s="28" t="s">
        <v>506</v>
      </c>
      <c r="B543" s="59" t="s">
        <v>69</v>
      </c>
      <c r="C543" s="59" t="s">
        <v>66</v>
      </c>
      <c r="D543" s="59" t="s">
        <v>619</v>
      </c>
      <c r="E543" s="59"/>
      <c r="F543" s="58">
        <f>F544</f>
        <v>2809.9</v>
      </c>
      <c r="N543" s="102"/>
      <c r="O543" s="102"/>
      <c r="P543" s="102"/>
      <c r="Q543" s="102"/>
      <c r="R543" s="105"/>
    </row>
    <row r="544" spans="1:18" s="30" customFormat="1" ht="30.75" customHeight="1">
      <c r="A544" s="28" t="s">
        <v>105</v>
      </c>
      <c r="B544" s="59" t="s">
        <v>69</v>
      </c>
      <c r="C544" s="59" t="s">
        <v>66</v>
      </c>
      <c r="D544" s="59" t="s">
        <v>619</v>
      </c>
      <c r="E544" s="59" t="s">
        <v>106</v>
      </c>
      <c r="F544" s="58">
        <f>F545</f>
        <v>2809.9</v>
      </c>
      <c r="N544" s="102"/>
      <c r="O544" s="102"/>
      <c r="P544" s="102"/>
      <c r="Q544" s="102"/>
      <c r="R544" s="105"/>
    </row>
    <row r="545" spans="1:18" s="30" customFormat="1" ht="17.25" customHeight="1">
      <c r="A545" s="28" t="s">
        <v>111</v>
      </c>
      <c r="B545" s="59" t="s">
        <v>69</v>
      </c>
      <c r="C545" s="59" t="s">
        <v>66</v>
      </c>
      <c r="D545" s="59" t="s">
        <v>619</v>
      </c>
      <c r="E545" s="59" t="s">
        <v>112</v>
      </c>
      <c r="F545" s="58">
        <f>F546</f>
        <v>2809.9</v>
      </c>
      <c r="N545" s="102"/>
      <c r="O545" s="102"/>
      <c r="P545" s="102"/>
      <c r="Q545" s="102"/>
      <c r="R545" s="105"/>
    </row>
    <row r="546" spans="1:18" s="30" customFormat="1" ht="17.25" customHeight="1">
      <c r="A546" s="28" t="s">
        <v>115</v>
      </c>
      <c r="B546" s="59" t="s">
        <v>69</v>
      </c>
      <c r="C546" s="59" t="s">
        <v>66</v>
      </c>
      <c r="D546" s="59" t="s">
        <v>619</v>
      </c>
      <c r="E546" s="59" t="s">
        <v>116</v>
      </c>
      <c r="F546" s="58">
        <f>'пр.4 вед.стр.'!G507</f>
        <v>2809.9</v>
      </c>
      <c r="N546" s="102"/>
      <c r="O546" s="102"/>
      <c r="P546" s="102"/>
      <c r="Q546" s="102"/>
      <c r="R546" s="105"/>
    </row>
    <row r="547" spans="1:18" s="30" customFormat="1" ht="27" customHeight="1">
      <c r="A547" s="126" t="s">
        <v>507</v>
      </c>
      <c r="B547" s="59" t="s">
        <v>69</v>
      </c>
      <c r="C547" s="59" t="s">
        <v>66</v>
      </c>
      <c r="D547" s="161" t="s">
        <v>176</v>
      </c>
      <c r="E547" s="165"/>
      <c r="F547" s="58">
        <f>F548</f>
        <v>182.9</v>
      </c>
      <c r="N547" s="102"/>
      <c r="O547" s="102"/>
      <c r="P547" s="102"/>
      <c r="Q547" s="102"/>
      <c r="R547" s="105"/>
    </row>
    <row r="548" spans="1:18" s="30" customFormat="1" ht="28.5" customHeight="1">
      <c r="A548" s="126" t="s">
        <v>291</v>
      </c>
      <c r="B548" s="59" t="s">
        <v>69</v>
      </c>
      <c r="C548" s="59" t="s">
        <v>66</v>
      </c>
      <c r="D548" s="161" t="s">
        <v>508</v>
      </c>
      <c r="E548" s="165"/>
      <c r="F548" s="58">
        <f>F549</f>
        <v>182.9</v>
      </c>
      <c r="N548" s="102"/>
      <c r="O548" s="102"/>
      <c r="P548" s="102"/>
      <c r="Q548" s="102"/>
      <c r="R548" s="105"/>
    </row>
    <row r="549" spans="1:18" s="30" customFormat="1" ht="17.25" customHeight="1">
      <c r="A549" s="126" t="s">
        <v>175</v>
      </c>
      <c r="B549" s="59" t="s">
        <v>69</v>
      </c>
      <c r="C549" s="59" t="s">
        <v>66</v>
      </c>
      <c r="D549" s="161" t="s">
        <v>509</v>
      </c>
      <c r="E549" s="165"/>
      <c r="F549" s="58">
        <f>F550</f>
        <v>182.9</v>
      </c>
      <c r="N549" s="102"/>
      <c r="O549" s="102"/>
      <c r="P549" s="102"/>
      <c r="Q549" s="102"/>
      <c r="R549" s="105"/>
    </row>
    <row r="550" spans="1:18" s="30" customFormat="1" ht="24" customHeight="1">
      <c r="A550" s="28" t="s">
        <v>105</v>
      </c>
      <c r="B550" s="59" t="s">
        <v>69</v>
      </c>
      <c r="C550" s="59" t="s">
        <v>66</v>
      </c>
      <c r="D550" s="161" t="s">
        <v>509</v>
      </c>
      <c r="E550" s="59" t="s">
        <v>106</v>
      </c>
      <c r="F550" s="58">
        <f>F551</f>
        <v>182.9</v>
      </c>
      <c r="N550" s="102"/>
      <c r="O550" s="102"/>
      <c r="P550" s="102"/>
      <c r="Q550" s="102"/>
      <c r="R550" s="105"/>
    </row>
    <row r="551" spans="1:18" s="30" customFormat="1" ht="17.25" customHeight="1">
      <c r="A551" s="28" t="s">
        <v>111</v>
      </c>
      <c r="B551" s="59" t="s">
        <v>69</v>
      </c>
      <c r="C551" s="59" t="s">
        <v>66</v>
      </c>
      <c r="D551" s="161" t="s">
        <v>509</v>
      </c>
      <c r="E551" s="59" t="s">
        <v>112</v>
      </c>
      <c r="F551" s="58">
        <f>F552</f>
        <v>182.9</v>
      </c>
      <c r="N551" s="102"/>
      <c r="O551" s="102"/>
      <c r="P551" s="102"/>
      <c r="Q551" s="102"/>
      <c r="R551" s="105"/>
    </row>
    <row r="552" spans="1:18" s="30" customFormat="1" ht="17.25" customHeight="1">
      <c r="A552" s="28" t="s">
        <v>115</v>
      </c>
      <c r="B552" s="59" t="s">
        <v>69</v>
      </c>
      <c r="C552" s="59" t="s">
        <v>66</v>
      </c>
      <c r="D552" s="161" t="s">
        <v>509</v>
      </c>
      <c r="E552" s="59" t="s">
        <v>116</v>
      </c>
      <c r="F552" s="58">
        <f>'пр.4 вед.стр.'!G513</f>
        <v>182.9</v>
      </c>
      <c r="N552" s="102"/>
      <c r="O552" s="102"/>
      <c r="P552" s="102"/>
      <c r="Q552" s="102"/>
      <c r="R552" s="105"/>
    </row>
    <row r="553" spans="1:18" s="30" customFormat="1" ht="34.5" customHeight="1">
      <c r="A553" s="126" t="s">
        <v>510</v>
      </c>
      <c r="B553" s="59" t="s">
        <v>69</v>
      </c>
      <c r="C553" s="59" t="s">
        <v>66</v>
      </c>
      <c r="D553" s="161" t="s">
        <v>177</v>
      </c>
      <c r="E553" s="59"/>
      <c r="F553" s="58">
        <f>F554</f>
        <v>144.2</v>
      </c>
      <c r="N553" s="102"/>
      <c r="O553" s="102"/>
      <c r="P553" s="102"/>
      <c r="Q553" s="102"/>
      <c r="R553" s="105"/>
    </row>
    <row r="554" spans="1:18" s="30" customFormat="1" ht="33" customHeight="1">
      <c r="A554" s="126" t="s">
        <v>280</v>
      </c>
      <c r="B554" s="59" t="s">
        <v>69</v>
      </c>
      <c r="C554" s="59" t="s">
        <v>66</v>
      </c>
      <c r="D554" s="161" t="s">
        <v>324</v>
      </c>
      <c r="E554" s="59"/>
      <c r="F554" s="58">
        <f>F555</f>
        <v>144.2</v>
      </c>
      <c r="N554" s="102"/>
      <c r="O554" s="102"/>
      <c r="P554" s="102"/>
      <c r="Q554" s="102"/>
      <c r="R554" s="105"/>
    </row>
    <row r="555" spans="1:18" s="30" customFormat="1" ht="17.25" customHeight="1">
      <c r="A555" s="126" t="s">
        <v>511</v>
      </c>
      <c r="B555" s="59" t="s">
        <v>69</v>
      </c>
      <c r="C555" s="59" t="s">
        <v>66</v>
      </c>
      <c r="D555" s="161" t="s">
        <v>512</v>
      </c>
      <c r="E555" s="59"/>
      <c r="F555" s="58">
        <f>F556</f>
        <v>144.2</v>
      </c>
      <c r="N555" s="102"/>
      <c r="O555" s="102"/>
      <c r="P555" s="102"/>
      <c r="Q555" s="102"/>
      <c r="R555" s="105"/>
    </row>
    <row r="556" spans="1:18" s="30" customFormat="1" ht="29.25" customHeight="1">
      <c r="A556" s="28" t="s">
        <v>105</v>
      </c>
      <c r="B556" s="59" t="s">
        <v>69</v>
      </c>
      <c r="C556" s="59" t="s">
        <v>66</v>
      </c>
      <c r="D556" s="161" t="s">
        <v>512</v>
      </c>
      <c r="E556" s="59" t="s">
        <v>106</v>
      </c>
      <c r="F556" s="58">
        <f>F557</f>
        <v>144.2</v>
      </c>
      <c r="N556" s="102"/>
      <c r="O556" s="102"/>
      <c r="P556" s="102"/>
      <c r="Q556" s="102"/>
      <c r="R556" s="105"/>
    </row>
    <row r="557" spans="1:18" s="30" customFormat="1" ht="17.25" customHeight="1">
      <c r="A557" s="28" t="s">
        <v>111</v>
      </c>
      <c r="B557" s="59" t="s">
        <v>69</v>
      </c>
      <c r="C557" s="59" t="s">
        <v>66</v>
      </c>
      <c r="D557" s="161" t="s">
        <v>512</v>
      </c>
      <c r="E557" s="59" t="s">
        <v>112</v>
      </c>
      <c r="F557" s="58">
        <f>F558</f>
        <v>144.2</v>
      </c>
      <c r="N557" s="102"/>
      <c r="O557" s="102"/>
      <c r="P557" s="102"/>
      <c r="Q557" s="102"/>
      <c r="R557" s="105"/>
    </row>
    <row r="558" spans="1:18" s="30" customFormat="1" ht="17.25" customHeight="1">
      <c r="A558" s="28" t="s">
        <v>115</v>
      </c>
      <c r="B558" s="59" t="s">
        <v>69</v>
      </c>
      <c r="C558" s="59" t="s">
        <v>66</v>
      </c>
      <c r="D558" s="161" t="s">
        <v>512</v>
      </c>
      <c r="E558" s="59" t="s">
        <v>116</v>
      </c>
      <c r="F558" s="58">
        <f>'пр.4 вед.стр.'!G519</f>
        <v>144.2</v>
      </c>
      <c r="N558" s="102"/>
      <c r="O558" s="102"/>
      <c r="P558" s="102"/>
      <c r="Q558" s="102"/>
      <c r="R558" s="105"/>
    </row>
    <row r="559" spans="1:18" s="30" customFormat="1" ht="28.5" customHeight="1">
      <c r="A559" s="126" t="s">
        <v>513</v>
      </c>
      <c r="B559" s="59" t="s">
        <v>69</v>
      </c>
      <c r="C559" s="59" t="s">
        <v>66</v>
      </c>
      <c r="D559" s="161" t="s">
        <v>180</v>
      </c>
      <c r="E559" s="59"/>
      <c r="F559" s="58">
        <f>F560</f>
        <v>410.90000000000003</v>
      </c>
      <c r="N559" s="102"/>
      <c r="O559" s="102"/>
      <c r="P559" s="102"/>
      <c r="Q559" s="102"/>
      <c r="R559" s="105"/>
    </row>
    <row r="560" spans="1:18" s="30" customFormat="1" ht="31.5" customHeight="1">
      <c r="A560" s="126" t="s">
        <v>251</v>
      </c>
      <c r="B560" s="59" t="s">
        <v>69</v>
      </c>
      <c r="C560" s="59" t="s">
        <v>66</v>
      </c>
      <c r="D560" s="161" t="s">
        <v>325</v>
      </c>
      <c r="E560" s="59"/>
      <c r="F560" s="58">
        <f>F561+F565+F569+F573</f>
        <v>410.90000000000003</v>
      </c>
      <c r="N560" s="102"/>
      <c r="O560" s="102"/>
      <c r="P560" s="102"/>
      <c r="Q560" s="102"/>
      <c r="R560" s="105"/>
    </row>
    <row r="561" spans="1:18" s="30" customFormat="1" ht="17.25" customHeight="1">
      <c r="A561" s="126" t="s">
        <v>179</v>
      </c>
      <c r="B561" s="59" t="s">
        <v>69</v>
      </c>
      <c r="C561" s="59" t="s">
        <v>66</v>
      </c>
      <c r="D561" s="161" t="s">
        <v>326</v>
      </c>
      <c r="E561" s="59"/>
      <c r="F561" s="58">
        <f>F562</f>
        <v>283.40000000000003</v>
      </c>
      <c r="N561" s="102"/>
      <c r="O561" s="102"/>
      <c r="P561" s="102"/>
      <c r="Q561" s="102"/>
      <c r="R561" s="105"/>
    </row>
    <row r="562" spans="1:18" s="30" customFormat="1" ht="30" customHeight="1">
      <c r="A562" s="28" t="s">
        <v>105</v>
      </c>
      <c r="B562" s="59" t="s">
        <v>69</v>
      </c>
      <c r="C562" s="59" t="s">
        <v>66</v>
      </c>
      <c r="D562" s="161" t="s">
        <v>326</v>
      </c>
      <c r="E562" s="59" t="s">
        <v>106</v>
      </c>
      <c r="F562" s="58">
        <f>F563</f>
        <v>283.40000000000003</v>
      </c>
      <c r="N562" s="102"/>
      <c r="O562" s="102"/>
      <c r="P562" s="102"/>
      <c r="Q562" s="102"/>
      <c r="R562" s="105"/>
    </row>
    <row r="563" spans="1:18" s="30" customFormat="1" ht="17.25" customHeight="1">
      <c r="A563" s="28" t="s">
        <v>111</v>
      </c>
      <c r="B563" s="59" t="s">
        <v>69</v>
      </c>
      <c r="C563" s="59" t="s">
        <v>66</v>
      </c>
      <c r="D563" s="161" t="s">
        <v>326</v>
      </c>
      <c r="E563" s="59" t="s">
        <v>112</v>
      </c>
      <c r="F563" s="58">
        <f>F564</f>
        <v>283.40000000000003</v>
      </c>
      <c r="N563" s="102"/>
      <c r="O563" s="102"/>
      <c r="P563" s="102"/>
      <c r="Q563" s="102"/>
      <c r="R563" s="105"/>
    </row>
    <row r="564" spans="1:18" s="30" customFormat="1" ht="17.25" customHeight="1">
      <c r="A564" s="28" t="s">
        <v>115</v>
      </c>
      <c r="B564" s="59" t="s">
        <v>69</v>
      </c>
      <c r="C564" s="59" t="s">
        <v>66</v>
      </c>
      <c r="D564" s="161" t="s">
        <v>326</v>
      </c>
      <c r="E564" s="59" t="s">
        <v>116</v>
      </c>
      <c r="F564" s="58">
        <f>'пр.4 вед.стр.'!G525</f>
        <v>283.40000000000003</v>
      </c>
      <c r="N564" s="102"/>
      <c r="O564" s="102"/>
      <c r="P564" s="102"/>
      <c r="Q564" s="102"/>
      <c r="R564" s="105"/>
    </row>
    <row r="565" spans="1:18" s="30" customFormat="1" ht="17.25" customHeight="1">
      <c r="A565" s="126" t="s">
        <v>290</v>
      </c>
      <c r="B565" s="59" t="s">
        <v>69</v>
      </c>
      <c r="C565" s="59" t="s">
        <v>66</v>
      </c>
      <c r="D565" s="161" t="s">
        <v>327</v>
      </c>
      <c r="E565" s="59"/>
      <c r="F565" s="58">
        <f>F566</f>
        <v>81.5</v>
      </c>
      <c r="N565" s="102"/>
      <c r="O565" s="102"/>
      <c r="P565" s="102"/>
      <c r="Q565" s="102"/>
      <c r="R565" s="105"/>
    </row>
    <row r="566" spans="1:18" s="30" customFormat="1" ht="30" customHeight="1">
      <c r="A566" s="28" t="s">
        <v>105</v>
      </c>
      <c r="B566" s="59" t="s">
        <v>69</v>
      </c>
      <c r="C566" s="59" t="s">
        <v>66</v>
      </c>
      <c r="D566" s="161" t="s">
        <v>327</v>
      </c>
      <c r="E566" s="59" t="s">
        <v>106</v>
      </c>
      <c r="F566" s="58">
        <f>F567</f>
        <v>81.5</v>
      </c>
      <c r="N566" s="102"/>
      <c r="O566" s="102"/>
      <c r="P566" s="102"/>
      <c r="Q566" s="102"/>
      <c r="R566" s="105"/>
    </row>
    <row r="567" spans="1:18" s="30" customFormat="1" ht="17.25" customHeight="1">
      <c r="A567" s="28" t="s">
        <v>111</v>
      </c>
      <c r="B567" s="59" t="s">
        <v>69</v>
      </c>
      <c r="C567" s="59" t="s">
        <v>66</v>
      </c>
      <c r="D567" s="161" t="s">
        <v>327</v>
      </c>
      <c r="E567" s="59" t="s">
        <v>112</v>
      </c>
      <c r="F567" s="58">
        <f>F568</f>
        <v>81.5</v>
      </c>
      <c r="N567" s="102"/>
      <c r="O567" s="102"/>
      <c r="P567" s="102"/>
      <c r="Q567" s="102"/>
      <c r="R567" s="105"/>
    </row>
    <row r="568" spans="1:18" s="30" customFormat="1" ht="17.25" customHeight="1">
      <c r="A568" s="28" t="s">
        <v>115</v>
      </c>
      <c r="B568" s="59" t="s">
        <v>69</v>
      </c>
      <c r="C568" s="59" t="s">
        <v>66</v>
      </c>
      <c r="D568" s="161" t="s">
        <v>327</v>
      </c>
      <c r="E568" s="59" t="s">
        <v>116</v>
      </c>
      <c r="F568" s="58">
        <f>'пр.4 вед.стр.'!G529</f>
        <v>81.5</v>
      </c>
      <c r="N568" s="102"/>
      <c r="O568" s="102"/>
      <c r="P568" s="102"/>
      <c r="Q568" s="102"/>
      <c r="R568" s="105"/>
    </row>
    <row r="569" spans="1:18" s="30" customFormat="1" ht="26.25" customHeight="1">
      <c r="A569" s="126" t="s">
        <v>611</v>
      </c>
      <c r="B569" s="59" t="s">
        <v>69</v>
      </c>
      <c r="C569" s="59" t="s">
        <v>66</v>
      </c>
      <c r="D569" s="161" t="s">
        <v>328</v>
      </c>
      <c r="E569" s="59"/>
      <c r="F569" s="58">
        <f>F570</f>
        <v>19.2</v>
      </c>
      <c r="N569" s="102"/>
      <c r="O569" s="102"/>
      <c r="P569" s="102"/>
      <c r="Q569" s="102"/>
      <c r="R569" s="105"/>
    </row>
    <row r="570" spans="1:18" s="30" customFormat="1" ht="27" customHeight="1">
      <c r="A570" s="28" t="s">
        <v>105</v>
      </c>
      <c r="B570" s="59" t="s">
        <v>69</v>
      </c>
      <c r="C570" s="59" t="s">
        <v>66</v>
      </c>
      <c r="D570" s="161" t="s">
        <v>328</v>
      </c>
      <c r="E570" s="59" t="s">
        <v>106</v>
      </c>
      <c r="F570" s="58">
        <f>F571</f>
        <v>19.2</v>
      </c>
      <c r="N570" s="102"/>
      <c r="O570" s="102"/>
      <c r="P570" s="102"/>
      <c r="Q570" s="102"/>
      <c r="R570" s="105"/>
    </row>
    <row r="571" spans="1:18" s="30" customFormat="1" ht="17.25" customHeight="1">
      <c r="A571" s="28" t="s">
        <v>111</v>
      </c>
      <c r="B571" s="59" t="s">
        <v>69</v>
      </c>
      <c r="C571" s="59" t="s">
        <v>66</v>
      </c>
      <c r="D571" s="161" t="s">
        <v>328</v>
      </c>
      <c r="E571" s="59" t="s">
        <v>112</v>
      </c>
      <c r="F571" s="58">
        <f>F572</f>
        <v>19.2</v>
      </c>
      <c r="N571" s="102"/>
      <c r="O571" s="102"/>
      <c r="P571" s="102"/>
      <c r="Q571" s="102"/>
      <c r="R571" s="105"/>
    </row>
    <row r="572" spans="1:18" s="30" customFormat="1" ht="17.25" customHeight="1">
      <c r="A572" s="28" t="s">
        <v>115</v>
      </c>
      <c r="B572" s="59" t="s">
        <v>69</v>
      </c>
      <c r="C572" s="59" t="s">
        <v>66</v>
      </c>
      <c r="D572" s="161" t="s">
        <v>328</v>
      </c>
      <c r="E572" s="59" t="s">
        <v>116</v>
      </c>
      <c r="F572" s="58">
        <f>'пр.4 вед.стр.'!G533</f>
        <v>19.2</v>
      </c>
      <c r="N572" s="102"/>
      <c r="O572" s="102"/>
      <c r="P572" s="102"/>
      <c r="Q572" s="102"/>
      <c r="R572" s="105"/>
    </row>
    <row r="573" spans="1:18" s="30" customFormat="1" ht="17.25" customHeight="1">
      <c r="A573" s="28" t="s">
        <v>514</v>
      </c>
      <c r="B573" s="59" t="s">
        <v>69</v>
      </c>
      <c r="C573" s="59" t="s">
        <v>66</v>
      </c>
      <c r="D573" s="161" t="s">
        <v>515</v>
      </c>
      <c r="E573" s="59"/>
      <c r="F573" s="58">
        <f>F574</f>
        <v>26.8</v>
      </c>
      <c r="N573" s="102"/>
      <c r="O573" s="102"/>
      <c r="P573" s="102"/>
      <c r="Q573" s="102"/>
      <c r="R573" s="105"/>
    </row>
    <row r="574" spans="1:18" s="30" customFormat="1" ht="30" customHeight="1">
      <c r="A574" s="28" t="s">
        <v>105</v>
      </c>
      <c r="B574" s="59" t="s">
        <v>69</v>
      </c>
      <c r="C574" s="59" t="s">
        <v>66</v>
      </c>
      <c r="D574" s="161" t="s">
        <v>515</v>
      </c>
      <c r="E574" s="59" t="s">
        <v>106</v>
      </c>
      <c r="F574" s="58">
        <f>F575</f>
        <v>26.8</v>
      </c>
      <c r="N574" s="102"/>
      <c r="O574" s="102"/>
      <c r="P574" s="102"/>
      <c r="Q574" s="102"/>
      <c r="R574" s="105"/>
    </row>
    <row r="575" spans="1:18" s="30" customFormat="1" ht="17.25" customHeight="1">
      <c r="A575" s="28" t="s">
        <v>111</v>
      </c>
      <c r="B575" s="59" t="s">
        <v>69</v>
      </c>
      <c r="C575" s="59" t="s">
        <v>66</v>
      </c>
      <c r="D575" s="161" t="s">
        <v>515</v>
      </c>
      <c r="E575" s="59" t="s">
        <v>112</v>
      </c>
      <c r="F575" s="58">
        <f>F576</f>
        <v>26.8</v>
      </c>
      <c r="N575" s="102"/>
      <c r="O575" s="102"/>
      <c r="P575" s="102"/>
      <c r="Q575" s="102"/>
      <c r="R575" s="105"/>
    </row>
    <row r="576" spans="1:18" s="30" customFormat="1" ht="17.25" customHeight="1">
      <c r="A576" s="28" t="s">
        <v>115</v>
      </c>
      <c r="B576" s="59" t="s">
        <v>69</v>
      </c>
      <c r="C576" s="59" t="s">
        <v>66</v>
      </c>
      <c r="D576" s="161" t="s">
        <v>515</v>
      </c>
      <c r="E576" s="59" t="s">
        <v>116</v>
      </c>
      <c r="F576" s="58">
        <f>'пр.4 вед.стр.'!G537</f>
        <v>26.8</v>
      </c>
      <c r="N576" s="102"/>
      <c r="O576" s="102"/>
      <c r="P576" s="102"/>
      <c r="Q576" s="102"/>
      <c r="R576" s="105"/>
    </row>
    <row r="577" spans="1:18" s="30" customFormat="1" ht="30" customHeight="1">
      <c r="A577" s="28" t="s">
        <v>449</v>
      </c>
      <c r="B577" s="59" t="s">
        <v>69</v>
      </c>
      <c r="C577" s="59" t="s">
        <v>66</v>
      </c>
      <c r="D577" s="59" t="s">
        <v>450</v>
      </c>
      <c r="E577" s="59"/>
      <c r="F577" s="58">
        <f>F578</f>
        <v>5</v>
      </c>
      <c r="N577" s="102"/>
      <c r="O577" s="102"/>
      <c r="P577" s="102"/>
      <c r="Q577" s="102"/>
      <c r="R577" s="105"/>
    </row>
    <row r="578" spans="1:18" s="30" customFormat="1" ht="17.25" customHeight="1">
      <c r="A578" s="28" t="s">
        <v>461</v>
      </c>
      <c r="B578" s="59" t="s">
        <v>69</v>
      </c>
      <c r="C578" s="59" t="s">
        <v>66</v>
      </c>
      <c r="D578" s="59" t="s">
        <v>462</v>
      </c>
      <c r="E578" s="59"/>
      <c r="F578" s="143">
        <f>F579</f>
        <v>5</v>
      </c>
      <c r="N578" s="102"/>
      <c r="O578" s="102"/>
      <c r="P578" s="102"/>
      <c r="Q578" s="102"/>
      <c r="R578" s="105"/>
    </row>
    <row r="579" spans="1:18" s="30" customFormat="1" ht="29.25" customHeight="1">
      <c r="A579" s="28" t="s">
        <v>463</v>
      </c>
      <c r="B579" s="59" t="s">
        <v>69</v>
      </c>
      <c r="C579" s="59" t="s">
        <v>66</v>
      </c>
      <c r="D579" s="59" t="s">
        <v>464</v>
      </c>
      <c r="E579" s="59"/>
      <c r="F579" s="58">
        <f>F580</f>
        <v>5</v>
      </c>
      <c r="N579" s="102"/>
      <c r="O579" s="102"/>
      <c r="P579" s="102"/>
      <c r="Q579" s="102"/>
      <c r="R579" s="105"/>
    </row>
    <row r="580" spans="1:18" s="30" customFormat="1" ht="27.75" customHeight="1">
      <c r="A580" s="28" t="s">
        <v>105</v>
      </c>
      <c r="B580" s="59" t="s">
        <v>69</v>
      </c>
      <c r="C580" s="59" t="s">
        <v>66</v>
      </c>
      <c r="D580" s="59" t="s">
        <v>464</v>
      </c>
      <c r="E580" s="59" t="s">
        <v>106</v>
      </c>
      <c r="F580" s="58">
        <f>F581</f>
        <v>5</v>
      </c>
      <c r="N580" s="102"/>
      <c r="O580" s="102"/>
      <c r="P580" s="102"/>
      <c r="Q580" s="102"/>
      <c r="R580" s="105"/>
    </row>
    <row r="581" spans="1:18" s="30" customFormat="1" ht="17.25" customHeight="1">
      <c r="A581" s="28" t="s">
        <v>111</v>
      </c>
      <c r="B581" s="59" t="s">
        <v>69</v>
      </c>
      <c r="C581" s="59" t="s">
        <v>66</v>
      </c>
      <c r="D581" s="59" t="s">
        <v>464</v>
      </c>
      <c r="E581" s="59" t="s">
        <v>112</v>
      </c>
      <c r="F581" s="58">
        <f>F582</f>
        <v>5</v>
      </c>
      <c r="N581" s="102"/>
      <c r="O581" s="102"/>
      <c r="P581" s="102"/>
      <c r="Q581" s="102"/>
      <c r="R581" s="105"/>
    </row>
    <row r="582" spans="1:18" s="30" customFormat="1" ht="17.25" customHeight="1">
      <c r="A582" s="28" t="s">
        <v>115</v>
      </c>
      <c r="B582" s="59" t="s">
        <v>69</v>
      </c>
      <c r="C582" s="59" t="s">
        <v>66</v>
      </c>
      <c r="D582" s="59" t="s">
        <v>464</v>
      </c>
      <c r="E582" s="59" t="s">
        <v>116</v>
      </c>
      <c r="F582" s="58">
        <f>'пр.4 вед.стр.'!G543</f>
        <v>5</v>
      </c>
      <c r="N582" s="102"/>
      <c r="O582" s="102"/>
      <c r="P582" s="102"/>
      <c r="Q582" s="102"/>
      <c r="R582" s="105"/>
    </row>
    <row r="583" spans="1:18" s="30" customFormat="1" ht="27" customHeight="1">
      <c r="A583" s="28" t="str">
        <f>'пр.4 вед.стр.'!A544</f>
        <v>Муниципальная программа "Повышение безопасности дорожного движения на территории Сусуманского городского округа в 2017 году"</v>
      </c>
      <c r="B583" s="59" t="s">
        <v>69</v>
      </c>
      <c r="C583" s="59" t="s">
        <v>66</v>
      </c>
      <c r="D583" s="149" t="str">
        <f>'пр.4 вед.стр.'!E544</f>
        <v>7D 0 00 00000</v>
      </c>
      <c r="E583" s="59"/>
      <c r="F583" s="58">
        <f>F584</f>
        <v>13.6</v>
      </c>
      <c r="N583" s="102"/>
      <c r="O583" s="102"/>
      <c r="P583" s="102"/>
      <c r="Q583" s="102"/>
      <c r="R583" s="105"/>
    </row>
    <row r="584" spans="1:18" s="30" customFormat="1" ht="17.25" customHeight="1">
      <c r="A584" s="28" t="str">
        <f>'пр.4 вед.стр.'!A545</f>
        <v>Основное мероприятие "Обеспечение реализации программы"</v>
      </c>
      <c r="B584" s="59" t="s">
        <v>69</v>
      </c>
      <c r="C584" s="59" t="s">
        <v>66</v>
      </c>
      <c r="D584" s="149" t="str">
        <f>'пр.4 вед.стр.'!E545</f>
        <v>7D 0 01 00000</v>
      </c>
      <c r="E584" s="59"/>
      <c r="F584" s="58">
        <f>F585</f>
        <v>13.6</v>
      </c>
      <c r="N584" s="102"/>
      <c r="O584" s="102"/>
      <c r="P584" s="102"/>
      <c r="Q584" s="102"/>
      <c r="R584" s="105"/>
    </row>
    <row r="585" spans="1:18" s="30" customFormat="1" ht="17.25" customHeight="1">
      <c r="A585" s="28" t="str">
        <f>'пр.4 вед.стр.'!A546</f>
        <v>Приобретение светоотражающих лент для образовательных учреждений</v>
      </c>
      <c r="B585" s="59" t="s">
        <v>69</v>
      </c>
      <c r="C585" s="59" t="s">
        <v>66</v>
      </c>
      <c r="D585" s="149" t="str">
        <f>'пр.4 вед.стр.'!E546</f>
        <v>7D 0 01 95420</v>
      </c>
      <c r="E585" s="59"/>
      <c r="F585" s="58">
        <f>F586</f>
        <v>13.6</v>
      </c>
      <c r="N585" s="102"/>
      <c r="O585" s="102"/>
      <c r="P585" s="102"/>
      <c r="Q585" s="102"/>
      <c r="R585" s="105"/>
    </row>
    <row r="586" spans="1:18" s="30" customFormat="1" ht="17.25" customHeight="1">
      <c r="A586" s="28" t="str">
        <f>'пр.4 вед.стр.'!A547</f>
        <v>Предоставление субсидий бюджетным, автономным учреждениям и иным некоммерческим организациям</v>
      </c>
      <c r="B586" s="59" t="s">
        <v>69</v>
      </c>
      <c r="C586" s="59" t="s">
        <v>66</v>
      </c>
      <c r="D586" s="149" t="str">
        <f>'пр.4 вед.стр.'!E547</f>
        <v>7D 0 01 95420</v>
      </c>
      <c r="E586" s="59" t="s">
        <v>106</v>
      </c>
      <c r="F586" s="58">
        <f>F587</f>
        <v>13.6</v>
      </c>
      <c r="N586" s="102"/>
      <c r="O586" s="102"/>
      <c r="P586" s="102"/>
      <c r="Q586" s="102"/>
      <c r="R586" s="105"/>
    </row>
    <row r="587" spans="1:18" s="30" customFormat="1" ht="17.25" customHeight="1">
      <c r="A587" s="28" t="str">
        <f>'пр.4 вед.стр.'!A548</f>
        <v>Субсидии бюджетным учреждениям</v>
      </c>
      <c r="B587" s="59" t="s">
        <v>69</v>
      </c>
      <c r="C587" s="59" t="s">
        <v>66</v>
      </c>
      <c r="D587" s="149" t="str">
        <f>'пр.4 вед.стр.'!E548</f>
        <v>7D 0 01 95420</v>
      </c>
      <c r="E587" s="59" t="s">
        <v>112</v>
      </c>
      <c r="F587" s="58">
        <f>F588</f>
        <v>13.6</v>
      </c>
      <c r="N587" s="102"/>
      <c r="O587" s="102"/>
      <c r="P587" s="102"/>
      <c r="Q587" s="102"/>
      <c r="R587" s="105"/>
    </row>
    <row r="588" spans="1:18" s="30" customFormat="1" ht="17.25" customHeight="1">
      <c r="A588" s="28" t="str">
        <f>'пр.4 вед.стр.'!A549</f>
        <v>Субсидии  бюджетным учреждениям на иные цели</v>
      </c>
      <c r="B588" s="59" t="s">
        <v>69</v>
      </c>
      <c r="C588" s="59" t="s">
        <v>66</v>
      </c>
      <c r="D588" s="149" t="str">
        <f>'пр.4 вед.стр.'!E549</f>
        <v>7D 0 01 95420</v>
      </c>
      <c r="E588" s="59" t="s">
        <v>116</v>
      </c>
      <c r="F588" s="58">
        <f>'пр.4 вед.стр.'!G549</f>
        <v>13.6</v>
      </c>
      <c r="N588" s="102"/>
      <c r="O588" s="102"/>
      <c r="P588" s="102"/>
      <c r="Q588" s="102"/>
      <c r="R588" s="105"/>
    </row>
    <row r="589" spans="1:18" s="30" customFormat="1" ht="17.25" customHeight="1">
      <c r="A589" s="28" t="s">
        <v>360</v>
      </c>
      <c r="B589" s="59" t="s">
        <v>69</v>
      </c>
      <c r="C589" s="59" t="s">
        <v>66</v>
      </c>
      <c r="D589" s="59" t="s">
        <v>215</v>
      </c>
      <c r="E589" s="59"/>
      <c r="F589" s="58">
        <f>F590</f>
        <v>2706</v>
      </c>
      <c r="N589" s="102"/>
      <c r="O589" s="102"/>
      <c r="P589" s="102"/>
      <c r="Q589" s="102"/>
      <c r="R589" s="105"/>
    </row>
    <row r="590" spans="1:18" s="30" customFormat="1" ht="17.25" customHeight="1">
      <c r="A590" s="28" t="s">
        <v>361</v>
      </c>
      <c r="B590" s="59" t="s">
        <v>69</v>
      </c>
      <c r="C590" s="59" t="s">
        <v>66</v>
      </c>
      <c r="D590" s="59" t="s">
        <v>358</v>
      </c>
      <c r="E590" s="59"/>
      <c r="F590" s="58">
        <f>F591+F595</f>
        <v>2706</v>
      </c>
      <c r="N590" s="102"/>
      <c r="O590" s="102"/>
      <c r="P590" s="102"/>
      <c r="Q590" s="102"/>
      <c r="R590" s="105"/>
    </row>
    <row r="591" spans="1:18" s="30" customFormat="1" ht="42" customHeight="1">
      <c r="A591" s="28" t="s">
        <v>287</v>
      </c>
      <c r="B591" s="59" t="s">
        <v>69</v>
      </c>
      <c r="C591" s="59" t="s">
        <v>66</v>
      </c>
      <c r="D591" s="59" t="s">
        <v>359</v>
      </c>
      <c r="E591" s="59"/>
      <c r="F591" s="58">
        <f>F592</f>
        <v>2619</v>
      </c>
      <c r="N591" s="102"/>
      <c r="O591" s="102"/>
      <c r="P591" s="102"/>
      <c r="Q591" s="102"/>
      <c r="R591" s="105"/>
    </row>
    <row r="592" spans="1:18" s="30" customFormat="1" ht="33" customHeight="1">
      <c r="A592" s="28" t="s">
        <v>105</v>
      </c>
      <c r="B592" s="59" t="s">
        <v>69</v>
      </c>
      <c r="C592" s="59" t="s">
        <v>66</v>
      </c>
      <c r="D592" s="59" t="s">
        <v>359</v>
      </c>
      <c r="E592" s="59" t="s">
        <v>106</v>
      </c>
      <c r="F592" s="58">
        <f>F593</f>
        <v>2619</v>
      </c>
      <c r="N592" s="102"/>
      <c r="O592" s="102"/>
      <c r="P592" s="102"/>
      <c r="Q592" s="102"/>
      <c r="R592" s="105"/>
    </row>
    <row r="593" spans="1:18" s="30" customFormat="1" ht="17.25" customHeight="1">
      <c r="A593" s="28" t="s">
        <v>111</v>
      </c>
      <c r="B593" s="59" t="s">
        <v>69</v>
      </c>
      <c r="C593" s="59" t="s">
        <v>66</v>
      </c>
      <c r="D593" s="59" t="s">
        <v>359</v>
      </c>
      <c r="E593" s="59" t="s">
        <v>112</v>
      </c>
      <c r="F593" s="58">
        <f>F594</f>
        <v>2619</v>
      </c>
      <c r="N593" s="102"/>
      <c r="O593" s="102"/>
      <c r="P593" s="102"/>
      <c r="Q593" s="102"/>
      <c r="R593" s="105"/>
    </row>
    <row r="594" spans="1:18" s="30" customFormat="1" ht="17.25" customHeight="1">
      <c r="A594" s="28" t="s">
        <v>115</v>
      </c>
      <c r="B594" s="59" t="s">
        <v>69</v>
      </c>
      <c r="C594" s="59" t="s">
        <v>66</v>
      </c>
      <c r="D594" s="59" t="s">
        <v>359</v>
      </c>
      <c r="E594" s="59" t="s">
        <v>116</v>
      </c>
      <c r="F594" s="58">
        <f>'пр.4 вед.стр.'!G555</f>
        <v>2619</v>
      </c>
      <c r="N594" s="102"/>
      <c r="O594" s="102"/>
      <c r="P594" s="102"/>
      <c r="Q594" s="102"/>
      <c r="R594" s="105"/>
    </row>
    <row r="595" spans="1:18" s="30" customFormat="1" ht="17.25" customHeight="1">
      <c r="A595" s="28" t="s">
        <v>235</v>
      </c>
      <c r="B595" s="59" t="s">
        <v>69</v>
      </c>
      <c r="C595" s="59" t="s">
        <v>66</v>
      </c>
      <c r="D595" s="59" t="s">
        <v>362</v>
      </c>
      <c r="E595" s="59"/>
      <c r="F595" s="58">
        <f>F596</f>
        <v>87</v>
      </c>
      <c r="N595" s="102"/>
      <c r="O595" s="102"/>
      <c r="P595" s="102"/>
      <c r="Q595" s="102"/>
      <c r="R595" s="105"/>
    </row>
    <row r="596" spans="1:18" s="30" customFormat="1" ht="28.5" customHeight="1">
      <c r="A596" s="28" t="s">
        <v>105</v>
      </c>
      <c r="B596" s="59" t="s">
        <v>69</v>
      </c>
      <c r="C596" s="59" t="s">
        <v>66</v>
      </c>
      <c r="D596" s="59" t="s">
        <v>362</v>
      </c>
      <c r="E596" s="59" t="s">
        <v>106</v>
      </c>
      <c r="F596" s="58">
        <f>F597</f>
        <v>87</v>
      </c>
      <c r="N596" s="102"/>
      <c r="O596" s="102"/>
      <c r="P596" s="102"/>
      <c r="Q596" s="102"/>
      <c r="R596" s="105"/>
    </row>
    <row r="597" spans="1:18" s="30" customFormat="1" ht="17.25" customHeight="1">
      <c r="A597" s="28" t="s">
        <v>111</v>
      </c>
      <c r="B597" s="59" t="s">
        <v>69</v>
      </c>
      <c r="C597" s="59" t="s">
        <v>66</v>
      </c>
      <c r="D597" s="59" t="s">
        <v>362</v>
      </c>
      <c r="E597" s="59" t="s">
        <v>112</v>
      </c>
      <c r="F597" s="58">
        <f>F598</f>
        <v>87</v>
      </c>
      <c r="N597" s="102"/>
      <c r="O597" s="102"/>
      <c r="P597" s="102"/>
      <c r="Q597" s="102"/>
      <c r="R597" s="105"/>
    </row>
    <row r="598" spans="1:18" s="30" customFormat="1" ht="17.25" customHeight="1">
      <c r="A598" s="28" t="s">
        <v>115</v>
      </c>
      <c r="B598" s="59" t="s">
        <v>69</v>
      </c>
      <c r="C598" s="59" t="s">
        <v>66</v>
      </c>
      <c r="D598" s="59" t="s">
        <v>362</v>
      </c>
      <c r="E598" s="59" t="s">
        <v>116</v>
      </c>
      <c r="F598" s="58">
        <f>'пр.4 вед.стр.'!G559</f>
        <v>87</v>
      </c>
      <c r="N598" s="102"/>
      <c r="O598" s="102"/>
      <c r="P598" s="102"/>
      <c r="Q598" s="102"/>
      <c r="R598" s="105"/>
    </row>
    <row r="599" spans="1:18" s="30" customFormat="1" ht="17.25" customHeight="1">
      <c r="A599" s="28" t="s">
        <v>59</v>
      </c>
      <c r="B599" s="59" t="s">
        <v>69</v>
      </c>
      <c r="C599" s="59" t="s">
        <v>66</v>
      </c>
      <c r="D599" s="59" t="s">
        <v>226</v>
      </c>
      <c r="E599" s="59"/>
      <c r="F599" s="58">
        <f>F600</f>
        <v>14060.2</v>
      </c>
      <c r="N599" s="102"/>
      <c r="O599" s="102"/>
      <c r="P599" s="102"/>
      <c r="Q599" s="102"/>
      <c r="R599" s="105"/>
    </row>
    <row r="600" spans="1:18" s="30" customFormat="1" ht="30" customHeight="1">
      <c r="A600" s="28" t="s">
        <v>473</v>
      </c>
      <c r="B600" s="59" t="s">
        <v>69</v>
      </c>
      <c r="C600" s="59" t="s">
        <v>66</v>
      </c>
      <c r="D600" s="59" t="s">
        <v>369</v>
      </c>
      <c r="E600" s="59"/>
      <c r="F600" s="58">
        <f>F601</f>
        <v>14060.2</v>
      </c>
      <c r="N600" s="102"/>
      <c r="O600" s="102"/>
      <c r="P600" s="102"/>
      <c r="Q600" s="102"/>
      <c r="R600" s="105"/>
    </row>
    <row r="601" spans="1:18" s="30" customFormat="1" ht="17.25" customHeight="1">
      <c r="A601" s="28" t="s">
        <v>249</v>
      </c>
      <c r="B601" s="59" t="s">
        <v>69</v>
      </c>
      <c r="C601" s="59" t="s">
        <v>66</v>
      </c>
      <c r="D601" s="59" t="s">
        <v>370</v>
      </c>
      <c r="E601" s="59"/>
      <c r="F601" s="58">
        <f>F602</f>
        <v>14060.2</v>
      </c>
      <c r="N601" s="102"/>
      <c r="O601" s="102"/>
      <c r="P601" s="102"/>
      <c r="Q601" s="102"/>
      <c r="R601" s="105"/>
    </row>
    <row r="602" spans="1:18" s="30" customFormat="1" ht="30" customHeight="1">
      <c r="A602" s="28" t="s">
        <v>105</v>
      </c>
      <c r="B602" s="59" t="s">
        <v>69</v>
      </c>
      <c r="C602" s="59" t="s">
        <v>66</v>
      </c>
      <c r="D602" s="59" t="s">
        <v>370</v>
      </c>
      <c r="E602" s="59" t="s">
        <v>106</v>
      </c>
      <c r="F602" s="58">
        <f>F603</f>
        <v>14060.2</v>
      </c>
      <c r="N602" s="102"/>
      <c r="O602" s="102"/>
      <c r="P602" s="102"/>
      <c r="Q602" s="102"/>
      <c r="R602" s="105"/>
    </row>
    <row r="603" spans="1:18" s="30" customFormat="1" ht="17.25" customHeight="1">
      <c r="A603" s="28" t="s">
        <v>111</v>
      </c>
      <c r="B603" s="59" t="s">
        <v>69</v>
      </c>
      <c r="C603" s="59" t="s">
        <v>66</v>
      </c>
      <c r="D603" s="59" t="s">
        <v>370</v>
      </c>
      <c r="E603" s="59" t="s">
        <v>112</v>
      </c>
      <c r="F603" s="58">
        <f>F604+F605</f>
        <v>14060.2</v>
      </c>
      <c r="N603" s="102"/>
      <c r="O603" s="102"/>
      <c r="P603" s="102"/>
      <c r="Q603" s="102"/>
      <c r="R603" s="105"/>
    </row>
    <row r="604" spans="1:18" s="30" customFormat="1" ht="33.75" customHeight="1">
      <c r="A604" s="28" t="s">
        <v>113</v>
      </c>
      <c r="B604" s="59" t="s">
        <v>69</v>
      </c>
      <c r="C604" s="59" t="s">
        <v>66</v>
      </c>
      <c r="D604" s="59" t="s">
        <v>370</v>
      </c>
      <c r="E604" s="59" t="s">
        <v>114</v>
      </c>
      <c r="F604" s="58">
        <f>'пр.4 вед.стр.'!G565</f>
        <v>13510.2</v>
      </c>
      <c r="N604" s="102"/>
      <c r="O604" s="102"/>
      <c r="P604" s="102"/>
      <c r="Q604" s="102"/>
      <c r="R604" s="105"/>
    </row>
    <row r="605" spans="1:18" s="30" customFormat="1" ht="17.25" customHeight="1">
      <c r="A605" s="28" t="s">
        <v>115</v>
      </c>
      <c r="B605" s="59" t="s">
        <v>69</v>
      </c>
      <c r="C605" s="59" t="s">
        <v>66</v>
      </c>
      <c r="D605" s="59" t="s">
        <v>370</v>
      </c>
      <c r="E605" s="59" t="s">
        <v>116</v>
      </c>
      <c r="F605" s="58">
        <f>'пр.4 вед.стр.'!G566</f>
        <v>550</v>
      </c>
      <c r="N605" s="102"/>
      <c r="O605" s="102"/>
      <c r="P605" s="102"/>
      <c r="Q605" s="102"/>
      <c r="R605" s="105"/>
    </row>
    <row r="606" spans="1:18" s="30" customFormat="1" ht="17.25" customHeight="1">
      <c r="A606" s="61" t="s">
        <v>10</v>
      </c>
      <c r="B606" s="63" t="s">
        <v>69</v>
      </c>
      <c r="C606" s="63" t="s">
        <v>67</v>
      </c>
      <c r="D606" s="63"/>
      <c r="E606" s="63"/>
      <c r="F606" s="64">
        <f>F607+F629+F647+F673+F707+F717+F695+F701</f>
        <v>166074.6</v>
      </c>
      <c r="N606" s="102"/>
      <c r="O606" s="102"/>
      <c r="P606" s="102"/>
      <c r="Q606" s="102"/>
      <c r="R606" s="105"/>
    </row>
    <row r="607" spans="1:18" s="30" customFormat="1" ht="23.25" customHeight="1">
      <c r="A607" s="126" t="s">
        <v>444</v>
      </c>
      <c r="B607" s="59" t="s">
        <v>69</v>
      </c>
      <c r="C607" s="59" t="s">
        <v>67</v>
      </c>
      <c r="D607" s="59" t="s">
        <v>191</v>
      </c>
      <c r="E607" s="63"/>
      <c r="F607" s="58">
        <f>F608</f>
        <v>119854.20000000001</v>
      </c>
      <c r="N607" s="102"/>
      <c r="O607" s="102"/>
      <c r="P607" s="102"/>
      <c r="Q607" s="102"/>
      <c r="R607" s="105"/>
    </row>
    <row r="608" spans="1:18" s="30" customFormat="1" ht="17.25" customHeight="1">
      <c r="A608" s="28" t="s">
        <v>501</v>
      </c>
      <c r="B608" s="59" t="s">
        <v>69</v>
      </c>
      <c r="C608" s="59" t="s">
        <v>67</v>
      </c>
      <c r="D608" s="59" t="s">
        <v>615</v>
      </c>
      <c r="E608" s="63"/>
      <c r="F608" s="58">
        <f>F609+F613+F617+F621+F625</f>
        <v>119854.20000000001</v>
      </c>
      <c r="N608" s="102"/>
      <c r="O608" s="102"/>
      <c r="P608" s="102"/>
      <c r="Q608" s="102"/>
      <c r="R608" s="105"/>
    </row>
    <row r="609" spans="1:18" s="30" customFormat="1" ht="35.25" customHeight="1">
      <c r="A609" s="28" t="s">
        <v>516</v>
      </c>
      <c r="B609" s="59" t="s">
        <v>69</v>
      </c>
      <c r="C609" s="59" t="s">
        <v>67</v>
      </c>
      <c r="D609" s="59" t="s">
        <v>620</v>
      </c>
      <c r="E609" s="59"/>
      <c r="F609" s="58">
        <f>F610</f>
        <v>108841</v>
      </c>
      <c r="N609" s="102"/>
      <c r="O609" s="102"/>
      <c r="P609" s="102"/>
      <c r="Q609" s="102"/>
      <c r="R609" s="105"/>
    </row>
    <row r="610" spans="1:18" s="30" customFormat="1" ht="30.75" customHeight="1">
      <c r="A610" s="28" t="s">
        <v>105</v>
      </c>
      <c r="B610" s="59" t="s">
        <v>69</v>
      </c>
      <c r="C610" s="59" t="s">
        <v>67</v>
      </c>
      <c r="D610" s="59" t="s">
        <v>620</v>
      </c>
      <c r="E610" s="59" t="s">
        <v>106</v>
      </c>
      <c r="F610" s="58">
        <f>F611</f>
        <v>108841</v>
      </c>
      <c r="N610" s="102"/>
      <c r="O610" s="102"/>
      <c r="P610" s="102"/>
      <c r="Q610" s="102"/>
      <c r="R610" s="105"/>
    </row>
    <row r="611" spans="1:18" s="30" customFormat="1" ht="17.25" customHeight="1">
      <c r="A611" s="28" t="s">
        <v>111</v>
      </c>
      <c r="B611" s="59" t="s">
        <v>69</v>
      </c>
      <c r="C611" s="59" t="s">
        <v>67</v>
      </c>
      <c r="D611" s="59" t="s">
        <v>620</v>
      </c>
      <c r="E611" s="59" t="s">
        <v>112</v>
      </c>
      <c r="F611" s="58">
        <f>F612</f>
        <v>108841</v>
      </c>
      <c r="N611" s="102"/>
      <c r="O611" s="102"/>
      <c r="P611" s="102"/>
      <c r="Q611" s="102"/>
      <c r="R611" s="105"/>
    </row>
    <row r="612" spans="1:18" s="30" customFormat="1" ht="34.5" customHeight="1">
      <c r="A612" s="28" t="s">
        <v>113</v>
      </c>
      <c r="B612" s="59" t="s">
        <v>69</v>
      </c>
      <c r="C612" s="59" t="s">
        <v>67</v>
      </c>
      <c r="D612" s="59" t="s">
        <v>620</v>
      </c>
      <c r="E612" s="59" t="s">
        <v>114</v>
      </c>
      <c r="F612" s="58">
        <f>'пр.4 вед.стр.'!G573</f>
        <v>108841</v>
      </c>
      <c r="N612" s="102"/>
      <c r="O612" s="102"/>
      <c r="P612" s="102"/>
      <c r="Q612" s="102"/>
      <c r="R612" s="105"/>
    </row>
    <row r="613" spans="1:18" s="30" customFormat="1" ht="36.75" customHeight="1">
      <c r="A613" s="28" t="s">
        <v>503</v>
      </c>
      <c r="B613" s="59" t="s">
        <v>69</v>
      </c>
      <c r="C613" s="59" t="s">
        <v>67</v>
      </c>
      <c r="D613" s="59" t="s">
        <v>616</v>
      </c>
      <c r="E613" s="59"/>
      <c r="F613" s="58">
        <f>F614</f>
        <v>1289.6</v>
      </c>
      <c r="N613" s="102"/>
      <c r="O613" s="102"/>
      <c r="P613" s="102"/>
      <c r="Q613" s="102"/>
      <c r="R613" s="105"/>
    </row>
    <row r="614" spans="1:18" s="30" customFormat="1" ht="33" customHeight="1">
      <c r="A614" s="28" t="s">
        <v>105</v>
      </c>
      <c r="B614" s="59" t="s">
        <v>69</v>
      </c>
      <c r="C614" s="59" t="s">
        <v>67</v>
      </c>
      <c r="D614" s="59" t="s">
        <v>616</v>
      </c>
      <c r="E614" s="59" t="s">
        <v>106</v>
      </c>
      <c r="F614" s="58">
        <f>F615</f>
        <v>1289.6</v>
      </c>
      <c r="N614" s="102"/>
      <c r="O614" s="102"/>
      <c r="P614" s="102"/>
      <c r="Q614" s="102"/>
      <c r="R614" s="105"/>
    </row>
    <row r="615" spans="1:18" s="30" customFormat="1" ht="17.25" customHeight="1">
      <c r="A615" s="28" t="s">
        <v>111</v>
      </c>
      <c r="B615" s="59" t="s">
        <v>69</v>
      </c>
      <c r="C615" s="59" t="s">
        <v>67</v>
      </c>
      <c r="D615" s="59" t="s">
        <v>616</v>
      </c>
      <c r="E615" s="59" t="s">
        <v>112</v>
      </c>
      <c r="F615" s="58">
        <f>F616</f>
        <v>1289.6</v>
      </c>
      <c r="N615" s="102"/>
      <c r="O615" s="102"/>
      <c r="P615" s="102"/>
      <c r="Q615" s="102"/>
      <c r="R615" s="105"/>
    </row>
    <row r="616" spans="1:18" s="30" customFormat="1" ht="39" customHeight="1">
      <c r="A616" s="28" t="s">
        <v>113</v>
      </c>
      <c r="B616" s="59" t="s">
        <v>69</v>
      </c>
      <c r="C616" s="59" t="s">
        <v>67</v>
      </c>
      <c r="D616" s="59" t="s">
        <v>616</v>
      </c>
      <c r="E616" s="59" t="s">
        <v>114</v>
      </c>
      <c r="F616" s="58">
        <f>'пр.4 вед.стр.'!G577</f>
        <v>1289.6</v>
      </c>
      <c r="N616" s="102"/>
      <c r="O616" s="102"/>
      <c r="P616" s="102"/>
      <c r="Q616" s="102"/>
      <c r="R616" s="105"/>
    </row>
    <row r="617" spans="1:18" s="30" customFormat="1" ht="48" customHeight="1">
      <c r="A617" s="28" t="s">
        <v>504</v>
      </c>
      <c r="B617" s="59" t="s">
        <v>69</v>
      </c>
      <c r="C617" s="59" t="s">
        <v>67</v>
      </c>
      <c r="D617" s="59" t="s">
        <v>617</v>
      </c>
      <c r="E617" s="59"/>
      <c r="F617" s="58">
        <f>F618</f>
        <v>2743.5</v>
      </c>
      <c r="N617" s="102"/>
      <c r="O617" s="102"/>
      <c r="P617" s="102"/>
      <c r="Q617" s="102"/>
      <c r="R617" s="105"/>
    </row>
    <row r="618" spans="1:18" s="30" customFormat="1" ht="33" customHeight="1">
      <c r="A618" s="28" t="s">
        <v>105</v>
      </c>
      <c r="B618" s="59" t="s">
        <v>69</v>
      </c>
      <c r="C618" s="59" t="s">
        <v>67</v>
      </c>
      <c r="D618" s="59" t="s">
        <v>617</v>
      </c>
      <c r="E618" s="59" t="s">
        <v>106</v>
      </c>
      <c r="F618" s="58">
        <f>F619</f>
        <v>2743.5</v>
      </c>
      <c r="N618" s="102"/>
      <c r="O618" s="102"/>
      <c r="P618" s="102"/>
      <c r="Q618" s="102"/>
      <c r="R618" s="105"/>
    </row>
    <row r="619" spans="1:18" s="30" customFormat="1" ht="17.25" customHeight="1">
      <c r="A619" s="28" t="s">
        <v>111</v>
      </c>
      <c r="B619" s="59" t="s">
        <v>69</v>
      </c>
      <c r="C619" s="59" t="s">
        <v>67</v>
      </c>
      <c r="D619" s="59" t="s">
        <v>617</v>
      </c>
      <c r="E619" s="59" t="s">
        <v>112</v>
      </c>
      <c r="F619" s="58">
        <f>F620</f>
        <v>2743.5</v>
      </c>
      <c r="N619" s="102"/>
      <c r="O619" s="102"/>
      <c r="P619" s="102"/>
      <c r="Q619" s="102"/>
      <c r="R619" s="105"/>
    </row>
    <row r="620" spans="1:18" s="30" customFormat="1" ht="36" customHeight="1">
      <c r="A620" s="28" t="s">
        <v>113</v>
      </c>
      <c r="B620" s="59" t="s">
        <v>69</v>
      </c>
      <c r="C620" s="59" t="s">
        <v>67</v>
      </c>
      <c r="D620" s="59" t="s">
        <v>617</v>
      </c>
      <c r="E620" s="59" t="s">
        <v>114</v>
      </c>
      <c r="F620" s="58">
        <f>'пр.4 вед.стр.'!G581</f>
        <v>2743.5</v>
      </c>
      <c r="N620" s="102"/>
      <c r="O620" s="102"/>
      <c r="P620" s="102"/>
      <c r="Q620" s="102"/>
      <c r="R620" s="105"/>
    </row>
    <row r="621" spans="1:18" s="30" customFormat="1" ht="33" customHeight="1">
      <c r="A621" s="28" t="s">
        <v>517</v>
      </c>
      <c r="B621" s="59" t="s">
        <v>69</v>
      </c>
      <c r="C621" s="59" t="s">
        <v>67</v>
      </c>
      <c r="D621" s="59" t="s">
        <v>621</v>
      </c>
      <c r="E621" s="59"/>
      <c r="F621" s="58">
        <f>F622</f>
        <v>1150.5</v>
      </c>
      <c r="N621" s="102"/>
      <c r="O621" s="102"/>
      <c r="P621" s="102"/>
      <c r="Q621" s="102"/>
      <c r="R621" s="105"/>
    </row>
    <row r="622" spans="1:18" s="30" customFormat="1" ht="33" customHeight="1">
      <c r="A622" s="28" t="s">
        <v>105</v>
      </c>
      <c r="B622" s="59" t="s">
        <v>69</v>
      </c>
      <c r="C622" s="59" t="s">
        <v>67</v>
      </c>
      <c r="D622" s="59" t="s">
        <v>621</v>
      </c>
      <c r="E622" s="59" t="s">
        <v>106</v>
      </c>
      <c r="F622" s="58">
        <f>F623</f>
        <v>1150.5</v>
      </c>
      <c r="N622" s="102"/>
      <c r="O622" s="102"/>
      <c r="P622" s="102"/>
      <c r="Q622" s="102"/>
      <c r="R622" s="105"/>
    </row>
    <row r="623" spans="1:18" s="30" customFormat="1" ht="16.5" customHeight="1">
      <c r="A623" s="28" t="s">
        <v>111</v>
      </c>
      <c r="B623" s="59" t="s">
        <v>69</v>
      </c>
      <c r="C623" s="59" t="s">
        <v>67</v>
      </c>
      <c r="D623" s="59" t="s">
        <v>621</v>
      </c>
      <c r="E623" s="59" t="s">
        <v>112</v>
      </c>
      <c r="F623" s="58">
        <f>F624</f>
        <v>1150.5</v>
      </c>
      <c r="N623" s="102"/>
      <c r="O623" s="102"/>
      <c r="P623" s="102"/>
      <c r="Q623" s="102"/>
      <c r="R623" s="105"/>
    </row>
    <row r="624" spans="1:18" s="30" customFormat="1" ht="39" customHeight="1">
      <c r="A624" s="28" t="s">
        <v>113</v>
      </c>
      <c r="B624" s="59" t="s">
        <v>69</v>
      </c>
      <c r="C624" s="59" t="s">
        <v>67</v>
      </c>
      <c r="D624" s="59" t="s">
        <v>621</v>
      </c>
      <c r="E624" s="59" t="s">
        <v>114</v>
      </c>
      <c r="F624" s="58">
        <f>'пр.4 вед.стр.'!G585</f>
        <v>1150.5</v>
      </c>
      <c r="N624" s="102"/>
      <c r="O624" s="102"/>
      <c r="P624" s="102"/>
      <c r="Q624" s="102"/>
      <c r="R624" s="105"/>
    </row>
    <row r="625" spans="1:18" s="30" customFormat="1" ht="42" customHeight="1">
      <c r="A625" s="28" t="s">
        <v>506</v>
      </c>
      <c r="B625" s="59" t="s">
        <v>69</v>
      </c>
      <c r="C625" s="59" t="s">
        <v>67</v>
      </c>
      <c r="D625" s="59" t="s">
        <v>619</v>
      </c>
      <c r="E625" s="59"/>
      <c r="F625" s="58">
        <f>F626</f>
        <v>5829.6</v>
      </c>
      <c r="N625" s="102"/>
      <c r="O625" s="102"/>
      <c r="P625" s="102"/>
      <c r="Q625" s="102"/>
      <c r="R625" s="105"/>
    </row>
    <row r="626" spans="1:18" s="30" customFormat="1" ht="28.5" customHeight="1">
      <c r="A626" s="28" t="s">
        <v>105</v>
      </c>
      <c r="B626" s="59" t="s">
        <v>69</v>
      </c>
      <c r="C626" s="59" t="s">
        <v>67</v>
      </c>
      <c r="D626" s="59" t="s">
        <v>619</v>
      </c>
      <c r="E626" s="59" t="s">
        <v>106</v>
      </c>
      <c r="F626" s="58">
        <f>F627</f>
        <v>5829.6</v>
      </c>
      <c r="N626" s="102"/>
      <c r="O626" s="102"/>
      <c r="P626" s="102"/>
      <c r="Q626" s="102"/>
      <c r="R626" s="105"/>
    </row>
    <row r="627" spans="1:18" s="30" customFormat="1" ht="17.25" customHeight="1">
      <c r="A627" s="28" t="s">
        <v>111</v>
      </c>
      <c r="B627" s="59" t="s">
        <v>69</v>
      </c>
      <c r="C627" s="59" t="s">
        <v>67</v>
      </c>
      <c r="D627" s="59" t="s">
        <v>619</v>
      </c>
      <c r="E627" s="59" t="s">
        <v>112</v>
      </c>
      <c r="F627" s="58">
        <f>F628</f>
        <v>5829.6</v>
      </c>
      <c r="N627" s="102"/>
      <c r="O627" s="102"/>
      <c r="P627" s="102"/>
      <c r="Q627" s="102"/>
      <c r="R627" s="105"/>
    </row>
    <row r="628" spans="1:18" s="30" customFormat="1" ht="17.25" customHeight="1">
      <c r="A628" s="28" t="s">
        <v>115</v>
      </c>
      <c r="B628" s="59" t="s">
        <v>69</v>
      </c>
      <c r="C628" s="59" t="s">
        <v>67</v>
      </c>
      <c r="D628" s="59" t="s">
        <v>619</v>
      </c>
      <c r="E628" s="59" t="s">
        <v>116</v>
      </c>
      <c r="F628" s="58">
        <f>'пр.4 вед.стр.'!G589</f>
        <v>5829.6</v>
      </c>
      <c r="N628" s="102"/>
      <c r="O628" s="102"/>
      <c r="P628" s="102"/>
      <c r="Q628" s="102"/>
      <c r="R628" s="105"/>
    </row>
    <row r="629" spans="1:18" s="30" customFormat="1" ht="26.25" customHeight="1">
      <c r="A629" s="126" t="s">
        <v>507</v>
      </c>
      <c r="B629" s="59" t="s">
        <v>69</v>
      </c>
      <c r="C629" s="60" t="s">
        <v>67</v>
      </c>
      <c r="D629" s="161" t="s">
        <v>176</v>
      </c>
      <c r="E629" s="59"/>
      <c r="F629" s="58">
        <f>F630</f>
        <v>945.2</v>
      </c>
      <c r="N629" s="102"/>
      <c r="O629" s="102"/>
      <c r="P629" s="102"/>
      <c r="Q629" s="102"/>
      <c r="R629" s="105"/>
    </row>
    <row r="630" spans="1:18" s="30" customFormat="1" ht="28.5" customHeight="1">
      <c r="A630" s="126" t="s">
        <v>291</v>
      </c>
      <c r="B630" s="59" t="s">
        <v>69</v>
      </c>
      <c r="C630" s="59" t="s">
        <v>67</v>
      </c>
      <c r="D630" s="161" t="s">
        <v>508</v>
      </c>
      <c r="E630" s="59"/>
      <c r="F630" s="58">
        <f>F631+F639+F643+F635</f>
        <v>945.2</v>
      </c>
      <c r="N630" s="102"/>
      <c r="O630" s="102"/>
      <c r="P630" s="102"/>
      <c r="Q630" s="102"/>
      <c r="R630" s="105"/>
    </row>
    <row r="631" spans="1:18" s="30" customFormat="1" ht="17.25" customHeight="1">
      <c r="A631" s="126" t="s">
        <v>175</v>
      </c>
      <c r="B631" s="59" t="s">
        <v>69</v>
      </c>
      <c r="C631" s="59" t="s">
        <v>67</v>
      </c>
      <c r="D631" s="161" t="s">
        <v>509</v>
      </c>
      <c r="E631" s="59"/>
      <c r="F631" s="58">
        <f>F632</f>
        <v>532.2</v>
      </c>
      <c r="N631" s="102"/>
      <c r="O631" s="102"/>
      <c r="P631" s="102"/>
      <c r="Q631" s="102"/>
      <c r="R631" s="105"/>
    </row>
    <row r="632" spans="1:18" s="30" customFormat="1" ht="29.25" customHeight="1">
      <c r="A632" s="28" t="s">
        <v>105</v>
      </c>
      <c r="B632" s="59" t="s">
        <v>69</v>
      </c>
      <c r="C632" s="59" t="s">
        <v>67</v>
      </c>
      <c r="D632" s="161" t="s">
        <v>509</v>
      </c>
      <c r="E632" s="59" t="s">
        <v>106</v>
      </c>
      <c r="F632" s="58">
        <f>F633</f>
        <v>532.2</v>
      </c>
      <c r="N632" s="102"/>
      <c r="O632" s="102"/>
      <c r="P632" s="102"/>
      <c r="Q632" s="102"/>
      <c r="R632" s="105"/>
    </row>
    <row r="633" spans="1:18" s="30" customFormat="1" ht="17.25" customHeight="1">
      <c r="A633" s="28" t="s">
        <v>111</v>
      </c>
      <c r="B633" s="59" t="s">
        <v>69</v>
      </c>
      <c r="C633" s="59" t="s">
        <v>67</v>
      </c>
      <c r="D633" s="161" t="s">
        <v>509</v>
      </c>
      <c r="E633" s="59" t="s">
        <v>112</v>
      </c>
      <c r="F633" s="58">
        <f>F634</f>
        <v>532.2</v>
      </c>
      <c r="N633" s="102"/>
      <c r="O633" s="102"/>
      <c r="P633" s="102"/>
      <c r="Q633" s="102"/>
      <c r="R633" s="105"/>
    </row>
    <row r="634" spans="1:18" s="30" customFormat="1" ht="17.25" customHeight="1">
      <c r="A634" s="28" t="s">
        <v>115</v>
      </c>
      <c r="B634" s="59" t="s">
        <v>69</v>
      </c>
      <c r="C634" s="59" t="s">
        <v>67</v>
      </c>
      <c r="D634" s="161" t="s">
        <v>509</v>
      </c>
      <c r="E634" s="59" t="s">
        <v>116</v>
      </c>
      <c r="F634" s="58">
        <f>'пр.4 вед.стр.'!G595</f>
        <v>532.2</v>
      </c>
      <c r="N634" s="102"/>
      <c r="O634" s="102"/>
      <c r="P634" s="102"/>
      <c r="Q634" s="102"/>
      <c r="R634" s="105"/>
    </row>
    <row r="635" spans="1:18" s="30" customFormat="1" ht="17.25" customHeight="1">
      <c r="A635" s="16" t="str">
        <f>'пр.4 вед.стр.'!A596</f>
        <v>Замена щитов освещения</v>
      </c>
      <c r="B635" s="59" t="s">
        <v>69</v>
      </c>
      <c r="C635" s="59" t="s">
        <v>67</v>
      </c>
      <c r="D635" s="161" t="str">
        <f>'пр.4 вед.стр.'!E596</f>
        <v>7Б 0 04 91700 </v>
      </c>
      <c r="E635" s="59"/>
      <c r="F635" s="58">
        <f>F636</f>
        <v>168</v>
      </c>
      <c r="N635" s="102"/>
      <c r="O635" s="102"/>
      <c r="P635" s="102"/>
      <c r="Q635" s="102"/>
      <c r="R635" s="105"/>
    </row>
    <row r="636" spans="1:18" s="30" customFormat="1" ht="24.75" customHeight="1">
      <c r="A636" s="28" t="s">
        <v>105</v>
      </c>
      <c r="B636" s="59" t="s">
        <v>69</v>
      </c>
      <c r="C636" s="59" t="s">
        <v>67</v>
      </c>
      <c r="D636" s="161" t="s">
        <v>831</v>
      </c>
      <c r="E636" s="59" t="s">
        <v>106</v>
      </c>
      <c r="F636" s="58">
        <f>F637</f>
        <v>168</v>
      </c>
      <c r="N636" s="102"/>
      <c r="O636" s="102"/>
      <c r="P636" s="102"/>
      <c r="Q636" s="102"/>
      <c r="R636" s="105"/>
    </row>
    <row r="637" spans="1:18" s="30" customFormat="1" ht="17.25" customHeight="1">
      <c r="A637" s="28" t="s">
        <v>111</v>
      </c>
      <c r="B637" s="59" t="s">
        <v>69</v>
      </c>
      <c r="C637" s="59" t="s">
        <v>67</v>
      </c>
      <c r="D637" s="161" t="s">
        <v>831</v>
      </c>
      <c r="E637" s="59" t="s">
        <v>112</v>
      </c>
      <c r="F637" s="58">
        <f>F638</f>
        <v>168</v>
      </c>
      <c r="N637" s="102"/>
      <c r="O637" s="102"/>
      <c r="P637" s="102"/>
      <c r="Q637" s="102"/>
      <c r="R637" s="105"/>
    </row>
    <row r="638" spans="1:18" s="30" customFormat="1" ht="17.25" customHeight="1">
      <c r="A638" s="28" t="s">
        <v>115</v>
      </c>
      <c r="B638" s="59" t="s">
        <v>69</v>
      </c>
      <c r="C638" s="59" t="s">
        <v>67</v>
      </c>
      <c r="D638" s="161" t="s">
        <v>831</v>
      </c>
      <c r="E638" s="59" t="s">
        <v>116</v>
      </c>
      <c r="F638" s="58">
        <f>'пр.4 вед.стр.'!G599</f>
        <v>168</v>
      </c>
      <c r="N638" s="102"/>
      <c r="O638" s="102"/>
      <c r="P638" s="102"/>
      <c r="Q638" s="102"/>
      <c r="R638" s="105"/>
    </row>
    <row r="639" spans="1:18" s="30" customFormat="1" ht="17.25" customHeight="1">
      <c r="A639" s="126" t="s">
        <v>518</v>
      </c>
      <c r="B639" s="59" t="s">
        <v>69</v>
      </c>
      <c r="C639" s="59" t="s">
        <v>67</v>
      </c>
      <c r="D639" s="161" t="s">
        <v>519</v>
      </c>
      <c r="E639" s="59"/>
      <c r="F639" s="58">
        <f>F640</f>
        <v>210</v>
      </c>
      <c r="N639" s="102"/>
      <c r="O639" s="102"/>
      <c r="P639" s="102"/>
      <c r="Q639" s="102"/>
      <c r="R639" s="105"/>
    </row>
    <row r="640" spans="1:18" s="30" customFormat="1" ht="29.25" customHeight="1">
      <c r="A640" s="28" t="s">
        <v>105</v>
      </c>
      <c r="B640" s="59" t="s">
        <v>69</v>
      </c>
      <c r="C640" s="59" t="s">
        <v>67</v>
      </c>
      <c r="D640" s="161" t="s">
        <v>519</v>
      </c>
      <c r="E640" s="59" t="s">
        <v>106</v>
      </c>
      <c r="F640" s="58">
        <f>F641</f>
        <v>210</v>
      </c>
      <c r="N640" s="102"/>
      <c r="O640" s="102"/>
      <c r="P640" s="102"/>
      <c r="Q640" s="102"/>
      <c r="R640" s="105"/>
    </row>
    <row r="641" spans="1:18" s="30" customFormat="1" ht="17.25" customHeight="1">
      <c r="A641" s="28" t="s">
        <v>111</v>
      </c>
      <c r="B641" s="59" t="s">
        <v>69</v>
      </c>
      <c r="C641" s="59" t="s">
        <v>67</v>
      </c>
      <c r="D641" s="161" t="s">
        <v>519</v>
      </c>
      <c r="E641" s="59" t="s">
        <v>112</v>
      </c>
      <c r="F641" s="58">
        <f>F642</f>
        <v>210</v>
      </c>
      <c r="N641" s="102"/>
      <c r="O641" s="102"/>
      <c r="P641" s="102"/>
      <c r="Q641" s="102"/>
      <c r="R641" s="105"/>
    </row>
    <row r="642" spans="1:18" s="30" customFormat="1" ht="17.25" customHeight="1">
      <c r="A642" s="28" t="s">
        <v>115</v>
      </c>
      <c r="B642" s="59" t="s">
        <v>69</v>
      </c>
      <c r="C642" s="59" t="s">
        <v>67</v>
      </c>
      <c r="D642" s="161" t="s">
        <v>519</v>
      </c>
      <c r="E642" s="59" t="s">
        <v>116</v>
      </c>
      <c r="F642" s="58">
        <f>'пр.4 вед.стр.'!G603</f>
        <v>210</v>
      </c>
      <c r="N642" s="102"/>
      <c r="O642" s="102"/>
      <c r="P642" s="102"/>
      <c r="Q642" s="102"/>
      <c r="R642" s="105"/>
    </row>
    <row r="643" spans="1:18" s="30" customFormat="1" ht="17.25" customHeight="1">
      <c r="A643" s="126" t="s">
        <v>520</v>
      </c>
      <c r="B643" s="59" t="s">
        <v>69</v>
      </c>
      <c r="C643" s="59" t="s">
        <v>67</v>
      </c>
      <c r="D643" s="161" t="s">
        <v>521</v>
      </c>
      <c r="E643" s="59"/>
      <c r="F643" s="58">
        <f>F644</f>
        <v>35</v>
      </c>
      <c r="N643" s="102"/>
      <c r="O643" s="102"/>
      <c r="P643" s="102"/>
      <c r="Q643" s="102"/>
      <c r="R643" s="105"/>
    </row>
    <row r="644" spans="1:18" s="30" customFormat="1" ht="27.75" customHeight="1">
      <c r="A644" s="28" t="s">
        <v>105</v>
      </c>
      <c r="B644" s="59" t="s">
        <v>69</v>
      </c>
      <c r="C644" s="59" t="s">
        <v>67</v>
      </c>
      <c r="D644" s="161" t="s">
        <v>521</v>
      </c>
      <c r="E644" s="59" t="s">
        <v>106</v>
      </c>
      <c r="F644" s="58">
        <f>F645</f>
        <v>35</v>
      </c>
      <c r="N644" s="102"/>
      <c r="O644" s="102"/>
      <c r="P644" s="102"/>
      <c r="Q644" s="102"/>
      <c r="R644" s="105"/>
    </row>
    <row r="645" spans="1:18" s="30" customFormat="1" ht="17.25" customHeight="1">
      <c r="A645" s="28" t="s">
        <v>111</v>
      </c>
      <c r="B645" s="59" t="s">
        <v>69</v>
      </c>
      <c r="C645" s="59" t="s">
        <v>67</v>
      </c>
      <c r="D645" s="161" t="s">
        <v>521</v>
      </c>
      <c r="E645" s="59" t="s">
        <v>112</v>
      </c>
      <c r="F645" s="58">
        <f>F646</f>
        <v>35</v>
      </c>
      <c r="N645" s="102"/>
      <c r="O645" s="102"/>
      <c r="P645" s="102"/>
      <c r="Q645" s="102"/>
      <c r="R645" s="105"/>
    </row>
    <row r="646" spans="1:18" s="30" customFormat="1" ht="17.25" customHeight="1">
      <c r="A646" s="28" t="s">
        <v>115</v>
      </c>
      <c r="B646" s="59" t="s">
        <v>69</v>
      </c>
      <c r="C646" s="59" t="s">
        <v>67</v>
      </c>
      <c r="D646" s="161" t="s">
        <v>521</v>
      </c>
      <c r="E646" s="59" t="s">
        <v>116</v>
      </c>
      <c r="F646" s="58">
        <f>'пр.4 вед.стр.'!G607</f>
        <v>35</v>
      </c>
      <c r="N646" s="102"/>
      <c r="O646" s="102"/>
      <c r="P646" s="102"/>
      <c r="Q646" s="102"/>
      <c r="R646" s="105"/>
    </row>
    <row r="647" spans="1:18" s="30" customFormat="1" ht="30.75" customHeight="1">
      <c r="A647" s="126" t="s">
        <v>510</v>
      </c>
      <c r="B647" s="60" t="s">
        <v>69</v>
      </c>
      <c r="C647" s="60" t="s">
        <v>67</v>
      </c>
      <c r="D647" s="161" t="s">
        <v>177</v>
      </c>
      <c r="E647" s="60"/>
      <c r="F647" s="58">
        <f>F648</f>
        <v>4494.9</v>
      </c>
      <c r="N647" s="102"/>
      <c r="O647" s="102"/>
      <c r="P647" s="102"/>
      <c r="Q647" s="102"/>
      <c r="R647" s="105"/>
    </row>
    <row r="648" spans="1:18" s="30" customFormat="1" ht="34.5" customHeight="1">
      <c r="A648" s="126" t="s">
        <v>280</v>
      </c>
      <c r="B648" s="59" t="s">
        <v>69</v>
      </c>
      <c r="C648" s="59" t="s">
        <v>67</v>
      </c>
      <c r="D648" s="161" t="s">
        <v>324</v>
      </c>
      <c r="E648" s="59"/>
      <c r="F648" s="58">
        <f>F649+F653+F657+F661+F669+F665</f>
        <v>4494.9</v>
      </c>
      <c r="N648" s="102"/>
      <c r="O648" s="102"/>
      <c r="P648" s="102"/>
      <c r="Q648" s="102"/>
      <c r="R648" s="105"/>
    </row>
    <row r="649" spans="1:18" s="30" customFormat="1" ht="17.25" customHeight="1">
      <c r="A649" s="126" t="s">
        <v>511</v>
      </c>
      <c r="B649" s="59" t="s">
        <v>69</v>
      </c>
      <c r="C649" s="59" t="s">
        <v>67</v>
      </c>
      <c r="D649" s="161" t="s">
        <v>512</v>
      </c>
      <c r="E649" s="59"/>
      <c r="F649" s="58">
        <f>F650</f>
        <v>219</v>
      </c>
      <c r="N649" s="102"/>
      <c r="O649" s="102"/>
      <c r="P649" s="102"/>
      <c r="Q649" s="102"/>
      <c r="R649" s="105"/>
    </row>
    <row r="650" spans="1:18" s="30" customFormat="1" ht="24.75" customHeight="1">
      <c r="A650" s="28" t="s">
        <v>105</v>
      </c>
      <c r="B650" s="59" t="s">
        <v>69</v>
      </c>
      <c r="C650" s="59" t="s">
        <v>67</v>
      </c>
      <c r="D650" s="161" t="s">
        <v>512</v>
      </c>
      <c r="E650" s="59" t="s">
        <v>106</v>
      </c>
      <c r="F650" s="58">
        <f>F651</f>
        <v>219</v>
      </c>
      <c r="N650" s="102"/>
      <c r="O650" s="102"/>
      <c r="P650" s="102"/>
      <c r="Q650" s="102"/>
      <c r="R650" s="105"/>
    </row>
    <row r="651" spans="1:18" s="30" customFormat="1" ht="17.25" customHeight="1">
      <c r="A651" s="28" t="s">
        <v>111</v>
      </c>
      <c r="B651" s="59" t="s">
        <v>69</v>
      </c>
      <c r="C651" s="59" t="s">
        <v>67</v>
      </c>
      <c r="D651" s="161" t="s">
        <v>512</v>
      </c>
      <c r="E651" s="59" t="s">
        <v>112</v>
      </c>
      <c r="F651" s="58">
        <f>F652</f>
        <v>219</v>
      </c>
      <c r="N651" s="102"/>
      <c r="O651" s="102"/>
      <c r="P651" s="102"/>
      <c r="Q651" s="102"/>
      <c r="R651" s="105"/>
    </row>
    <row r="652" spans="1:18" s="30" customFormat="1" ht="17.25" customHeight="1">
      <c r="A652" s="28" t="s">
        <v>115</v>
      </c>
      <c r="B652" s="59" t="s">
        <v>69</v>
      </c>
      <c r="C652" s="59" t="s">
        <v>67</v>
      </c>
      <c r="D652" s="161" t="s">
        <v>512</v>
      </c>
      <c r="E652" s="59" t="s">
        <v>116</v>
      </c>
      <c r="F652" s="58">
        <f>'пр.4 вед.стр.'!G613</f>
        <v>219</v>
      </c>
      <c r="N652" s="102"/>
      <c r="O652" s="102"/>
      <c r="P652" s="102"/>
      <c r="Q652" s="102"/>
      <c r="R652" s="105"/>
    </row>
    <row r="653" spans="1:18" s="30" customFormat="1" ht="33" customHeight="1">
      <c r="A653" s="28" t="s">
        <v>522</v>
      </c>
      <c r="B653" s="59" t="s">
        <v>69</v>
      </c>
      <c r="C653" s="59" t="s">
        <v>67</v>
      </c>
      <c r="D653" s="59" t="s">
        <v>523</v>
      </c>
      <c r="E653" s="63"/>
      <c r="F653" s="58">
        <f>F654</f>
        <v>1474.2</v>
      </c>
      <c r="N653" s="102"/>
      <c r="O653" s="102"/>
      <c r="P653" s="102"/>
      <c r="Q653" s="102"/>
      <c r="R653" s="105"/>
    </row>
    <row r="654" spans="1:18" s="30" customFormat="1" ht="30" customHeight="1">
      <c r="A654" s="28" t="s">
        <v>105</v>
      </c>
      <c r="B654" s="59" t="s">
        <v>69</v>
      </c>
      <c r="C654" s="59" t="s">
        <v>67</v>
      </c>
      <c r="D654" s="59" t="s">
        <v>523</v>
      </c>
      <c r="E654" s="59" t="s">
        <v>106</v>
      </c>
      <c r="F654" s="58">
        <f>F655</f>
        <v>1474.2</v>
      </c>
      <c r="N654" s="102"/>
      <c r="O654" s="102"/>
      <c r="P654" s="102"/>
      <c r="Q654" s="102"/>
      <c r="R654" s="105"/>
    </row>
    <row r="655" spans="1:18" s="30" customFormat="1" ht="17.25" customHeight="1">
      <c r="A655" s="28" t="s">
        <v>111</v>
      </c>
      <c r="B655" s="59" t="s">
        <v>69</v>
      </c>
      <c r="C655" s="59" t="s">
        <v>67</v>
      </c>
      <c r="D655" s="59" t="s">
        <v>523</v>
      </c>
      <c r="E655" s="59" t="s">
        <v>112</v>
      </c>
      <c r="F655" s="58">
        <f>F656</f>
        <v>1474.2</v>
      </c>
      <c r="N655" s="102"/>
      <c r="O655" s="102"/>
      <c r="P655" s="102"/>
      <c r="Q655" s="102"/>
      <c r="R655" s="105"/>
    </row>
    <row r="656" spans="1:18" s="30" customFormat="1" ht="17.25" customHeight="1">
      <c r="A656" s="28" t="s">
        <v>115</v>
      </c>
      <c r="B656" s="59" t="s">
        <v>69</v>
      </c>
      <c r="C656" s="59" t="s">
        <v>67</v>
      </c>
      <c r="D656" s="59" t="s">
        <v>523</v>
      </c>
      <c r="E656" s="59" t="s">
        <v>116</v>
      </c>
      <c r="F656" s="58">
        <f>'пр.4 вед.стр.'!G617</f>
        <v>1474.2</v>
      </c>
      <c r="N656" s="102"/>
      <c r="O656" s="102"/>
      <c r="P656" s="102"/>
      <c r="Q656" s="102"/>
      <c r="R656" s="105"/>
    </row>
    <row r="657" spans="1:18" s="30" customFormat="1" ht="29.25" customHeight="1">
      <c r="A657" s="28" t="s">
        <v>524</v>
      </c>
      <c r="B657" s="59" t="s">
        <v>69</v>
      </c>
      <c r="C657" s="59" t="s">
        <v>67</v>
      </c>
      <c r="D657" s="59" t="s">
        <v>525</v>
      </c>
      <c r="E657" s="59"/>
      <c r="F657" s="58">
        <f>F658</f>
        <v>1671.2</v>
      </c>
      <c r="N657" s="102"/>
      <c r="O657" s="102"/>
      <c r="P657" s="102"/>
      <c r="Q657" s="102"/>
      <c r="R657" s="105"/>
    </row>
    <row r="658" spans="1:18" s="30" customFormat="1" ht="25.5" customHeight="1">
      <c r="A658" s="28" t="s">
        <v>105</v>
      </c>
      <c r="B658" s="59" t="s">
        <v>69</v>
      </c>
      <c r="C658" s="59" t="s">
        <v>67</v>
      </c>
      <c r="D658" s="59" t="s">
        <v>525</v>
      </c>
      <c r="E658" s="59" t="s">
        <v>106</v>
      </c>
      <c r="F658" s="58">
        <f>F659</f>
        <v>1671.2</v>
      </c>
      <c r="N658" s="102"/>
      <c r="O658" s="102"/>
      <c r="P658" s="102"/>
      <c r="Q658" s="102"/>
      <c r="R658" s="105"/>
    </row>
    <row r="659" spans="1:18" s="30" customFormat="1" ht="17.25" customHeight="1">
      <c r="A659" s="28" t="s">
        <v>111</v>
      </c>
      <c r="B659" s="59" t="s">
        <v>69</v>
      </c>
      <c r="C659" s="59" t="s">
        <v>67</v>
      </c>
      <c r="D659" s="59" t="s">
        <v>525</v>
      </c>
      <c r="E659" s="59" t="s">
        <v>112</v>
      </c>
      <c r="F659" s="58">
        <f>F660</f>
        <v>1671.2</v>
      </c>
      <c r="N659" s="102"/>
      <c r="O659" s="102"/>
      <c r="P659" s="102"/>
      <c r="Q659" s="102"/>
      <c r="R659" s="105"/>
    </row>
    <row r="660" spans="1:18" s="30" customFormat="1" ht="17.25" customHeight="1">
      <c r="A660" s="28" t="s">
        <v>115</v>
      </c>
      <c r="B660" s="59" t="s">
        <v>69</v>
      </c>
      <c r="C660" s="59" t="s">
        <v>67</v>
      </c>
      <c r="D660" s="59" t="s">
        <v>525</v>
      </c>
      <c r="E660" s="59" t="s">
        <v>116</v>
      </c>
      <c r="F660" s="58">
        <f>'пр.4 вед.стр.'!G621</f>
        <v>1671.2</v>
      </c>
      <c r="N660" s="102"/>
      <c r="O660" s="102"/>
      <c r="P660" s="102"/>
      <c r="Q660" s="102"/>
      <c r="R660" s="105"/>
    </row>
    <row r="661" spans="1:18" s="30" customFormat="1" ht="24.75" customHeight="1">
      <c r="A661" s="126" t="s">
        <v>526</v>
      </c>
      <c r="B661" s="59" t="s">
        <v>69</v>
      </c>
      <c r="C661" s="59" t="s">
        <v>67</v>
      </c>
      <c r="D661" s="161" t="s">
        <v>527</v>
      </c>
      <c r="E661" s="59"/>
      <c r="F661" s="58">
        <f>F662</f>
        <v>796.9</v>
      </c>
      <c r="N661" s="102"/>
      <c r="O661" s="102"/>
      <c r="P661" s="102"/>
      <c r="Q661" s="102"/>
      <c r="R661" s="105"/>
    </row>
    <row r="662" spans="1:18" s="30" customFormat="1" ht="27" customHeight="1">
      <c r="A662" s="28" t="s">
        <v>105</v>
      </c>
      <c r="B662" s="59" t="s">
        <v>69</v>
      </c>
      <c r="C662" s="59" t="s">
        <v>67</v>
      </c>
      <c r="D662" s="161" t="s">
        <v>527</v>
      </c>
      <c r="E662" s="59" t="s">
        <v>106</v>
      </c>
      <c r="F662" s="58">
        <f>F663</f>
        <v>796.9</v>
      </c>
      <c r="N662" s="102"/>
      <c r="O662" s="102"/>
      <c r="P662" s="102"/>
      <c r="Q662" s="102"/>
      <c r="R662" s="105"/>
    </row>
    <row r="663" spans="1:18" s="30" customFormat="1" ht="17.25" customHeight="1">
      <c r="A663" s="28" t="s">
        <v>111</v>
      </c>
      <c r="B663" s="59" t="s">
        <v>69</v>
      </c>
      <c r="C663" s="59" t="s">
        <v>67</v>
      </c>
      <c r="D663" s="161" t="s">
        <v>527</v>
      </c>
      <c r="E663" s="59" t="s">
        <v>112</v>
      </c>
      <c r="F663" s="58">
        <f>F664</f>
        <v>796.9</v>
      </c>
      <c r="N663" s="102"/>
      <c r="O663" s="102"/>
      <c r="P663" s="102"/>
      <c r="Q663" s="102"/>
      <c r="R663" s="105"/>
    </row>
    <row r="664" spans="1:18" s="30" customFormat="1" ht="17.25" customHeight="1">
      <c r="A664" s="28" t="s">
        <v>115</v>
      </c>
      <c r="B664" s="59" t="s">
        <v>69</v>
      </c>
      <c r="C664" s="59" t="s">
        <v>67</v>
      </c>
      <c r="D664" s="161" t="s">
        <v>527</v>
      </c>
      <c r="E664" s="59" t="s">
        <v>116</v>
      </c>
      <c r="F664" s="58">
        <f>'пр.4 вед.стр.'!G625</f>
        <v>796.9</v>
      </c>
      <c r="N664" s="102"/>
      <c r="O664" s="102"/>
      <c r="P664" s="102"/>
      <c r="Q664" s="102"/>
      <c r="R664" s="105"/>
    </row>
    <row r="665" spans="1:18" s="30" customFormat="1" ht="33" customHeight="1">
      <c r="A665" s="126" t="s">
        <v>528</v>
      </c>
      <c r="B665" s="59" t="s">
        <v>69</v>
      </c>
      <c r="C665" s="59" t="s">
        <v>67</v>
      </c>
      <c r="D665" s="161" t="s">
        <v>529</v>
      </c>
      <c r="E665" s="59"/>
      <c r="F665" s="58">
        <f>F666</f>
        <v>299.4</v>
      </c>
      <c r="N665" s="102"/>
      <c r="O665" s="102"/>
      <c r="P665" s="102"/>
      <c r="Q665" s="102"/>
      <c r="R665" s="105"/>
    </row>
    <row r="666" spans="1:18" s="30" customFormat="1" ht="28.5" customHeight="1">
      <c r="A666" s="28" t="s">
        <v>105</v>
      </c>
      <c r="B666" s="59" t="s">
        <v>69</v>
      </c>
      <c r="C666" s="59" t="s">
        <v>67</v>
      </c>
      <c r="D666" s="161" t="s">
        <v>529</v>
      </c>
      <c r="E666" s="59" t="s">
        <v>106</v>
      </c>
      <c r="F666" s="58">
        <f>F667</f>
        <v>299.4</v>
      </c>
      <c r="N666" s="102"/>
      <c r="O666" s="102"/>
      <c r="P666" s="102"/>
      <c r="Q666" s="102"/>
      <c r="R666" s="105"/>
    </row>
    <row r="667" spans="1:18" s="30" customFormat="1" ht="17.25" customHeight="1">
      <c r="A667" s="28" t="s">
        <v>111</v>
      </c>
      <c r="B667" s="59" t="s">
        <v>69</v>
      </c>
      <c r="C667" s="59" t="s">
        <v>67</v>
      </c>
      <c r="D667" s="161" t="s">
        <v>529</v>
      </c>
      <c r="E667" s="59" t="s">
        <v>112</v>
      </c>
      <c r="F667" s="58">
        <f>F668</f>
        <v>299.4</v>
      </c>
      <c r="N667" s="102"/>
      <c r="O667" s="102"/>
      <c r="P667" s="102"/>
      <c r="Q667" s="102"/>
      <c r="R667" s="105"/>
    </row>
    <row r="668" spans="1:18" s="30" customFormat="1" ht="17.25" customHeight="1">
      <c r="A668" s="28" t="s">
        <v>115</v>
      </c>
      <c r="B668" s="59" t="s">
        <v>69</v>
      </c>
      <c r="C668" s="59" t="s">
        <v>67</v>
      </c>
      <c r="D668" s="161" t="s">
        <v>529</v>
      </c>
      <c r="E668" s="59" t="s">
        <v>116</v>
      </c>
      <c r="F668" s="58">
        <f>'пр.4 вед.стр.'!G629</f>
        <v>299.4</v>
      </c>
      <c r="N668" s="102"/>
      <c r="O668" s="102"/>
      <c r="P668" s="102"/>
      <c r="Q668" s="102"/>
      <c r="R668" s="105"/>
    </row>
    <row r="669" spans="1:18" s="30" customFormat="1" ht="17.25" customHeight="1">
      <c r="A669" s="126" t="s">
        <v>292</v>
      </c>
      <c r="B669" s="59" t="s">
        <v>69</v>
      </c>
      <c r="C669" s="59" t="s">
        <v>67</v>
      </c>
      <c r="D669" s="161" t="s">
        <v>329</v>
      </c>
      <c r="E669" s="59"/>
      <c r="F669" s="58">
        <f>F670</f>
        <v>34.2</v>
      </c>
      <c r="N669" s="102"/>
      <c r="O669" s="102"/>
      <c r="P669" s="102"/>
      <c r="Q669" s="102"/>
      <c r="R669" s="105"/>
    </row>
    <row r="670" spans="1:18" s="30" customFormat="1" ht="27.75" customHeight="1">
      <c r="A670" s="28" t="s">
        <v>105</v>
      </c>
      <c r="B670" s="59" t="s">
        <v>69</v>
      </c>
      <c r="C670" s="59" t="s">
        <v>67</v>
      </c>
      <c r="D670" s="161" t="s">
        <v>329</v>
      </c>
      <c r="E670" s="59" t="s">
        <v>106</v>
      </c>
      <c r="F670" s="58">
        <f>F671</f>
        <v>34.2</v>
      </c>
      <c r="N670" s="102"/>
      <c r="O670" s="102"/>
      <c r="P670" s="102"/>
      <c r="Q670" s="102"/>
      <c r="R670" s="105"/>
    </row>
    <row r="671" spans="1:18" s="30" customFormat="1" ht="17.25" customHeight="1">
      <c r="A671" s="28" t="s">
        <v>111</v>
      </c>
      <c r="B671" s="59" t="s">
        <v>69</v>
      </c>
      <c r="C671" s="59" t="s">
        <v>67</v>
      </c>
      <c r="D671" s="161" t="s">
        <v>329</v>
      </c>
      <c r="E671" s="59" t="s">
        <v>112</v>
      </c>
      <c r="F671" s="58">
        <f>F672</f>
        <v>34.2</v>
      </c>
      <c r="N671" s="102"/>
      <c r="O671" s="102"/>
      <c r="P671" s="102"/>
      <c r="Q671" s="102"/>
      <c r="R671" s="105"/>
    </row>
    <row r="672" spans="1:18" s="30" customFormat="1" ht="17.25" customHeight="1">
      <c r="A672" s="28" t="s">
        <v>115</v>
      </c>
      <c r="B672" s="59" t="s">
        <v>69</v>
      </c>
      <c r="C672" s="59" t="s">
        <v>67</v>
      </c>
      <c r="D672" s="161" t="s">
        <v>329</v>
      </c>
      <c r="E672" s="59" t="s">
        <v>116</v>
      </c>
      <c r="F672" s="58">
        <f>'пр.4 вед.стр.'!G633</f>
        <v>34.2</v>
      </c>
      <c r="N672" s="102"/>
      <c r="O672" s="102"/>
      <c r="P672" s="102"/>
      <c r="Q672" s="102"/>
      <c r="R672" s="105"/>
    </row>
    <row r="673" spans="1:18" s="30" customFormat="1" ht="24.75" customHeight="1">
      <c r="A673" s="126" t="s">
        <v>513</v>
      </c>
      <c r="B673" s="59" t="s">
        <v>69</v>
      </c>
      <c r="C673" s="59" t="s">
        <v>67</v>
      </c>
      <c r="D673" s="161" t="s">
        <v>180</v>
      </c>
      <c r="E673" s="59"/>
      <c r="F673" s="58">
        <f>F674</f>
        <v>1249.8000000000002</v>
      </c>
      <c r="N673" s="102"/>
      <c r="O673" s="102"/>
      <c r="P673" s="102"/>
      <c r="Q673" s="102"/>
      <c r="R673" s="105"/>
    </row>
    <row r="674" spans="1:18" s="30" customFormat="1" ht="24.75" customHeight="1">
      <c r="A674" s="126" t="s">
        <v>251</v>
      </c>
      <c r="B674" s="59" t="s">
        <v>69</v>
      </c>
      <c r="C674" s="59" t="s">
        <v>67</v>
      </c>
      <c r="D674" s="161" t="s">
        <v>325</v>
      </c>
      <c r="E674" s="59"/>
      <c r="F674" s="58">
        <f>F675+F679+F683+F687+F691</f>
        <v>1249.8000000000002</v>
      </c>
      <c r="N674" s="102"/>
      <c r="O674" s="102"/>
      <c r="P674" s="102"/>
      <c r="Q674" s="102"/>
      <c r="R674" s="105"/>
    </row>
    <row r="675" spans="1:18" s="30" customFormat="1" ht="17.25" customHeight="1">
      <c r="A675" s="126" t="s">
        <v>179</v>
      </c>
      <c r="B675" s="59" t="s">
        <v>69</v>
      </c>
      <c r="C675" s="59" t="s">
        <v>67</v>
      </c>
      <c r="D675" s="161" t="s">
        <v>326</v>
      </c>
      <c r="E675" s="59"/>
      <c r="F675" s="58">
        <f>F676</f>
        <v>845.6000000000001</v>
      </c>
      <c r="N675" s="102"/>
      <c r="O675" s="102"/>
      <c r="P675" s="102"/>
      <c r="Q675" s="102"/>
      <c r="R675" s="105"/>
    </row>
    <row r="676" spans="1:18" s="30" customFormat="1" ht="27" customHeight="1">
      <c r="A676" s="28" t="s">
        <v>105</v>
      </c>
      <c r="B676" s="59" t="s">
        <v>69</v>
      </c>
      <c r="C676" s="59" t="s">
        <v>67</v>
      </c>
      <c r="D676" s="161" t="s">
        <v>326</v>
      </c>
      <c r="E676" s="59" t="s">
        <v>106</v>
      </c>
      <c r="F676" s="58">
        <f>F677</f>
        <v>845.6000000000001</v>
      </c>
      <c r="N676" s="102"/>
      <c r="O676" s="102"/>
      <c r="P676" s="102"/>
      <c r="Q676" s="102"/>
      <c r="R676" s="105"/>
    </row>
    <row r="677" spans="1:18" s="30" customFormat="1" ht="17.25" customHeight="1">
      <c r="A677" s="28" t="s">
        <v>111</v>
      </c>
      <c r="B677" s="59" t="s">
        <v>69</v>
      </c>
      <c r="C677" s="59" t="s">
        <v>67</v>
      </c>
      <c r="D677" s="161" t="s">
        <v>326</v>
      </c>
      <c r="E677" s="59" t="s">
        <v>112</v>
      </c>
      <c r="F677" s="58">
        <f>F678</f>
        <v>845.6000000000001</v>
      </c>
      <c r="N677" s="102"/>
      <c r="O677" s="102"/>
      <c r="P677" s="102"/>
      <c r="Q677" s="102"/>
      <c r="R677" s="105"/>
    </row>
    <row r="678" spans="1:18" s="30" customFormat="1" ht="17.25" customHeight="1">
      <c r="A678" s="28" t="s">
        <v>115</v>
      </c>
      <c r="B678" s="59" t="s">
        <v>69</v>
      </c>
      <c r="C678" s="59" t="s">
        <v>67</v>
      </c>
      <c r="D678" s="161" t="s">
        <v>326</v>
      </c>
      <c r="E678" s="59" t="s">
        <v>116</v>
      </c>
      <c r="F678" s="58">
        <f>'пр.4 вед.стр.'!G639</f>
        <v>845.6000000000001</v>
      </c>
      <c r="N678" s="102"/>
      <c r="O678" s="102"/>
      <c r="P678" s="102"/>
      <c r="Q678" s="102"/>
      <c r="R678" s="105"/>
    </row>
    <row r="679" spans="1:18" s="30" customFormat="1" ht="17.25" customHeight="1">
      <c r="A679" s="126" t="s">
        <v>182</v>
      </c>
      <c r="B679" s="59" t="s">
        <v>69</v>
      </c>
      <c r="C679" s="59" t="s">
        <v>67</v>
      </c>
      <c r="D679" s="161" t="s">
        <v>330</v>
      </c>
      <c r="E679" s="59"/>
      <c r="F679" s="58">
        <f>F680</f>
        <v>119.7</v>
      </c>
      <c r="N679" s="102"/>
      <c r="O679" s="102"/>
      <c r="P679" s="102"/>
      <c r="Q679" s="102"/>
      <c r="R679" s="105"/>
    </row>
    <row r="680" spans="1:18" s="30" customFormat="1" ht="29.25" customHeight="1">
      <c r="A680" s="28" t="s">
        <v>105</v>
      </c>
      <c r="B680" s="59" t="s">
        <v>69</v>
      </c>
      <c r="C680" s="59" t="s">
        <v>67</v>
      </c>
      <c r="D680" s="161" t="s">
        <v>330</v>
      </c>
      <c r="E680" s="59" t="s">
        <v>106</v>
      </c>
      <c r="F680" s="58">
        <f>F681</f>
        <v>119.7</v>
      </c>
      <c r="N680" s="102"/>
      <c r="O680" s="102"/>
      <c r="P680" s="102"/>
      <c r="Q680" s="102"/>
      <c r="R680" s="105"/>
    </row>
    <row r="681" spans="1:18" s="30" customFormat="1" ht="17.25" customHeight="1">
      <c r="A681" s="28" t="s">
        <v>111</v>
      </c>
      <c r="B681" s="59" t="s">
        <v>69</v>
      </c>
      <c r="C681" s="59" t="s">
        <v>67</v>
      </c>
      <c r="D681" s="161" t="s">
        <v>330</v>
      </c>
      <c r="E681" s="59" t="s">
        <v>112</v>
      </c>
      <c r="F681" s="58">
        <f>F682</f>
        <v>119.7</v>
      </c>
      <c r="N681" s="102"/>
      <c r="O681" s="102"/>
      <c r="P681" s="102"/>
      <c r="Q681" s="102"/>
      <c r="R681" s="105"/>
    </row>
    <row r="682" spans="1:18" s="30" customFormat="1" ht="17.25" customHeight="1">
      <c r="A682" s="28" t="s">
        <v>115</v>
      </c>
      <c r="B682" s="59" t="s">
        <v>69</v>
      </c>
      <c r="C682" s="59" t="s">
        <v>67</v>
      </c>
      <c r="D682" s="161" t="s">
        <v>330</v>
      </c>
      <c r="E682" s="59" t="s">
        <v>116</v>
      </c>
      <c r="F682" s="58">
        <f>'пр.4 вед.стр.'!G643</f>
        <v>119.7</v>
      </c>
      <c r="N682" s="102"/>
      <c r="O682" s="102"/>
      <c r="P682" s="102"/>
      <c r="Q682" s="102"/>
      <c r="R682" s="105"/>
    </row>
    <row r="683" spans="1:18" s="30" customFormat="1" ht="17.25" customHeight="1">
      <c r="A683" s="126" t="s">
        <v>290</v>
      </c>
      <c r="B683" s="59" t="s">
        <v>69</v>
      </c>
      <c r="C683" s="59" t="s">
        <v>67</v>
      </c>
      <c r="D683" s="161" t="s">
        <v>327</v>
      </c>
      <c r="E683" s="59"/>
      <c r="F683" s="58">
        <f>F684</f>
        <v>175.90000000000006</v>
      </c>
      <c r="N683" s="102"/>
      <c r="O683" s="102"/>
      <c r="P683" s="102"/>
      <c r="Q683" s="102"/>
      <c r="R683" s="105"/>
    </row>
    <row r="684" spans="1:18" s="30" customFormat="1" ht="28.5" customHeight="1">
      <c r="A684" s="28" t="s">
        <v>105</v>
      </c>
      <c r="B684" s="59" t="s">
        <v>69</v>
      </c>
      <c r="C684" s="59" t="s">
        <v>67</v>
      </c>
      <c r="D684" s="161" t="s">
        <v>327</v>
      </c>
      <c r="E684" s="59" t="s">
        <v>106</v>
      </c>
      <c r="F684" s="58">
        <f>F685</f>
        <v>175.90000000000006</v>
      </c>
      <c r="N684" s="102"/>
      <c r="O684" s="102"/>
      <c r="P684" s="102"/>
      <c r="Q684" s="102"/>
      <c r="R684" s="105"/>
    </row>
    <row r="685" spans="1:18" s="30" customFormat="1" ht="17.25" customHeight="1">
      <c r="A685" s="28" t="s">
        <v>111</v>
      </c>
      <c r="B685" s="59" t="s">
        <v>69</v>
      </c>
      <c r="C685" s="59" t="s">
        <v>67</v>
      </c>
      <c r="D685" s="161" t="s">
        <v>327</v>
      </c>
      <c r="E685" s="59" t="s">
        <v>112</v>
      </c>
      <c r="F685" s="58">
        <f>F686</f>
        <v>175.90000000000006</v>
      </c>
      <c r="N685" s="102"/>
      <c r="O685" s="102"/>
      <c r="P685" s="102"/>
      <c r="Q685" s="102"/>
      <c r="R685" s="105"/>
    </row>
    <row r="686" spans="1:18" s="30" customFormat="1" ht="17.25" customHeight="1">
      <c r="A686" s="28" t="s">
        <v>115</v>
      </c>
      <c r="B686" s="59" t="s">
        <v>69</v>
      </c>
      <c r="C686" s="59" t="s">
        <v>67</v>
      </c>
      <c r="D686" s="161" t="s">
        <v>327</v>
      </c>
      <c r="E686" s="59" t="s">
        <v>116</v>
      </c>
      <c r="F686" s="58">
        <f>'пр.4 вед.стр.'!G647</f>
        <v>175.90000000000006</v>
      </c>
      <c r="N686" s="102"/>
      <c r="O686" s="102"/>
      <c r="P686" s="102"/>
      <c r="Q686" s="102"/>
      <c r="R686" s="105"/>
    </row>
    <row r="687" spans="1:18" s="30" customFormat="1" ht="30" customHeight="1">
      <c r="A687" s="126" t="s">
        <v>611</v>
      </c>
      <c r="B687" s="59" t="s">
        <v>69</v>
      </c>
      <c r="C687" s="59" t="s">
        <v>67</v>
      </c>
      <c r="D687" s="161" t="s">
        <v>328</v>
      </c>
      <c r="E687" s="59"/>
      <c r="F687" s="58">
        <f>F688</f>
        <v>52.800000000000004</v>
      </c>
      <c r="N687" s="102"/>
      <c r="O687" s="102"/>
      <c r="P687" s="102"/>
      <c r="Q687" s="102"/>
      <c r="R687" s="105"/>
    </row>
    <row r="688" spans="1:18" s="30" customFormat="1" ht="27.75" customHeight="1">
      <c r="A688" s="28" t="s">
        <v>105</v>
      </c>
      <c r="B688" s="59" t="s">
        <v>69</v>
      </c>
      <c r="C688" s="59" t="s">
        <v>67</v>
      </c>
      <c r="D688" s="161" t="s">
        <v>328</v>
      </c>
      <c r="E688" s="59" t="s">
        <v>106</v>
      </c>
      <c r="F688" s="58">
        <f>F689</f>
        <v>52.800000000000004</v>
      </c>
      <c r="N688" s="102"/>
      <c r="O688" s="102"/>
      <c r="P688" s="102"/>
      <c r="Q688" s="102"/>
      <c r="R688" s="105"/>
    </row>
    <row r="689" spans="1:18" s="30" customFormat="1" ht="17.25" customHeight="1">
      <c r="A689" s="28" t="s">
        <v>111</v>
      </c>
      <c r="B689" s="59" t="s">
        <v>69</v>
      </c>
      <c r="C689" s="59" t="s">
        <v>67</v>
      </c>
      <c r="D689" s="161" t="s">
        <v>328</v>
      </c>
      <c r="E689" s="59" t="s">
        <v>112</v>
      </c>
      <c r="F689" s="58">
        <f>F690</f>
        <v>52.800000000000004</v>
      </c>
      <c r="N689" s="102"/>
      <c r="O689" s="102"/>
      <c r="P689" s="102"/>
      <c r="Q689" s="102"/>
      <c r="R689" s="105"/>
    </row>
    <row r="690" spans="1:18" s="30" customFormat="1" ht="17.25" customHeight="1">
      <c r="A690" s="28" t="s">
        <v>115</v>
      </c>
      <c r="B690" s="59" t="s">
        <v>69</v>
      </c>
      <c r="C690" s="59" t="s">
        <v>67</v>
      </c>
      <c r="D690" s="161" t="s">
        <v>328</v>
      </c>
      <c r="E690" s="59" t="s">
        <v>116</v>
      </c>
      <c r="F690" s="58">
        <f>'пр.4 вед.стр.'!G651</f>
        <v>52.800000000000004</v>
      </c>
      <c r="N690" s="102"/>
      <c r="O690" s="102"/>
      <c r="P690" s="102"/>
      <c r="Q690" s="102"/>
      <c r="R690" s="105"/>
    </row>
    <row r="691" spans="1:18" s="30" customFormat="1" ht="17.25" customHeight="1">
      <c r="A691" s="28" t="s">
        <v>514</v>
      </c>
      <c r="B691" s="59" t="s">
        <v>69</v>
      </c>
      <c r="C691" s="59" t="s">
        <v>67</v>
      </c>
      <c r="D691" s="161" t="s">
        <v>515</v>
      </c>
      <c r="E691" s="59"/>
      <c r="F691" s="58">
        <f>F692</f>
        <v>55.8</v>
      </c>
      <c r="N691" s="102"/>
      <c r="O691" s="102"/>
      <c r="P691" s="102"/>
      <c r="Q691" s="102"/>
      <c r="R691" s="105"/>
    </row>
    <row r="692" spans="1:18" s="30" customFormat="1" ht="24" customHeight="1">
      <c r="A692" s="28" t="s">
        <v>105</v>
      </c>
      <c r="B692" s="59" t="s">
        <v>69</v>
      </c>
      <c r="C692" s="59" t="s">
        <v>67</v>
      </c>
      <c r="D692" s="161" t="s">
        <v>515</v>
      </c>
      <c r="E692" s="59" t="s">
        <v>106</v>
      </c>
      <c r="F692" s="58">
        <f>F693</f>
        <v>55.8</v>
      </c>
      <c r="N692" s="102"/>
      <c r="O692" s="102"/>
      <c r="P692" s="102"/>
      <c r="Q692" s="102"/>
      <c r="R692" s="105"/>
    </row>
    <row r="693" spans="1:18" s="30" customFormat="1" ht="17.25" customHeight="1">
      <c r="A693" s="28" t="s">
        <v>111</v>
      </c>
      <c r="B693" s="59" t="s">
        <v>69</v>
      </c>
      <c r="C693" s="59" t="s">
        <v>67</v>
      </c>
      <c r="D693" s="161" t="s">
        <v>515</v>
      </c>
      <c r="E693" s="59" t="s">
        <v>112</v>
      </c>
      <c r="F693" s="58">
        <f>F694</f>
        <v>55.8</v>
      </c>
      <c r="N693" s="102"/>
      <c r="O693" s="102"/>
      <c r="P693" s="102"/>
      <c r="Q693" s="102"/>
      <c r="R693" s="105"/>
    </row>
    <row r="694" spans="1:18" s="30" customFormat="1" ht="17.25" customHeight="1">
      <c r="A694" s="28" t="s">
        <v>115</v>
      </c>
      <c r="B694" s="59" t="s">
        <v>69</v>
      </c>
      <c r="C694" s="59" t="s">
        <v>67</v>
      </c>
      <c r="D694" s="161" t="s">
        <v>515</v>
      </c>
      <c r="E694" s="59" t="s">
        <v>116</v>
      </c>
      <c r="F694" s="58">
        <f>'пр.4 вед.стр.'!G655</f>
        <v>55.8</v>
      </c>
      <c r="N694" s="102"/>
      <c r="O694" s="102"/>
      <c r="P694" s="102"/>
      <c r="Q694" s="102"/>
      <c r="R694" s="105"/>
    </row>
    <row r="695" spans="1:18" s="30" customFormat="1" ht="30" customHeight="1">
      <c r="A695" s="28" t="s">
        <v>449</v>
      </c>
      <c r="B695" s="59" t="s">
        <v>69</v>
      </c>
      <c r="C695" s="59" t="s">
        <v>67</v>
      </c>
      <c r="D695" s="59" t="s">
        <v>450</v>
      </c>
      <c r="E695" s="59"/>
      <c r="F695" s="58">
        <f>F696</f>
        <v>30</v>
      </c>
      <c r="N695" s="102"/>
      <c r="O695" s="102"/>
      <c r="P695" s="102"/>
      <c r="Q695" s="102"/>
      <c r="R695" s="105"/>
    </row>
    <row r="696" spans="1:18" s="30" customFormat="1" ht="17.25" customHeight="1">
      <c r="A696" s="28" t="s">
        <v>461</v>
      </c>
      <c r="B696" s="59" t="s">
        <v>69</v>
      </c>
      <c r="C696" s="59" t="s">
        <v>67</v>
      </c>
      <c r="D696" s="59" t="s">
        <v>462</v>
      </c>
      <c r="E696" s="59"/>
      <c r="F696" s="143">
        <f>F697</f>
        <v>30</v>
      </c>
      <c r="N696" s="102"/>
      <c r="O696" s="102"/>
      <c r="P696" s="102"/>
      <c r="Q696" s="102"/>
      <c r="R696" s="105"/>
    </row>
    <row r="697" spans="1:18" s="30" customFormat="1" ht="27" customHeight="1">
      <c r="A697" s="28" t="s">
        <v>463</v>
      </c>
      <c r="B697" s="59" t="s">
        <v>69</v>
      </c>
      <c r="C697" s="59" t="s">
        <v>67</v>
      </c>
      <c r="D697" s="59" t="s">
        <v>464</v>
      </c>
      <c r="E697" s="59"/>
      <c r="F697" s="58">
        <f>F698</f>
        <v>30</v>
      </c>
      <c r="N697" s="102"/>
      <c r="O697" s="102"/>
      <c r="P697" s="102"/>
      <c r="Q697" s="102"/>
      <c r="R697" s="105"/>
    </row>
    <row r="698" spans="1:18" s="30" customFormat="1" ht="28.5" customHeight="1">
      <c r="A698" s="28" t="s">
        <v>105</v>
      </c>
      <c r="B698" s="59" t="s">
        <v>69</v>
      </c>
      <c r="C698" s="59" t="s">
        <v>67</v>
      </c>
      <c r="D698" s="59" t="s">
        <v>464</v>
      </c>
      <c r="E698" s="59" t="s">
        <v>106</v>
      </c>
      <c r="F698" s="58">
        <f>F699</f>
        <v>30</v>
      </c>
      <c r="N698" s="102"/>
      <c r="O698" s="102"/>
      <c r="P698" s="102"/>
      <c r="Q698" s="102"/>
      <c r="R698" s="105"/>
    </row>
    <row r="699" spans="1:18" s="30" customFormat="1" ht="17.25" customHeight="1">
      <c r="A699" s="28" t="s">
        <v>111</v>
      </c>
      <c r="B699" s="59" t="s">
        <v>69</v>
      </c>
      <c r="C699" s="59" t="s">
        <v>67</v>
      </c>
      <c r="D699" s="59" t="s">
        <v>464</v>
      </c>
      <c r="E699" s="59" t="s">
        <v>112</v>
      </c>
      <c r="F699" s="58">
        <f>F700</f>
        <v>30</v>
      </c>
      <c r="N699" s="102"/>
      <c r="O699" s="102"/>
      <c r="P699" s="102"/>
      <c r="Q699" s="102"/>
      <c r="R699" s="105"/>
    </row>
    <row r="700" spans="1:18" s="30" customFormat="1" ht="17.25" customHeight="1">
      <c r="A700" s="28" t="s">
        <v>115</v>
      </c>
      <c r="B700" s="59" t="s">
        <v>69</v>
      </c>
      <c r="C700" s="59" t="s">
        <v>67</v>
      </c>
      <c r="D700" s="59" t="s">
        <v>464</v>
      </c>
      <c r="E700" s="59" t="s">
        <v>116</v>
      </c>
      <c r="F700" s="58">
        <f>'пр.4 вед.стр.'!G661</f>
        <v>30</v>
      </c>
      <c r="N700" s="102"/>
      <c r="O700" s="102"/>
      <c r="P700" s="102"/>
      <c r="Q700" s="102"/>
      <c r="R700" s="105"/>
    </row>
    <row r="701" spans="1:18" s="30" customFormat="1" ht="26.25" customHeight="1">
      <c r="A701" s="28" t="str">
        <f>'пр.4 вед.стр.'!A662</f>
        <v>Муниципальная программа "Повышение безопасности дорожного движения на территории Сусуманского городского округа в 2017 году"</v>
      </c>
      <c r="B701" s="59" t="s">
        <v>69</v>
      </c>
      <c r="C701" s="59" t="s">
        <v>67</v>
      </c>
      <c r="D701" s="149" t="str">
        <f>'пр.4 вед.стр.'!E662</f>
        <v>7D 0 00 00000</v>
      </c>
      <c r="E701" s="59"/>
      <c r="F701" s="58">
        <f>F702</f>
        <v>34</v>
      </c>
      <c r="N701" s="102"/>
      <c r="O701" s="102"/>
      <c r="P701" s="102"/>
      <c r="Q701" s="102"/>
      <c r="R701" s="105"/>
    </row>
    <row r="702" spans="1:18" s="30" customFormat="1" ht="17.25" customHeight="1">
      <c r="A702" s="28" t="str">
        <f>'пр.4 вед.стр.'!A663</f>
        <v>Основное мероприятие "Обеспечение реализации программы"</v>
      </c>
      <c r="B702" s="59" t="s">
        <v>69</v>
      </c>
      <c r="C702" s="59" t="s">
        <v>67</v>
      </c>
      <c r="D702" s="149" t="str">
        <f>'пр.4 вед.стр.'!E663</f>
        <v>7D 0 01 00000</v>
      </c>
      <c r="E702" s="59"/>
      <c r="F702" s="58">
        <f>F703</f>
        <v>34</v>
      </c>
      <c r="N702" s="102"/>
      <c r="O702" s="102"/>
      <c r="P702" s="102"/>
      <c r="Q702" s="102"/>
      <c r="R702" s="105"/>
    </row>
    <row r="703" spans="1:18" s="30" customFormat="1" ht="17.25" customHeight="1">
      <c r="A703" s="28" t="str">
        <f>'пр.4 вед.стр.'!A664</f>
        <v>Приобретение светоотражающих лент для образовательных учреждений</v>
      </c>
      <c r="B703" s="59" t="s">
        <v>69</v>
      </c>
      <c r="C703" s="59" t="s">
        <v>67</v>
      </c>
      <c r="D703" s="149" t="str">
        <f>'пр.4 вед.стр.'!E664</f>
        <v>7D 0 01 95420</v>
      </c>
      <c r="E703" s="59"/>
      <c r="F703" s="58">
        <f>F704</f>
        <v>34</v>
      </c>
      <c r="N703" s="102"/>
      <c r="O703" s="102"/>
      <c r="P703" s="102"/>
      <c r="Q703" s="102"/>
      <c r="R703" s="105"/>
    </row>
    <row r="704" spans="1:18" s="30" customFormat="1" ht="17.25" customHeight="1">
      <c r="A704" s="28" t="str">
        <f>'пр.4 вед.стр.'!A665</f>
        <v>Предоставление субсидий бюджетным, автономным учреждениям и иным некоммерческим организациям</v>
      </c>
      <c r="B704" s="59" t="s">
        <v>69</v>
      </c>
      <c r="C704" s="59" t="s">
        <v>67</v>
      </c>
      <c r="D704" s="149" t="str">
        <f>'пр.4 вед.стр.'!E665</f>
        <v>7D 0 01 95420</v>
      </c>
      <c r="E704" s="59" t="s">
        <v>106</v>
      </c>
      <c r="F704" s="58">
        <f>F705</f>
        <v>34</v>
      </c>
      <c r="N704" s="102"/>
      <c r="O704" s="102"/>
      <c r="P704" s="102"/>
      <c r="Q704" s="102"/>
      <c r="R704" s="105"/>
    </row>
    <row r="705" spans="1:18" s="30" customFormat="1" ht="17.25" customHeight="1">
      <c r="A705" s="28" t="str">
        <f>'пр.4 вед.стр.'!A666</f>
        <v>Субсидии бюджетным учреждениям</v>
      </c>
      <c r="B705" s="59" t="s">
        <v>69</v>
      </c>
      <c r="C705" s="59" t="s">
        <v>67</v>
      </c>
      <c r="D705" s="149" t="str">
        <f>'пр.4 вед.стр.'!E666</f>
        <v>7D 0 01 95420</v>
      </c>
      <c r="E705" s="59" t="s">
        <v>112</v>
      </c>
      <c r="F705" s="58">
        <f>F706</f>
        <v>34</v>
      </c>
      <c r="N705" s="102"/>
      <c r="O705" s="102"/>
      <c r="P705" s="102"/>
      <c r="Q705" s="102"/>
      <c r="R705" s="105"/>
    </row>
    <row r="706" spans="1:18" s="30" customFormat="1" ht="17.25" customHeight="1">
      <c r="A706" s="28" t="str">
        <f>'пр.4 вед.стр.'!A667</f>
        <v>Субсидии  бюджетным учреждениям на иные цели</v>
      </c>
      <c r="B706" s="59" t="s">
        <v>69</v>
      </c>
      <c r="C706" s="59" t="s">
        <v>67</v>
      </c>
      <c r="D706" s="149" t="str">
        <f>'пр.4 вед.стр.'!E667</f>
        <v>7D 0 01 95420</v>
      </c>
      <c r="E706" s="59" t="s">
        <v>116</v>
      </c>
      <c r="F706" s="58">
        <f>'пр.4 вед.стр.'!G667</f>
        <v>34</v>
      </c>
      <c r="N706" s="102"/>
      <c r="O706" s="102"/>
      <c r="P706" s="102"/>
      <c r="Q706" s="102"/>
      <c r="R706" s="105"/>
    </row>
    <row r="707" spans="1:18" s="30" customFormat="1" ht="17.25" customHeight="1">
      <c r="A707" s="28" t="s">
        <v>360</v>
      </c>
      <c r="B707" s="59" t="s">
        <v>69</v>
      </c>
      <c r="C707" s="59" t="s">
        <v>67</v>
      </c>
      <c r="D707" s="59" t="s">
        <v>215</v>
      </c>
      <c r="E707" s="59"/>
      <c r="F707" s="58">
        <f>F708</f>
        <v>4402.7</v>
      </c>
      <c r="N707" s="102"/>
      <c r="O707" s="102"/>
      <c r="P707" s="102"/>
      <c r="Q707" s="102"/>
      <c r="R707" s="105"/>
    </row>
    <row r="708" spans="1:18" s="30" customFormat="1" ht="17.25" customHeight="1">
      <c r="A708" s="28" t="s">
        <v>363</v>
      </c>
      <c r="B708" s="59" t="s">
        <v>69</v>
      </c>
      <c r="C708" s="59" t="s">
        <v>67</v>
      </c>
      <c r="D708" s="59" t="s">
        <v>358</v>
      </c>
      <c r="E708" s="59"/>
      <c r="F708" s="58">
        <f>F709+F713</f>
        <v>4402.7</v>
      </c>
      <c r="N708" s="102"/>
      <c r="O708" s="102"/>
      <c r="P708" s="102"/>
      <c r="Q708" s="102"/>
      <c r="R708" s="105"/>
    </row>
    <row r="709" spans="1:18" s="30" customFormat="1" ht="38.25" customHeight="1">
      <c r="A709" s="28" t="s">
        <v>287</v>
      </c>
      <c r="B709" s="59" t="s">
        <v>69</v>
      </c>
      <c r="C709" s="59" t="s">
        <v>67</v>
      </c>
      <c r="D709" s="59" t="s">
        <v>359</v>
      </c>
      <c r="E709" s="59"/>
      <c r="F709" s="58">
        <f>F710</f>
        <v>3830</v>
      </c>
      <c r="N709" s="102"/>
      <c r="O709" s="102"/>
      <c r="P709" s="102"/>
      <c r="Q709" s="102"/>
      <c r="R709" s="105"/>
    </row>
    <row r="710" spans="1:18" s="30" customFormat="1" ht="30" customHeight="1">
      <c r="A710" s="28" t="s">
        <v>105</v>
      </c>
      <c r="B710" s="59" t="s">
        <v>69</v>
      </c>
      <c r="C710" s="59" t="s">
        <v>67</v>
      </c>
      <c r="D710" s="59" t="s">
        <v>359</v>
      </c>
      <c r="E710" s="59" t="s">
        <v>106</v>
      </c>
      <c r="F710" s="58">
        <f>F711</f>
        <v>3830</v>
      </c>
      <c r="N710" s="102"/>
      <c r="O710" s="102"/>
      <c r="P710" s="102"/>
      <c r="Q710" s="102"/>
      <c r="R710" s="105"/>
    </row>
    <row r="711" spans="1:18" s="30" customFormat="1" ht="17.25" customHeight="1">
      <c r="A711" s="28" t="s">
        <v>111</v>
      </c>
      <c r="B711" s="59" t="s">
        <v>69</v>
      </c>
      <c r="C711" s="59" t="s">
        <v>67</v>
      </c>
      <c r="D711" s="59" t="s">
        <v>359</v>
      </c>
      <c r="E711" s="59" t="s">
        <v>112</v>
      </c>
      <c r="F711" s="58">
        <f>F712</f>
        <v>3830</v>
      </c>
      <c r="N711" s="102"/>
      <c r="O711" s="102"/>
      <c r="P711" s="102"/>
      <c r="Q711" s="102"/>
      <c r="R711" s="105"/>
    </row>
    <row r="712" spans="1:18" s="30" customFormat="1" ht="17.25" customHeight="1">
      <c r="A712" s="28" t="s">
        <v>115</v>
      </c>
      <c r="B712" s="59" t="s">
        <v>69</v>
      </c>
      <c r="C712" s="59" t="s">
        <v>67</v>
      </c>
      <c r="D712" s="59" t="s">
        <v>359</v>
      </c>
      <c r="E712" s="59" t="s">
        <v>116</v>
      </c>
      <c r="F712" s="58">
        <f>'пр.4 вед.стр.'!G673</f>
        <v>3830</v>
      </c>
      <c r="N712" s="102"/>
      <c r="O712" s="102"/>
      <c r="P712" s="102"/>
      <c r="Q712" s="102"/>
      <c r="R712" s="105"/>
    </row>
    <row r="713" spans="1:18" s="30" customFormat="1" ht="17.25" customHeight="1">
      <c r="A713" s="28" t="s">
        <v>235</v>
      </c>
      <c r="B713" s="59" t="s">
        <v>69</v>
      </c>
      <c r="C713" s="59" t="s">
        <v>67</v>
      </c>
      <c r="D713" s="59" t="s">
        <v>362</v>
      </c>
      <c r="E713" s="59"/>
      <c r="F713" s="58">
        <f>F714</f>
        <v>572.7</v>
      </c>
      <c r="N713" s="102"/>
      <c r="O713" s="102"/>
      <c r="P713" s="102"/>
      <c r="Q713" s="102"/>
      <c r="R713" s="105"/>
    </row>
    <row r="714" spans="1:18" s="30" customFormat="1" ht="25.5" customHeight="1">
      <c r="A714" s="28" t="s">
        <v>105</v>
      </c>
      <c r="B714" s="59" t="s">
        <v>69</v>
      </c>
      <c r="C714" s="59" t="s">
        <v>67</v>
      </c>
      <c r="D714" s="59" t="s">
        <v>362</v>
      </c>
      <c r="E714" s="59" t="s">
        <v>106</v>
      </c>
      <c r="F714" s="58">
        <f>F715</f>
        <v>572.7</v>
      </c>
      <c r="N714" s="102"/>
      <c r="O714" s="102"/>
      <c r="P714" s="102"/>
      <c r="Q714" s="102"/>
      <c r="R714" s="105"/>
    </row>
    <row r="715" spans="1:18" s="30" customFormat="1" ht="17.25" customHeight="1">
      <c r="A715" s="28" t="s">
        <v>111</v>
      </c>
      <c r="B715" s="59" t="s">
        <v>69</v>
      </c>
      <c r="C715" s="59" t="s">
        <v>67</v>
      </c>
      <c r="D715" s="59" t="s">
        <v>362</v>
      </c>
      <c r="E715" s="59" t="s">
        <v>112</v>
      </c>
      <c r="F715" s="58">
        <f>F716</f>
        <v>572.7</v>
      </c>
      <c r="N715" s="102"/>
      <c r="O715" s="102"/>
      <c r="P715" s="102"/>
      <c r="Q715" s="102"/>
      <c r="R715" s="105"/>
    </row>
    <row r="716" spans="1:18" s="30" customFormat="1" ht="17.25" customHeight="1">
      <c r="A716" s="28" t="s">
        <v>115</v>
      </c>
      <c r="B716" s="59" t="s">
        <v>69</v>
      </c>
      <c r="C716" s="59" t="s">
        <v>67</v>
      </c>
      <c r="D716" s="59" t="s">
        <v>362</v>
      </c>
      <c r="E716" s="59" t="s">
        <v>116</v>
      </c>
      <c r="F716" s="58">
        <f>'пр.4 вед.стр.'!G677</f>
        <v>572.7</v>
      </c>
      <c r="N716" s="102"/>
      <c r="O716" s="102"/>
      <c r="P716" s="102"/>
      <c r="Q716" s="102"/>
      <c r="R716" s="105"/>
    </row>
    <row r="717" spans="1:18" s="30" customFormat="1" ht="17.25" customHeight="1">
      <c r="A717" s="28" t="s">
        <v>60</v>
      </c>
      <c r="B717" s="59" t="s">
        <v>69</v>
      </c>
      <c r="C717" s="59" t="s">
        <v>67</v>
      </c>
      <c r="D717" s="59" t="s">
        <v>227</v>
      </c>
      <c r="E717" s="59"/>
      <c r="F717" s="58">
        <f>F718</f>
        <v>35063.8</v>
      </c>
      <c r="N717" s="102"/>
      <c r="O717" s="102"/>
      <c r="P717" s="102"/>
      <c r="Q717" s="102"/>
      <c r="R717" s="105"/>
    </row>
    <row r="718" spans="1:18" s="30" customFormat="1" ht="30" customHeight="1">
      <c r="A718" s="28" t="s">
        <v>473</v>
      </c>
      <c r="B718" s="59" t="s">
        <v>69</v>
      </c>
      <c r="C718" s="59" t="s">
        <v>67</v>
      </c>
      <c r="D718" s="59" t="s">
        <v>371</v>
      </c>
      <c r="E718" s="59"/>
      <c r="F718" s="58">
        <f>F719</f>
        <v>35063.8</v>
      </c>
      <c r="N718" s="102"/>
      <c r="O718" s="102"/>
      <c r="P718" s="102"/>
      <c r="Q718" s="102"/>
      <c r="R718" s="105"/>
    </row>
    <row r="719" spans="1:18" s="30" customFormat="1" ht="17.25" customHeight="1">
      <c r="A719" s="28" t="s">
        <v>249</v>
      </c>
      <c r="B719" s="59" t="s">
        <v>69</v>
      </c>
      <c r="C719" s="59" t="s">
        <v>67</v>
      </c>
      <c r="D719" s="59" t="s">
        <v>372</v>
      </c>
      <c r="E719" s="59"/>
      <c r="F719" s="58">
        <f>F720</f>
        <v>35063.8</v>
      </c>
      <c r="N719" s="102"/>
      <c r="O719" s="102"/>
      <c r="P719" s="102"/>
      <c r="Q719" s="102"/>
      <c r="R719" s="105"/>
    </row>
    <row r="720" spans="1:18" s="30" customFormat="1" ht="30" customHeight="1">
      <c r="A720" s="28" t="s">
        <v>105</v>
      </c>
      <c r="B720" s="59" t="s">
        <v>69</v>
      </c>
      <c r="C720" s="59" t="s">
        <v>67</v>
      </c>
      <c r="D720" s="59" t="s">
        <v>372</v>
      </c>
      <c r="E720" s="59" t="s">
        <v>106</v>
      </c>
      <c r="F720" s="58">
        <f>F721</f>
        <v>35063.8</v>
      </c>
      <c r="N720" s="102"/>
      <c r="O720" s="102"/>
      <c r="P720" s="102"/>
      <c r="Q720" s="102"/>
      <c r="R720" s="105"/>
    </row>
    <row r="721" spans="1:18" s="30" customFormat="1" ht="17.25" customHeight="1">
      <c r="A721" s="28" t="s">
        <v>111</v>
      </c>
      <c r="B721" s="59" t="s">
        <v>69</v>
      </c>
      <c r="C721" s="59" t="s">
        <v>67</v>
      </c>
      <c r="D721" s="59" t="s">
        <v>372</v>
      </c>
      <c r="E721" s="59" t="s">
        <v>112</v>
      </c>
      <c r="F721" s="58">
        <f>F722+F723</f>
        <v>35063.8</v>
      </c>
      <c r="N721" s="102"/>
      <c r="O721" s="102"/>
      <c r="P721" s="102"/>
      <c r="Q721" s="102"/>
      <c r="R721" s="105"/>
    </row>
    <row r="722" spans="1:18" s="30" customFormat="1" ht="39.75" customHeight="1">
      <c r="A722" s="28" t="s">
        <v>113</v>
      </c>
      <c r="B722" s="59" t="s">
        <v>69</v>
      </c>
      <c r="C722" s="59" t="s">
        <v>67</v>
      </c>
      <c r="D722" s="59" t="s">
        <v>372</v>
      </c>
      <c r="E722" s="59" t="s">
        <v>114</v>
      </c>
      <c r="F722" s="58">
        <f>'пр.4 вед.стр.'!G683</f>
        <v>33131.700000000004</v>
      </c>
      <c r="N722" s="102"/>
      <c r="O722" s="102"/>
      <c r="P722" s="102"/>
      <c r="Q722" s="102"/>
      <c r="R722" s="105"/>
    </row>
    <row r="723" spans="1:18" s="30" customFormat="1" ht="17.25" customHeight="1">
      <c r="A723" s="28" t="s">
        <v>115</v>
      </c>
      <c r="B723" s="59" t="s">
        <v>69</v>
      </c>
      <c r="C723" s="59" t="s">
        <v>67</v>
      </c>
      <c r="D723" s="59" t="s">
        <v>372</v>
      </c>
      <c r="E723" s="59" t="s">
        <v>116</v>
      </c>
      <c r="F723" s="58">
        <f>'пр.4 вед.стр.'!G684</f>
        <v>1932.1</v>
      </c>
      <c r="N723" s="102"/>
      <c r="O723" s="102"/>
      <c r="P723" s="102"/>
      <c r="Q723" s="102"/>
      <c r="R723" s="105"/>
    </row>
    <row r="724" spans="1:18" s="30" customFormat="1" ht="17.25" customHeight="1">
      <c r="A724" s="61" t="s">
        <v>530</v>
      </c>
      <c r="B724" s="63" t="s">
        <v>69</v>
      </c>
      <c r="C724" s="63" t="s">
        <v>70</v>
      </c>
      <c r="D724" s="63"/>
      <c r="E724" s="63"/>
      <c r="F724" s="64">
        <f>F725+F739+F745+F771+F777+F787</f>
        <v>56077.700000000004</v>
      </c>
      <c r="N724" s="102"/>
      <c r="O724" s="102"/>
      <c r="P724" s="102"/>
      <c r="Q724" s="102"/>
      <c r="R724" s="105"/>
    </row>
    <row r="725" spans="1:18" s="30" customFormat="1" ht="30" customHeight="1">
      <c r="A725" s="126" t="s">
        <v>444</v>
      </c>
      <c r="B725" s="59" t="s">
        <v>69</v>
      </c>
      <c r="C725" s="59" t="s">
        <v>70</v>
      </c>
      <c r="D725" s="59" t="s">
        <v>191</v>
      </c>
      <c r="E725" s="63"/>
      <c r="F725" s="58">
        <f>F726</f>
        <v>4320.299999999999</v>
      </c>
      <c r="N725" s="102"/>
      <c r="O725" s="102"/>
      <c r="P725" s="102"/>
      <c r="Q725" s="102"/>
      <c r="R725" s="105"/>
    </row>
    <row r="726" spans="1:18" s="30" customFormat="1" ht="17.25" customHeight="1">
      <c r="A726" s="28" t="s">
        <v>501</v>
      </c>
      <c r="B726" s="59" t="s">
        <v>69</v>
      </c>
      <c r="C726" s="59" t="s">
        <v>70</v>
      </c>
      <c r="D726" s="59" t="s">
        <v>615</v>
      </c>
      <c r="E726" s="63"/>
      <c r="F726" s="58">
        <f>F727+F731+F735</f>
        <v>4320.299999999999</v>
      </c>
      <c r="N726" s="102"/>
      <c r="O726" s="102"/>
      <c r="P726" s="102"/>
      <c r="Q726" s="102"/>
      <c r="R726" s="105"/>
    </row>
    <row r="727" spans="1:18" s="30" customFormat="1" ht="42" customHeight="1">
      <c r="A727" s="28" t="s">
        <v>503</v>
      </c>
      <c r="B727" s="59" t="s">
        <v>69</v>
      </c>
      <c r="C727" s="59" t="s">
        <v>70</v>
      </c>
      <c r="D727" s="59" t="s">
        <v>616</v>
      </c>
      <c r="E727" s="59"/>
      <c r="F727" s="58">
        <f>F728</f>
        <v>380.4</v>
      </c>
      <c r="N727" s="102"/>
      <c r="O727" s="102"/>
      <c r="P727" s="102"/>
      <c r="Q727" s="102"/>
      <c r="R727" s="105"/>
    </row>
    <row r="728" spans="1:18" s="30" customFormat="1" ht="30.75" customHeight="1">
      <c r="A728" s="28" t="s">
        <v>105</v>
      </c>
      <c r="B728" s="59" t="s">
        <v>69</v>
      </c>
      <c r="C728" s="59" t="s">
        <v>70</v>
      </c>
      <c r="D728" s="59" t="s">
        <v>616</v>
      </c>
      <c r="E728" s="59" t="s">
        <v>106</v>
      </c>
      <c r="F728" s="58">
        <f>F729</f>
        <v>380.4</v>
      </c>
      <c r="N728" s="102"/>
      <c r="O728" s="102"/>
      <c r="P728" s="102"/>
      <c r="Q728" s="102"/>
      <c r="R728" s="105"/>
    </row>
    <row r="729" spans="1:18" s="30" customFormat="1" ht="17.25" customHeight="1">
      <c r="A729" s="28" t="s">
        <v>111</v>
      </c>
      <c r="B729" s="59" t="s">
        <v>69</v>
      </c>
      <c r="C729" s="59" t="s">
        <v>70</v>
      </c>
      <c r="D729" s="59" t="s">
        <v>616</v>
      </c>
      <c r="E729" s="59" t="s">
        <v>112</v>
      </c>
      <c r="F729" s="58">
        <f>F730</f>
        <v>380.4</v>
      </c>
      <c r="N729" s="102"/>
      <c r="O729" s="102"/>
      <c r="P729" s="102"/>
      <c r="Q729" s="102"/>
      <c r="R729" s="105"/>
    </row>
    <row r="730" spans="1:18" s="30" customFormat="1" ht="46.5" customHeight="1">
      <c r="A730" s="28" t="s">
        <v>113</v>
      </c>
      <c r="B730" s="59" t="s">
        <v>69</v>
      </c>
      <c r="C730" s="59" t="s">
        <v>70</v>
      </c>
      <c r="D730" s="59" t="s">
        <v>616</v>
      </c>
      <c r="E730" s="59" t="s">
        <v>114</v>
      </c>
      <c r="F730" s="58">
        <f>'пр.4 вед.стр.'!G691+'пр.4 вед.стр.'!G877</f>
        <v>380.4</v>
      </c>
      <c r="N730" s="102"/>
      <c r="O730" s="102"/>
      <c r="P730" s="102"/>
      <c r="Q730" s="102"/>
      <c r="R730" s="105"/>
    </row>
    <row r="731" spans="1:18" s="30" customFormat="1" ht="46.5" customHeight="1">
      <c r="A731" s="28" t="s">
        <v>504</v>
      </c>
      <c r="B731" s="59" t="s">
        <v>69</v>
      </c>
      <c r="C731" s="59" t="s">
        <v>70</v>
      </c>
      <c r="D731" s="59" t="s">
        <v>617</v>
      </c>
      <c r="E731" s="59"/>
      <c r="F731" s="58">
        <f>F732</f>
        <v>1224.3</v>
      </c>
      <c r="N731" s="102"/>
      <c r="O731" s="102"/>
      <c r="P731" s="102"/>
      <c r="Q731" s="102"/>
      <c r="R731" s="105"/>
    </row>
    <row r="732" spans="1:18" s="30" customFormat="1" ht="27" customHeight="1">
      <c r="A732" s="28" t="s">
        <v>105</v>
      </c>
      <c r="B732" s="59" t="s">
        <v>69</v>
      </c>
      <c r="C732" s="59" t="s">
        <v>70</v>
      </c>
      <c r="D732" s="59" t="s">
        <v>617</v>
      </c>
      <c r="E732" s="59" t="s">
        <v>106</v>
      </c>
      <c r="F732" s="58">
        <f>F733</f>
        <v>1224.3</v>
      </c>
      <c r="N732" s="102"/>
      <c r="O732" s="102"/>
      <c r="P732" s="102"/>
      <c r="Q732" s="102"/>
      <c r="R732" s="105"/>
    </row>
    <row r="733" spans="1:18" s="30" customFormat="1" ht="17.25" customHeight="1">
      <c r="A733" s="28" t="s">
        <v>111</v>
      </c>
      <c r="B733" s="59" t="s">
        <v>69</v>
      </c>
      <c r="C733" s="59" t="s">
        <v>70</v>
      </c>
      <c r="D733" s="59" t="s">
        <v>617</v>
      </c>
      <c r="E733" s="59" t="s">
        <v>112</v>
      </c>
      <c r="F733" s="58">
        <f>F734</f>
        <v>1224.3</v>
      </c>
      <c r="N733" s="102"/>
      <c r="O733" s="102"/>
      <c r="P733" s="102"/>
      <c r="Q733" s="102"/>
      <c r="R733" s="105"/>
    </row>
    <row r="734" spans="1:18" s="30" customFormat="1" ht="38.25" customHeight="1">
      <c r="A734" s="28" t="s">
        <v>113</v>
      </c>
      <c r="B734" s="59" t="s">
        <v>69</v>
      </c>
      <c r="C734" s="59" t="s">
        <v>70</v>
      </c>
      <c r="D734" s="59" t="s">
        <v>617</v>
      </c>
      <c r="E734" s="59" t="s">
        <v>114</v>
      </c>
      <c r="F734" s="58">
        <f>'пр.4 вед.стр.'!G881+'пр.4 вед.стр.'!G695</f>
        <v>1224.3</v>
      </c>
      <c r="N734" s="102"/>
      <c r="O734" s="102"/>
      <c r="P734" s="102"/>
      <c r="Q734" s="102"/>
      <c r="R734" s="105"/>
    </row>
    <row r="735" spans="1:18" s="30" customFormat="1" ht="42" customHeight="1">
      <c r="A735" s="28" t="s">
        <v>506</v>
      </c>
      <c r="B735" s="59" t="s">
        <v>69</v>
      </c>
      <c r="C735" s="59" t="s">
        <v>70</v>
      </c>
      <c r="D735" s="59" t="s">
        <v>619</v>
      </c>
      <c r="E735" s="59"/>
      <c r="F735" s="58">
        <f>F736</f>
        <v>2715.6</v>
      </c>
      <c r="N735" s="102"/>
      <c r="O735" s="102"/>
      <c r="P735" s="102"/>
      <c r="Q735" s="102"/>
      <c r="R735" s="105"/>
    </row>
    <row r="736" spans="1:18" s="30" customFormat="1" ht="30" customHeight="1">
      <c r="A736" s="28" t="s">
        <v>105</v>
      </c>
      <c r="B736" s="59" t="s">
        <v>69</v>
      </c>
      <c r="C736" s="59" t="s">
        <v>70</v>
      </c>
      <c r="D736" s="59" t="s">
        <v>619</v>
      </c>
      <c r="E736" s="59" t="s">
        <v>106</v>
      </c>
      <c r="F736" s="58">
        <f>F737</f>
        <v>2715.6</v>
      </c>
      <c r="N736" s="106"/>
      <c r="O736" s="106"/>
      <c r="P736" s="106"/>
      <c r="Q736" s="106"/>
      <c r="R736" s="105"/>
    </row>
    <row r="737" spans="1:18" s="30" customFormat="1" ht="17.25" customHeight="1">
      <c r="A737" s="28" t="s">
        <v>111</v>
      </c>
      <c r="B737" s="59" t="s">
        <v>69</v>
      </c>
      <c r="C737" s="59" t="s">
        <v>70</v>
      </c>
      <c r="D737" s="59" t="s">
        <v>619</v>
      </c>
      <c r="E737" s="59" t="s">
        <v>112</v>
      </c>
      <c r="F737" s="58">
        <f>F738</f>
        <v>2715.6</v>
      </c>
      <c r="N737" s="106"/>
      <c r="O737" s="106"/>
      <c r="P737" s="106"/>
      <c r="Q737" s="106"/>
      <c r="R737" s="105"/>
    </row>
    <row r="738" spans="1:18" s="30" customFormat="1" ht="17.25" customHeight="1">
      <c r="A738" s="28" t="s">
        <v>115</v>
      </c>
      <c r="B738" s="59" t="s">
        <v>69</v>
      </c>
      <c r="C738" s="59" t="s">
        <v>70</v>
      </c>
      <c r="D738" s="59" t="s">
        <v>619</v>
      </c>
      <c r="E738" s="59" t="s">
        <v>116</v>
      </c>
      <c r="F738" s="58">
        <f>'пр.4 вед.стр.'!G699+'пр.4 вед.стр.'!G885</f>
        <v>2715.6</v>
      </c>
      <c r="N738" s="102"/>
      <c r="O738" s="102"/>
      <c r="P738" s="102"/>
      <c r="Q738" s="102"/>
      <c r="R738" s="105"/>
    </row>
    <row r="739" spans="1:18" s="30" customFormat="1" ht="30.75" customHeight="1">
      <c r="A739" s="126" t="s">
        <v>507</v>
      </c>
      <c r="B739" s="59" t="s">
        <v>69</v>
      </c>
      <c r="C739" s="60" t="s">
        <v>70</v>
      </c>
      <c r="D739" s="161" t="s">
        <v>176</v>
      </c>
      <c r="E739" s="59"/>
      <c r="F739" s="58">
        <f>F740</f>
        <v>103</v>
      </c>
      <c r="N739" s="102"/>
      <c r="O739" s="102"/>
      <c r="P739" s="102"/>
      <c r="Q739" s="102"/>
      <c r="R739" s="105"/>
    </row>
    <row r="740" spans="1:18" s="30" customFormat="1" ht="30.75" customHeight="1">
      <c r="A740" s="126" t="s">
        <v>291</v>
      </c>
      <c r="B740" s="59" t="s">
        <v>69</v>
      </c>
      <c r="C740" s="59" t="s">
        <v>70</v>
      </c>
      <c r="D740" s="161" t="s">
        <v>508</v>
      </c>
      <c r="E740" s="59"/>
      <c r="F740" s="58">
        <f>F741</f>
        <v>103</v>
      </c>
      <c r="N740" s="102"/>
      <c r="O740" s="102"/>
      <c r="P740" s="102"/>
      <c r="Q740" s="102"/>
      <c r="R740" s="105"/>
    </row>
    <row r="741" spans="1:18" s="30" customFormat="1" ht="17.25" customHeight="1">
      <c r="A741" s="126" t="s">
        <v>175</v>
      </c>
      <c r="B741" s="59" t="s">
        <v>69</v>
      </c>
      <c r="C741" s="59" t="s">
        <v>70</v>
      </c>
      <c r="D741" s="161" t="s">
        <v>509</v>
      </c>
      <c r="E741" s="59"/>
      <c r="F741" s="58">
        <f>F742</f>
        <v>103</v>
      </c>
      <c r="N741" s="102"/>
      <c r="O741" s="102"/>
      <c r="P741" s="102"/>
      <c r="Q741" s="102"/>
      <c r="R741" s="105"/>
    </row>
    <row r="742" spans="1:18" s="30" customFormat="1" ht="25.5" customHeight="1">
      <c r="A742" s="28" t="s">
        <v>105</v>
      </c>
      <c r="B742" s="59" t="s">
        <v>69</v>
      </c>
      <c r="C742" s="59" t="s">
        <v>70</v>
      </c>
      <c r="D742" s="161" t="s">
        <v>509</v>
      </c>
      <c r="E742" s="59" t="s">
        <v>106</v>
      </c>
      <c r="F742" s="58">
        <f>F743</f>
        <v>103</v>
      </c>
      <c r="N742" s="102"/>
      <c r="O742" s="102"/>
      <c r="P742" s="102"/>
      <c r="Q742" s="102"/>
      <c r="R742" s="105"/>
    </row>
    <row r="743" spans="1:18" s="30" customFormat="1" ht="17.25" customHeight="1">
      <c r="A743" s="28" t="s">
        <v>111</v>
      </c>
      <c r="B743" s="59" t="s">
        <v>69</v>
      </c>
      <c r="C743" s="59" t="s">
        <v>70</v>
      </c>
      <c r="D743" s="161" t="s">
        <v>509</v>
      </c>
      <c r="E743" s="59" t="s">
        <v>112</v>
      </c>
      <c r="F743" s="58">
        <f>F744</f>
        <v>103</v>
      </c>
      <c r="N743" s="102"/>
      <c r="O743" s="102"/>
      <c r="P743" s="102"/>
      <c r="Q743" s="102"/>
      <c r="R743" s="105"/>
    </row>
    <row r="744" spans="1:18" s="30" customFormat="1" ht="17.25" customHeight="1">
      <c r="A744" s="28" t="s">
        <v>115</v>
      </c>
      <c r="B744" s="59" t="s">
        <v>69</v>
      </c>
      <c r="C744" s="59" t="s">
        <v>70</v>
      </c>
      <c r="D744" s="161" t="s">
        <v>509</v>
      </c>
      <c r="E744" s="59" t="s">
        <v>116</v>
      </c>
      <c r="F744" s="58">
        <f>'пр.4 вед.стр.'!G705</f>
        <v>103</v>
      </c>
      <c r="N744" s="102"/>
      <c r="O744" s="102"/>
      <c r="P744" s="102"/>
      <c r="Q744" s="102"/>
      <c r="R744" s="105"/>
    </row>
    <row r="745" spans="1:18" s="30" customFormat="1" ht="27" customHeight="1">
      <c r="A745" s="126" t="s">
        <v>513</v>
      </c>
      <c r="B745" s="59" t="s">
        <v>69</v>
      </c>
      <c r="C745" s="59" t="s">
        <v>70</v>
      </c>
      <c r="D745" s="161" t="s">
        <v>180</v>
      </c>
      <c r="E745" s="59"/>
      <c r="F745" s="58">
        <f>F746</f>
        <v>585.6999999999999</v>
      </c>
      <c r="N745" s="102"/>
      <c r="O745" s="102"/>
      <c r="P745" s="102"/>
      <c r="Q745" s="102"/>
      <c r="R745" s="105"/>
    </row>
    <row r="746" spans="1:18" s="30" customFormat="1" ht="27.75" customHeight="1">
      <c r="A746" s="126" t="s">
        <v>251</v>
      </c>
      <c r="B746" s="59" t="s">
        <v>69</v>
      </c>
      <c r="C746" s="59" t="s">
        <v>70</v>
      </c>
      <c r="D746" s="161" t="s">
        <v>325</v>
      </c>
      <c r="E746" s="59"/>
      <c r="F746" s="58">
        <f>F747+F751+F755+F759+F763+F767</f>
        <v>585.6999999999999</v>
      </c>
      <c r="N746" s="102"/>
      <c r="O746" s="102"/>
      <c r="P746" s="102"/>
      <c r="Q746" s="102"/>
      <c r="R746" s="105"/>
    </row>
    <row r="747" spans="1:18" s="30" customFormat="1" ht="17.25" customHeight="1">
      <c r="A747" s="126" t="s">
        <v>179</v>
      </c>
      <c r="B747" s="59" t="s">
        <v>69</v>
      </c>
      <c r="C747" s="59" t="s">
        <v>70</v>
      </c>
      <c r="D747" s="161" t="s">
        <v>326</v>
      </c>
      <c r="E747" s="59"/>
      <c r="F747" s="58">
        <f>F748</f>
        <v>330.1</v>
      </c>
      <c r="N747" s="102"/>
      <c r="O747" s="102"/>
      <c r="P747" s="102"/>
      <c r="Q747" s="102"/>
      <c r="R747" s="105"/>
    </row>
    <row r="748" spans="1:18" s="30" customFormat="1" ht="25.5" customHeight="1">
      <c r="A748" s="28" t="s">
        <v>105</v>
      </c>
      <c r="B748" s="59" t="s">
        <v>69</v>
      </c>
      <c r="C748" s="59" t="s">
        <v>70</v>
      </c>
      <c r="D748" s="161" t="s">
        <v>326</v>
      </c>
      <c r="E748" s="59" t="s">
        <v>106</v>
      </c>
      <c r="F748" s="58">
        <f>F749</f>
        <v>330.1</v>
      </c>
      <c r="N748" s="102"/>
      <c r="O748" s="102"/>
      <c r="P748" s="102"/>
      <c r="Q748" s="102"/>
      <c r="R748" s="105"/>
    </row>
    <row r="749" spans="1:18" s="30" customFormat="1" ht="17.25" customHeight="1">
      <c r="A749" s="28" t="s">
        <v>111</v>
      </c>
      <c r="B749" s="59" t="s">
        <v>69</v>
      </c>
      <c r="C749" s="59" t="s">
        <v>70</v>
      </c>
      <c r="D749" s="161" t="s">
        <v>326</v>
      </c>
      <c r="E749" s="59" t="s">
        <v>112</v>
      </c>
      <c r="F749" s="58">
        <f>F750</f>
        <v>330.1</v>
      </c>
      <c r="N749" s="102"/>
      <c r="O749" s="102"/>
      <c r="P749" s="102"/>
      <c r="Q749" s="102"/>
      <c r="R749" s="105"/>
    </row>
    <row r="750" spans="1:18" s="30" customFormat="1" ht="17.25" customHeight="1">
      <c r="A750" s="28" t="s">
        <v>115</v>
      </c>
      <c r="B750" s="59" t="s">
        <v>69</v>
      </c>
      <c r="C750" s="59" t="s">
        <v>70</v>
      </c>
      <c r="D750" s="161" t="s">
        <v>326</v>
      </c>
      <c r="E750" s="59" t="s">
        <v>116</v>
      </c>
      <c r="F750" s="58">
        <f>'пр.4 вед.стр.'!G711+'пр.4 вед.стр.'!G891</f>
        <v>330.1</v>
      </c>
      <c r="N750" s="102"/>
      <c r="O750" s="102"/>
      <c r="P750" s="102"/>
      <c r="Q750" s="102"/>
      <c r="R750" s="105"/>
    </row>
    <row r="751" spans="1:18" s="30" customFormat="1" ht="17.25" customHeight="1">
      <c r="A751" s="126" t="s">
        <v>182</v>
      </c>
      <c r="B751" s="59" t="s">
        <v>69</v>
      </c>
      <c r="C751" s="59" t="s">
        <v>70</v>
      </c>
      <c r="D751" s="161" t="s">
        <v>330</v>
      </c>
      <c r="E751" s="59"/>
      <c r="F751" s="58">
        <f>F752</f>
        <v>57</v>
      </c>
      <c r="N751" s="102"/>
      <c r="O751" s="102"/>
      <c r="P751" s="102"/>
      <c r="Q751" s="102"/>
      <c r="R751" s="105"/>
    </row>
    <row r="752" spans="1:18" s="30" customFormat="1" ht="27" customHeight="1">
      <c r="A752" s="28" t="s">
        <v>105</v>
      </c>
      <c r="B752" s="59" t="s">
        <v>69</v>
      </c>
      <c r="C752" s="59" t="s">
        <v>70</v>
      </c>
      <c r="D752" s="161" t="s">
        <v>330</v>
      </c>
      <c r="E752" s="59" t="s">
        <v>106</v>
      </c>
      <c r="F752" s="58">
        <f>F753</f>
        <v>57</v>
      </c>
      <c r="N752" s="102"/>
      <c r="O752" s="102"/>
      <c r="P752" s="102"/>
      <c r="Q752" s="102"/>
      <c r="R752" s="105"/>
    </row>
    <row r="753" spans="1:18" s="30" customFormat="1" ht="17.25" customHeight="1">
      <c r="A753" s="28" t="s">
        <v>111</v>
      </c>
      <c r="B753" s="59" t="s">
        <v>69</v>
      </c>
      <c r="C753" s="59" t="s">
        <v>70</v>
      </c>
      <c r="D753" s="161" t="s">
        <v>330</v>
      </c>
      <c r="E753" s="59" t="s">
        <v>112</v>
      </c>
      <c r="F753" s="58">
        <f>F754</f>
        <v>57</v>
      </c>
      <c r="N753" s="102"/>
      <c r="O753" s="102"/>
      <c r="P753" s="102"/>
      <c r="Q753" s="102"/>
      <c r="R753" s="105"/>
    </row>
    <row r="754" spans="1:18" s="30" customFormat="1" ht="17.25" customHeight="1">
      <c r="A754" s="28" t="s">
        <v>115</v>
      </c>
      <c r="B754" s="59" t="s">
        <v>69</v>
      </c>
      <c r="C754" s="59" t="s">
        <v>70</v>
      </c>
      <c r="D754" s="161" t="s">
        <v>330</v>
      </c>
      <c r="E754" s="59" t="s">
        <v>116</v>
      </c>
      <c r="F754" s="58">
        <f>'пр.4 вед.стр.'!G895</f>
        <v>57</v>
      </c>
      <c r="N754" s="102"/>
      <c r="O754" s="102"/>
      <c r="P754" s="102"/>
      <c r="Q754" s="102"/>
      <c r="R754" s="105"/>
    </row>
    <row r="755" spans="1:18" s="30" customFormat="1" ht="17.25" customHeight="1">
      <c r="A755" s="126" t="s">
        <v>193</v>
      </c>
      <c r="B755" s="59" t="s">
        <v>69</v>
      </c>
      <c r="C755" s="59" t="s">
        <v>70</v>
      </c>
      <c r="D755" s="161" t="s">
        <v>342</v>
      </c>
      <c r="E755" s="59"/>
      <c r="F755" s="58">
        <f>F756</f>
        <v>142.7</v>
      </c>
      <c r="N755" s="102"/>
      <c r="O755" s="102"/>
      <c r="P755" s="102"/>
      <c r="Q755" s="102"/>
      <c r="R755" s="105"/>
    </row>
    <row r="756" spans="1:18" s="30" customFormat="1" ht="27.75" customHeight="1">
      <c r="A756" s="28" t="s">
        <v>105</v>
      </c>
      <c r="B756" s="59" t="s">
        <v>69</v>
      </c>
      <c r="C756" s="59" t="s">
        <v>70</v>
      </c>
      <c r="D756" s="161" t="s">
        <v>342</v>
      </c>
      <c r="E756" s="59" t="s">
        <v>106</v>
      </c>
      <c r="F756" s="58">
        <f>F757</f>
        <v>142.7</v>
      </c>
      <c r="N756" s="102"/>
      <c r="O756" s="102"/>
      <c r="P756" s="102"/>
      <c r="Q756" s="102"/>
      <c r="R756" s="105"/>
    </row>
    <row r="757" spans="1:18" s="30" customFormat="1" ht="17.25" customHeight="1">
      <c r="A757" s="28" t="s">
        <v>111</v>
      </c>
      <c r="B757" s="59" t="s">
        <v>69</v>
      </c>
      <c r="C757" s="59" t="s">
        <v>70</v>
      </c>
      <c r="D757" s="161" t="s">
        <v>342</v>
      </c>
      <c r="E757" s="59" t="s">
        <v>112</v>
      </c>
      <c r="F757" s="58">
        <f>F758</f>
        <v>142.7</v>
      </c>
      <c r="N757" s="102"/>
      <c r="O757" s="102"/>
      <c r="P757" s="102"/>
      <c r="Q757" s="102"/>
      <c r="R757" s="105"/>
    </row>
    <row r="758" spans="1:18" s="30" customFormat="1" ht="17.25" customHeight="1">
      <c r="A758" s="28" t="s">
        <v>115</v>
      </c>
      <c r="B758" s="59" t="s">
        <v>69</v>
      </c>
      <c r="C758" s="59" t="s">
        <v>70</v>
      </c>
      <c r="D758" s="161" t="s">
        <v>342</v>
      </c>
      <c r="E758" s="59" t="s">
        <v>116</v>
      </c>
      <c r="F758" s="58">
        <f>'пр.4 вед.стр.'!G899</f>
        <v>142.7</v>
      </c>
      <c r="N758" s="102"/>
      <c r="O758" s="102"/>
      <c r="P758" s="102"/>
      <c r="Q758" s="102"/>
      <c r="R758" s="105"/>
    </row>
    <row r="759" spans="1:18" s="30" customFormat="1" ht="17.25" customHeight="1">
      <c r="A759" s="126" t="s">
        <v>290</v>
      </c>
      <c r="B759" s="59" t="s">
        <v>69</v>
      </c>
      <c r="C759" s="59" t="s">
        <v>70</v>
      </c>
      <c r="D759" s="161" t="s">
        <v>327</v>
      </c>
      <c r="E759" s="59"/>
      <c r="F759" s="58">
        <f>F760</f>
        <v>17.4</v>
      </c>
      <c r="N759" s="102"/>
      <c r="O759" s="102"/>
      <c r="P759" s="102"/>
      <c r="Q759" s="102"/>
      <c r="R759" s="105"/>
    </row>
    <row r="760" spans="1:18" s="30" customFormat="1" ht="27.75" customHeight="1">
      <c r="A760" s="28" t="s">
        <v>105</v>
      </c>
      <c r="B760" s="59" t="s">
        <v>69</v>
      </c>
      <c r="C760" s="59" t="s">
        <v>70</v>
      </c>
      <c r="D760" s="161" t="s">
        <v>327</v>
      </c>
      <c r="E760" s="59" t="s">
        <v>106</v>
      </c>
      <c r="F760" s="58">
        <f>F761</f>
        <v>17.4</v>
      </c>
      <c r="N760" s="102"/>
      <c r="O760" s="102"/>
      <c r="P760" s="102"/>
      <c r="Q760" s="102"/>
      <c r="R760" s="105"/>
    </row>
    <row r="761" spans="1:18" s="30" customFormat="1" ht="17.25" customHeight="1">
      <c r="A761" s="28" t="s">
        <v>111</v>
      </c>
      <c r="B761" s="59" t="s">
        <v>69</v>
      </c>
      <c r="C761" s="59" t="s">
        <v>70</v>
      </c>
      <c r="D761" s="161" t="s">
        <v>327</v>
      </c>
      <c r="E761" s="59" t="s">
        <v>112</v>
      </c>
      <c r="F761" s="58">
        <f>F762</f>
        <v>17.4</v>
      </c>
      <c r="N761" s="102"/>
      <c r="O761" s="102"/>
      <c r="P761" s="102"/>
      <c r="Q761" s="102"/>
      <c r="R761" s="105"/>
    </row>
    <row r="762" spans="1:18" s="30" customFormat="1" ht="17.25" customHeight="1">
      <c r="A762" s="28" t="s">
        <v>115</v>
      </c>
      <c r="B762" s="59" t="s">
        <v>69</v>
      </c>
      <c r="C762" s="59" t="s">
        <v>70</v>
      </c>
      <c r="D762" s="161" t="s">
        <v>327</v>
      </c>
      <c r="E762" s="59" t="s">
        <v>116</v>
      </c>
      <c r="F762" s="58">
        <f>'пр.4 вед.стр.'!G715</f>
        <v>17.4</v>
      </c>
      <c r="N762" s="102"/>
      <c r="O762" s="102"/>
      <c r="P762" s="102"/>
      <c r="Q762" s="102"/>
      <c r="R762" s="105"/>
    </row>
    <row r="763" spans="1:18" s="30" customFormat="1" ht="29.25" customHeight="1">
      <c r="A763" s="126" t="s">
        <v>611</v>
      </c>
      <c r="B763" s="59" t="s">
        <v>69</v>
      </c>
      <c r="C763" s="59" t="s">
        <v>70</v>
      </c>
      <c r="D763" s="161" t="s">
        <v>328</v>
      </c>
      <c r="E763" s="59"/>
      <c r="F763" s="58">
        <f>F764</f>
        <v>14.4</v>
      </c>
      <c r="N763" s="102"/>
      <c r="O763" s="102"/>
      <c r="P763" s="102"/>
      <c r="Q763" s="102"/>
      <c r="R763" s="105"/>
    </row>
    <row r="764" spans="1:18" s="30" customFormat="1" ht="28.5" customHeight="1">
      <c r="A764" s="28" t="s">
        <v>105</v>
      </c>
      <c r="B764" s="59" t="s">
        <v>69</v>
      </c>
      <c r="C764" s="59" t="s">
        <v>70</v>
      </c>
      <c r="D764" s="161" t="s">
        <v>328</v>
      </c>
      <c r="E764" s="59" t="s">
        <v>106</v>
      </c>
      <c r="F764" s="58">
        <f>F765</f>
        <v>14.4</v>
      </c>
      <c r="N764" s="102"/>
      <c r="O764" s="102"/>
      <c r="P764" s="102"/>
      <c r="Q764" s="102"/>
      <c r="R764" s="105"/>
    </row>
    <row r="765" spans="1:18" s="30" customFormat="1" ht="17.25" customHeight="1">
      <c r="A765" s="28" t="s">
        <v>111</v>
      </c>
      <c r="B765" s="59" t="s">
        <v>69</v>
      </c>
      <c r="C765" s="59" t="s">
        <v>70</v>
      </c>
      <c r="D765" s="161" t="s">
        <v>328</v>
      </c>
      <c r="E765" s="59" t="s">
        <v>112</v>
      </c>
      <c r="F765" s="58">
        <f>F766</f>
        <v>14.4</v>
      </c>
      <c r="N765" s="102"/>
      <c r="O765" s="102"/>
      <c r="P765" s="102"/>
      <c r="Q765" s="102"/>
      <c r="R765" s="105"/>
    </row>
    <row r="766" spans="1:18" s="30" customFormat="1" ht="17.25" customHeight="1">
      <c r="A766" s="28" t="s">
        <v>115</v>
      </c>
      <c r="B766" s="59" t="s">
        <v>69</v>
      </c>
      <c r="C766" s="59" t="s">
        <v>70</v>
      </c>
      <c r="D766" s="161" t="s">
        <v>328</v>
      </c>
      <c r="E766" s="59" t="s">
        <v>116</v>
      </c>
      <c r="F766" s="58">
        <f>'пр.4 вед.стр.'!G719</f>
        <v>14.4</v>
      </c>
      <c r="N766" s="102"/>
      <c r="O766" s="102"/>
      <c r="P766" s="102"/>
      <c r="Q766" s="102"/>
      <c r="R766" s="105"/>
    </row>
    <row r="767" spans="1:18" s="30" customFormat="1" ht="17.25" customHeight="1">
      <c r="A767" s="28" t="s">
        <v>514</v>
      </c>
      <c r="B767" s="59" t="s">
        <v>69</v>
      </c>
      <c r="C767" s="59" t="s">
        <v>70</v>
      </c>
      <c r="D767" s="161" t="s">
        <v>515</v>
      </c>
      <c r="E767" s="59"/>
      <c r="F767" s="58">
        <f>F768</f>
        <v>24.1</v>
      </c>
      <c r="N767" s="102"/>
      <c r="O767" s="102"/>
      <c r="P767" s="102"/>
      <c r="Q767" s="102"/>
      <c r="R767" s="105"/>
    </row>
    <row r="768" spans="1:18" s="30" customFormat="1" ht="27" customHeight="1">
      <c r="A768" s="28" t="s">
        <v>105</v>
      </c>
      <c r="B768" s="59" t="s">
        <v>69</v>
      </c>
      <c r="C768" s="59" t="s">
        <v>70</v>
      </c>
      <c r="D768" s="161" t="s">
        <v>515</v>
      </c>
      <c r="E768" s="59" t="s">
        <v>106</v>
      </c>
      <c r="F768" s="58">
        <f>F769</f>
        <v>24.1</v>
      </c>
      <c r="N768" s="102"/>
      <c r="O768" s="102"/>
      <c r="P768" s="102"/>
      <c r="Q768" s="102"/>
      <c r="R768" s="105"/>
    </row>
    <row r="769" spans="1:18" s="30" customFormat="1" ht="17.25" customHeight="1">
      <c r="A769" s="28" t="s">
        <v>111</v>
      </c>
      <c r="B769" s="59" t="s">
        <v>69</v>
      </c>
      <c r="C769" s="59" t="s">
        <v>70</v>
      </c>
      <c r="D769" s="161" t="s">
        <v>515</v>
      </c>
      <c r="E769" s="59" t="s">
        <v>112</v>
      </c>
      <c r="F769" s="58">
        <f>F770</f>
        <v>24.1</v>
      </c>
      <c r="N769" s="102"/>
      <c r="O769" s="102"/>
      <c r="P769" s="102"/>
      <c r="Q769" s="102"/>
      <c r="R769" s="105"/>
    </row>
    <row r="770" spans="1:18" s="30" customFormat="1" ht="17.25" customHeight="1">
      <c r="A770" s="28" t="s">
        <v>115</v>
      </c>
      <c r="B770" s="59" t="s">
        <v>69</v>
      </c>
      <c r="C770" s="59" t="s">
        <v>70</v>
      </c>
      <c r="D770" s="161" t="s">
        <v>515</v>
      </c>
      <c r="E770" s="59" t="s">
        <v>116</v>
      </c>
      <c r="F770" s="58">
        <f>'пр.4 вед.стр.'!G723</f>
        <v>24.1</v>
      </c>
      <c r="N770" s="102"/>
      <c r="O770" s="102"/>
      <c r="P770" s="102"/>
      <c r="Q770" s="102"/>
      <c r="R770" s="105"/>
    </row>
    <row r="771" spans="1:18" s="30" customFormat="1" ht="24.75" customHeight="1">
      <c r="A771" s="28" t="s">
        <v>449</v>
      </c>
      <c r="B771" s="59" t="s">
        <v>69</v>
      </c>
      <c r="C771" s="59" t="s">
        <v>70</v>
      </c>
      <c r="D771" s="59" t="s">
        <v>450</v>
      </c>
      <c r="E771" s="59"/>
      <c r="F771" s="58">
        <f>F772</f>
        <v>160</v>
      </c>
      <c r="N771" s="102"/>
      <c r="O771" s="102"/>
      <c r="P771" s="102"/>
      <c r="Q771" s="102"/>
      <c r="R771" s="105"/>
    </row>
    <row r="772" spans="1:18" s="30" customFormat="1" ht="17.25" customHeight="1">
      <c r="A772" s="28" t="s">
        <v>461</v>
      </c>
      <c r="B772" s="59" t="s">
        <v>69</v>
      </c>
      <c r="C772" s="59" t="s">
        <v>70</v>
      </c>
      <c r="D772" s="59" t="s">
        <v>462</v>
      </c>
      <c r="E772" s="59"/>
      <c r="F772" s="143">
        <f>F773</f>
        <v>160</v>
      </c>
      <c r="N772" s="102"/>
      <c r="O772" s="102"/>
      <c r="P772" s="102"/>
      <c r="Q772" s="102"/>
      <c r="R772" s="105"/>
    </row>
    <row r="773" spans="1:18" s="30" customFormat="1" ht="27" customHeight="1">
      <c r="A773" s="28" t="s">
        <v>463</v>
      </c>
      <c r="B773" s="59" t="s">
        <v>69</v>
      </c>
      <c r="C773" s="59" t="s">
        <v>70</v>
      </c>
      <c r="D773" s="59" t="s">
        <v>464</v>
      </c>
      <c r="E773" s="59"/>
      <c r="F773" s="58">
        <f>F774</f>
        <v>160</v>
      </c>
      <c r="N773" s="102"/>
      <c r="O773" s="102"/>
      <c r="P773" s="102"/>
      <c r="Q773" s="102"/>
      <c r="R773" s="105"/>
    </row>
    <row r="774" spans="1:18" s="30" customFormat="1" ht="27.75" customHeight="1">
      <c r="A774" s="28" t="s">
        <v>105</v>
      </c>
      <c r="B774" s="59" t="s">
        <v>69</v>
      </c>
      <c r="C774" s="59" t="s">
        <v>70</v>
      </c>
      <c r="D774" s="59" t="s">
        <v>464</v>
      </c>
      <c r="E774" s="59" t="s">
        <v>106</v>
      </c>
      <c r="F774" s="58">
        <f>F775</f>
        <v>160</v>
      </c>
      <c r="N774" s="102"/>
      <c r="O774" s="102"/>
      <c r="P774" s="102"/>
      <c r="Q774" s="102"/>
      <c r="R774" s="105"/>
    </row>
    <row r="775" spans="1:18" s="30" customFormat="1" ht="17.25" customHeight="1">
      <c r="A775" s="28" t="s">
        <v>111</v>
      </c>
      <c r="B775" s="59" t="s">
        <v>69</v>
      </c>
      <c r="C775" s="59" t="s">
        <v>70</v>
      </c>
      <c r="D775" s="59" t="s">
        <v>464</v>
      </c>
      <c r="E775" s="59" t="s">
        <v>112</v>
      </c>
      <c r="F775" s="58">
        <f>F776</f>
        <v>160</v>
      </c>
      <c r="N775" s="102"/>
      <c r="O775" s="102"/>
      <c r="P775" s="102"/>
      <c r="Q775" s="102"/>
      <c r="R775" s="105"/>
    </row>
    <row r="776" spans="1:18" s="30" customFormat="1" ht="17.25" customHeight="1">
      <c r="A776" s="28" t="s">
        <v>115</v>
      </c>
      <c r="B776" s="59" t="s">
        <v>69</v>
      </c>
      <c r="C776" s="59" t="s">
        <v>70</v>
      </c>
      <c r="D776" s="59" t="s">
        <v>464</v>
      </c>
      <c r="E776" s="59" t="s">
        <v>116</v>
      </c>
      <c r="F776" s="58">
        <f>'пр.4 вед.стр.'!G729+'пр.4 вед.стр.'!G905</f>
        <v>160</v>
      </c>
      <c r="N776" s="102"/>
      <c r="O776" s="102"/>
      <c r="P776" s="102"/>
      <c r="Q776" s="102"/>
      <c r="R776" s="105"/>
    </row>
    <row r="777" spans="1:18" s="30" customFormat="1" ht="17.25" customHeight="1">
      <c r="A777" s="28" t="s">
        <v>360</v>
      </c>
      <c r="B777" s="59" t="s">
        <v>69</v>
      </c>
      <c r="C777" s="59" t="s">
        <v>70</v>
      </c>
      <c r="D777" s="59" t="s">
        <v>215</v>
      </c>
      <c r="E777" s="59"/>
      <c r="F777" s="58">
        <f>F778</f>
        <v>1405.3999999999999</v>
      </c>
      <c r="N777" s="102"/>
      <c r="O777" s="102"/>
      <c r="P777" s="102"/>
      <c r="Q777" s="102"/>
      <c r="R777" s="105"/>
    </row>
    <row r="778" spans="1:18" s="30" customFormat="1" ht="17.25" customHeight="1">
      <c r="A778" s="28" t="s">
        <v>363</v>
      </c>
      <c r="B778" s="59" t="s">
        <v>69</v>
      </c>
      <c r="C778" s="59" t="s">
        <v>70</v>
      </c>
      <c r="D778" s="59" t="s">
        <v>358</v>
      </c>
      <c r="E778" s="59"/>
      <c r="F778" s="58">
        <f>F779+F783</f>
        <v>1405.3999999999999</v>
      </c>
      <c r="N778" s="102"/>
      <c r="O778" s="102"/>
      <c r="P778" s="102"/>
      <c r="Q778" s="102"/>
      <c r="R778" s="105"/>
    </row>
    <row r="779" spans="1:18" s="30" customFormat="1" ht="37.5" customHeight="1">
      <c r="A779" s="28" t="s">
        <v>287</v>
      </c>
      <c r="B779" s="59" t="s">
        <v>69</v>
      </c>
      <c r="C779" s="59" t="s">
        <v>70</v>
      </c>
      <c r="D779" s="59" t="s">
        <v>359</v>
      </c>
      <c r="E779" s="59"/>
      <c r="F779" s="58">
        <f>F780</f>
        <v>1296.1</v>
      </c>
      <c r="N779" s="102"/>
      <c r="O779" s="102"/>
      <c r="P779" s="102"/>
      <c r="Q779" s="102"/>
      <c r="R779" s="105"/>
    </row>
    <row r="780" spans="1:18" s="30" customFormat="1" ht="33.75" customHeight="1">
      <c r="A780" s="28" t="s">
        <v>105</v>
      </c>
      <c r="B780" s="59" t="s">
        <v>69</v>
      </c>
      <c r="C780" s="59" t="s">
        <v>70</v>
      </c>
      <c r="D780" s="59" t="s">
        <v>359</v>
      </c>
      <c r="E780" s="59" t="s">
        <v>106</v>
      </c>
      <c r="F780" s="58">
        <f>F781</f>
        <v>1296.1</v>
      </c>
      <c r="N780" s="102"/>
      <c r="O780" s="102"/>
      <c r="P780" s="102"/>
      <c r="Q780" s="102"/>
      <c r="R780" s="105"/>
    </row>
    <row r="781" spans="1:18" s="30" customFormat="1" ht="17.25" customHeight="1">
      <c r="A781" s="28" t="s">
        <v>111</v>
      </c>
      <c r="B781" s="59" t="s">
        <v>69</v>
      </c>
      <c r="C781" s="59" t="s">
        <v>70</v>
      </c>
      <c r="D781" s="59" t="s">
        <v>359</v>
      </c>
      <c r="E781" s="59" t="s">
        <v>112</v>
      </c>
      <c r="F781" s="58">
        <f>F782</f>
        <v>1296.1</v>
      </c>
      <c r="N781" s="102"/>
      <c r="O781" s="102"/>
      <c r="P781" s="102"/>
      <c r="Q781" s="102"/>
      <c r="R781" s="105"/>
    </row>
    <row r="782" spans="1:18" s="30" customFormat="1" ht="17.25" customHeight="1">
      <c r="A782" s="28" t="s">
        <v>115</v>
      </c>
      <c r="B782" s="59" t="s">
        <v>69</v>
      </c>
      <c r="C782" s="59" t="s">
        <v>70</v>
      </c>
      <c r="D782" s="59" t="s">
        <v>359</v>
      </c>
      <c r="E782" s="59" t="s">
        <v>116</v>
      </c>
      <c r="F782" s="58">
        <f>'пр.4 вед.стр.'!G735+'пр.4 вед.стр.'!G911</f>
        <v>1296.1</v>
      </c>
      <c r="N782" s="102"/>
      <c r="O782" s="102"/>
      <c r="P782" s="102"/>
      <c r="Q782" s="102"/>
      <c r="R782" s="105"/>
    </row>
    <row r="783" spans="1:18" s="30" customFormat="1" ht="17.25" customHeight="1">
      <c r="A783" s="28" t="s">
        <v>235</v>
      </c>
      <c r="B783" s="59" t="s">
        <v>69</v>
      </c>
      <c r="C783" s="59" t="s">
        <v>70</v>
      </c>
      <c r="D783" s="59" t="s">
        <v>362</v>
      </c>
      <c r="E783" s="59"/>
      <c r="F783" s="58">
        <f>F784</f>
        <v>109.30000000000001</v>
      </c>
      <c r="N783" s="102"/>
      <c r="O783" s="102"/>
      <c r="P783" s="102"/>
      <c r="Q783" s="102"/>
      <c r="R783" s="105"/>
    </row>
    <row r="784" spans="1:18" s="30" customFormat="1" ht="30" customHeight="1">
      <c r="A784" s="28" t="s">
        <v>105</v>
      </c>
      <c r="B784" s="59" t="s">
        <v>69</v>
      </c>
      <c r="C784" s="59" t="s">
        <v>70</v>
      </c>
      <c r="D784" s="59" t="s">
        <v>362</v>
      </c>
      <c r="E784" s="59" t="s">
        <v>106</v>
      </c>
      <c r="F784" s="58">
        <f>F785</f>
        <v>109.30000000000001</v>
      </c>
      <c r="N784" s="102"/>
      <c r="O784" s="102"/>
      <c r="P784" s="102"/>
      <c r="Q784" s="102"/>
      <c r="R784" s="105"/>
    </row>
    <row r="785" spans="1:18" s="30" customFormat="1" ht="17.25" customHeight="1">
      <c r="A785" s="28" t="s">
        <v>111</v>
      </c>
      <c r="B785" s="59" t="s">
        <v>69</v>
      </c>
      <c r="C785" s="59" t="s">
        <v>70</v>
      </c>
      <c r="D785" s="59" t="s">
        <v>362</v>
      </c>
      <c r="E785" s="59" t="s">
        <v>112</v>
      </c>
      <c r="F785" s="58">
        <f>F786</f>
        <v>109.30000000000001</v>
      </c>
      <c r="N785" s="102"/>
      <c r="O785" s="102"/>
      <c r="P785" s="102"/>
      <c r="Q785" s="102"/>
      <c r="R785" s="105"/>
    </row>
    <row r="786" spans="1:18" s="30" customFormat="1" ht="17.25" customHeight="1">
      <c r="A786" s="28" t="s">
        <v>115</v>
      </c>
      <c r="B786" s="59" t="s">
        <v>69</v>
      </c>
      <c r="C786" s="59" t="s">
        <v>70</v>
      </c>
      <c r="D786" s="59" t="s">
        <v>362</v>
      </c>
      <c r="E786" s="59" t="s">
        <v>116</v>
      </c>
      <c r="F786" s="58">
        <f>'пр.4 вед.стр.'!G915+'пр.4 вед.стр.'!G739</f>
        <v>109.30000000000001</v>
      </c>
      <c r="N786" s="102"/>
      <c r="O786" s="102"/>
      <c r="P786" s="102"/>
      <c r="Q786" s="102"/>
      <c r="R786" s="105"/>
    </row>
    <row r="787" spans="1:18" s="30" customFormat="1" ht="17.25" customHeight="1">
      <c r="A787" s="28" t="s">
        <v>318</v>
      </c>
      <c r="B787" s="59" t="s">
        <v>69</v>
      </c>
      <c r="C787" s="59" t="s">
        <v>70</v>
      </c>
      <c r="D787" s="59" t="s">
        <v>228</v>
      </c>
      <c r="E787" s="59"/>
      <c r="F787" s="58">
        <f>F788</f>
        <v>49503.3</v>
      </c>
      <c r="N787" s="102"/>
      <c r="O787" s="102"/>
      <c r="P787" s="102"/>
      <c r="Q787" s="102"/>
      <c r="R787" s="105"/>
    </row>
    <row r="788" spans="1:18" s="30" customFormat="1" ht="29.25" customHeight="1">
      <c r="A788" s="28" t="s">
        <v>473</v>
      </c>
      <c r="B788" s="59" t="s">
        <v>69</v>
      </c>
      <c r="C788" s="59" t="s">
        <v>70</v>
      </c>
      <c r="D788" s="59" t="s">
        <v>373</v>
      </c>
      <c r="E788" s="59"/>
      <c r="F788" s="58">
        <f>F789</f>
        <v>49503.3</v>
      </c>
      <c r="N788" s="102"/>
      <c r="O788" s="102"/>
      <c r="P788" s="102"/>
      <c r="Q788" s="102"/>
      <c r="R788" s="105"/>
    </row>
    <row r="789" spans="1:18" s="30" customFormat="1" ht="17.25" customHeight="1">
      <c r="A789" s="28" t="s">
        <v>249</v>
      </c>
      <c r="B789" s="59" t="s">
        <v>69</v>
      </c>
      <c r="C789" s="59" t="s">
        <v>70</v>
      </c>
      <c r="D789" s="59" t="s">
        <v>374</v>
      </c>
      <c r="E789" s="59"/>
      <c r="F789" s="58">
        <f>F790</f>
        <v>49503.3</v>
      </c>
      <c r="N789" s="102"/>
      <c r="O789" s="102"/>
      <c r="P789" s="102"/>
      <c r="Q789" s="102"/>
      <c r="R789" s="105"/>
    </row>
    <row r="790" spans="1:18" s="30" customFormat="1" ht="27.75" customHeight="1">
      <c r="A790" s="28" t="s">
        <v>105</v>
      </c>
      <c r="B790" s="59" t="s">
        <v>69</v>
      </c>
      <c r="C790" s="59" t="s">
        <v>70</v>
      </c>
      <c r="D790" s="59" t="s">
        <v>374</v>
      </c>
      <c r="E790" s="59" t="s">
        <v>106</v>
      </c>
      <c r="F790" s="58">
        <f>F791</f>
        <v>49503.3</v>
      </c>
      <c r="N790" s="102"/>
      <c r="O790" s="102"/>
      <c r="P790" s="102"/>
      <c r="Q790" s="102"/>
      <c r="R790" s="105"/>
    </row>
    <row r="791" spans="1:18" s="30" customFormat="1" ht="17.25" customHeight="1">
      <c r="A791" s="28" t="s">
        <v>111</v>
      </c>
      <c r="B791" s="59" t="s">
        <v>69</v>
      </c>
      <c r="C791" s="59" t="s">
        <v>70</v>
      </c>
      <c r="D791" s="59" t="s">
        <v>374</v>
      </c>
      <c r="E791" s="59" t="s">
        <v>112</v>
      </c>
      <c r="F791" s="58">
        <f>F792+F793</f>
        <v>49503.3</v>
      </c>
      <c r="N791" s="102"/>
      <c r="O791" s="102"/>
      <c r="P791" s="102"/>
      <c r="Q791" s="102"/>
      <c r="R791" s="105"/>
    </row>
    <row r="792" spans="1:18" s="30" customFormat="1" ht="42" customHeight="1">
      <c r="A792" s="28" t="s">
        <v>113</v>
      </c>
      <c r="B792" s="59" t="s">
        <v>69</v>
      </c>
      <c r="C792" s="59" t="s">
        <v>70</v>
      </c>
      <c r="D792" s="59" t="s">
        <v>374</v>
      </c>
      <c r="E792" s="59" t="s">
        <v>114</v>
      </c>
      <c r="F792" s="58">
        <f>'пр.4 вед.стр.'!G745+'пр.4 вед.стр.'!G921</f>
        <v>49103.3</v>
      </c>
      <c r="N792" s="102"/>
      <c r="O792" s="102"/>
      <c r="P792" s="102"/>
      <c r="Q792" s="102"/>
      <c r="R792" s="105"/>
    </row>
    <row r="793" spans="1:18" s="30" customFormat="1" ht="17.25" customHeight="1">
      <c r="A793" s="28" t="s">
        <v>115</v>
      </c>
      <c r="B793" s="59" t="s">
        <v>69</v>
      </c>
      <c r="C793" s="59" t="s">
        <v>70</v>
      </c>
      <c r="D793" s="59" t="s">
        <v>374</v>
      </c>
      <c r="E793" s="59" t="s">
        <v>116</v>
      </c>
      <c r="F793" s="58">
        <f>'пр.4 вед.стр.'!G922+'пр.4 вед.стр.'!G746</f>
        <v>400</v>
      </c>
      <c r="N793" s="102"/>
      <c r="O793" s="102"/>
      <c r="P793" s="102"/>
      <c r="Q793" s="102"/>
      <c r="R793" s="105"/>
    </row>
    <row r="794" spans="1:18" s="30" customFormat="1" ht="17.25" customHeight="1">
      <c r="A794" s="152" t="s">
        <v>612</v>
      </c>
      <c r="B794" s="63" t="s">
        <v>69</v>
      </c>
      <c r="C794" s="63" t="s">
        <v>69</v>
      </c>
      <c r="D794" s="63"/>
      <c r="E794" s="63"/>
      <c r="F794" s="64">
        <f>F795+F811+F821+F831+F841+F852+F876</f>
        <v>9012.6</v>
      </c>
      <c r="N794" s="102"/>
      <c r="O794" s="102"/>
      <c r="P794" s="102"/>
      <c r="Q794" s="102"/>
      <c r="R794" s="105"/>
    </row>
    <row r="795" spans="1:18" s="30" customFormat="1" ht="17.25" customHeight="1">
      <c r="A795" s="126" t="s">
        <v>531</v>
      </c>
      <c r="B795" s="59" t="s">
        <v>69</v>
      </c>
      <c r="C795" s="59" t="s">
        <v>69</v>
      </c>
      <c r="D795" s="161" t="s">
        <v>183</v>
      </c>
      <c r="E795" s="59"/>
      <c r="F795" s="58">
        <f>F796</f>
        <v>434</v>
      </c>
      <c r="N795" s="102"/>
      <c r="O795" s="102"/>
      <c r="P795" s="102"/>
      <c r="Q795" s="102"/>
      <c r="R795" s="105"/>
    </row>
    <row r="796" spans="1:18" s="30" customFormat="1" ht="18.75" customHeight="1">
      <c r="A796" s="126" t="s">
        <v>253</v>
      </c>
      <c r="B796" s="59" t="s">
        <v>69</v>
      </c>
      <c r="C796" s="59" t="s">
        <v>69</v>
      </c>
      <c r="D796" s="161" t="s">
        <v>331</v>
      </c>
      <c r="E796" s="59"/>
      <c r="F796" s="58">
        <f>F797+F807</f>
        <v>434</v>
      </c>
      <c r="N796" s="102"/>
      <c r="O796" s="102"/>
      <c r="P796" s="102"/>
      <c r="Q796" s="102"/>
      <c r="R796" s="105"/>
    </row>
    <row r="797" spans="1:18" s="30" customFormat="1" ht="17.25" customHeight="1">
      <c r="A797" s="126" t="s">
        <v>184</v>
      </c>
      <c r="B797" s="59" t="s">
        <v>69</v>
      </c>
      <c r="C797" s="59" t="s">
        <v>69</v>
      </c>
      <c r="D797" s="161" t="s">
        <v>332</v>
      </c>
      <c r="E797" s="59"/>
      <c r="F797" s="58">
        <f>F798+F801+F804</f>
        <v>367</v>
      </c>
      <c r="N797" s="102"/>
      <c r="O797" s="102"/>
      <c r="P797" s="102"/>
      <c r="Q797" s="102"/>
      <c r="R797" s="105"/>
    </row>
    <row r="798" spans="1:18" s="30" customFormat="1" ht="17.25" customHeight="1">
      <c r="A798" s="28" t="s">
        <v>610</v>
      </c>
      <c r="B798" s="59" t="s">
        <v>69</v>
      </c>
      <c r="C798" s="59" t="s">
        <v>69</v>
      </c>
      <c r="D798" s="161" t="s">
        <v>332</v>
      </c>
      <c r="E798" s="59" t="s">
        <v>104</v>
      </c>
      <c r="F798" s="58">
        <f>F799</f>
        <v>24.4</v>
      </c>
      <c r="N798" s="102"/>
      <c r="O798" s="102"/>
      <c r="P798" s="102"/>
      <c r="Q798" s="102"/>
      <c r="R798" s="105"/>
    </row>
    <row r="799" spans="1:18" s="30" customFormat="1" ht="17.25" customHeight="1">
      <c r="A799" s="28" t="s">
        <v>98</v>
      </c>
      <c r="B799" s="59" t="s">
        <v>69</v>
      </c>
      <c r="C799" s="59" t="s">
        <v>69</v>
      </c>
      <c r="D799" s="161" t="s">
        <v>332</v>
      </c>
      <c r="E799" s="59" t="s">
        <v>99</v>
      </c>
      <c r="F799" s="58">
        <f>F800</f>
        <v>24.4</v>
      </c>
      <c r="N799" s="102"/>
      <c r="O799" s="102"/>
      <c r="P799" s="102"/>
      <c r="Q799" s="102"/>
      <c r="R799" s="105"/>
    </row>
    <row r="800" spans="1:18" s="30" customFormat="1" ht="17.25" customHeight="1">
      <c r="A800" s="28" t="s">
        <v>100</v>
      </c>
      <c r="B800" s="59" t="s">
        <v>69</v>
      </c>
      <c r="C800" s="59" t="s">
        <v>69</v>
      </c>
      <c r="D800" s="161" t="s">
        <v>332</v>
      </c>
      <c r="E800" s="59" t="s">
        <v>101</v>
      </c>
      <c r="F800" s="58">
        <f>'пр.4 вед.стр.'!G753</f>
        <v>24.4</v>
      </c>
      <c r="N800" s="102"/>
      <c r="O800" s="102"/>
      <c r="P800" s="102"/>
      <c r="Q800" s="102"/>
      <c r="R800" s="105"/>
    </row>
    <row r="801" spans="1:18" s="30" customFormat="1" ht="17.25" customHeight="1">
      <c r="A801" s="28" t="s">
        <v>117</v>
      </c>
      <c r="B801" s="59" t="s">
        <v>69</v>
      </c>
      <c r="C801" s="59" t="s">
        <v>69</v>
      </c>
      <c r="D801" s="161" t="s">
        <v>332</v>
      </c>
      <c r="E801" s="59" t="s">
        <v>118</v>
      </c>
      <c r="F801" s="58">
        <f>F802+F803</f>
        <v>252</v>
      </c>
      <c r="N801" s="102"/>
      <c r="O801" s="102"/>
      <c r="P801" s="102"/>
      <c r="Q801" s="102"/>
      <c r="R801" s="105"/>
    </row>
    <row r="802" spans="1:18" s="30" customFormat="1" ht="17.25" customHeight="1">
      <c r="A802" s="28" t="s">
        <v>147</v>
      </c>
      <c r="B802" s="59" t="s">
        <v>69</v>
      </c>
      <c r="C802" s="59" t="s">
        <v>69</v>
      </c>
      <c r="D802" s="161" t="s">
        <v>332</v>
      </c>
      <c r="E802" s="59" t="s">
        <v>146</v>
      </c>
      <c r="F802" s="58">
        <f>'пр.4 вед.стр.'!G755</f>
        <v>202</v>
      </c>
      <c r="N802" s="102"/>
      <c r="O802" s="102"/>
      <c r="P802" s="102"/>
      <c r="Q802" s="102"/>
      <c r="R802" s="105"/>
    </row>
    <row r="803" spans="1:18" s="30" customFormat="1" ht="17.25" customHeight="1">
      <c r="A803" s="28" t="s">
        <v>149</v>
      </c>
      <c r="B803" s="59" t="s">
        <v>69</v>
      </c>
      <c r="C803" s="59" t="s">
        <v>69</v>
      </c>
      <c r="D803" s="161" t="s">
        <v>332</v>
      </c>
      <c r="E803" s="59" t="s">
        <v>148</v>
      </c>
      <c r="F803" s="58">
        <f>'пр.4 вед.стр.'!G756</f>
        <v>50</v>
      </c>
      <c r="N803" s="102"/>
      <c r="O803" s="102"/>
      <c r="P803" s="102"/>
      <c r="Q803" s="102"/>
      <c r="R803" s="105"/>
    </row>
    <row r="804" spans="1:18" s="30" customFormat="1" ht="28.5" customHeight="1">
      <c r="A804" s="28" t="s">
        <v>105</v>
      </c>
      <c r="B804" s="59" t="s">
        <v>69</v>
      </c>
      <c r="C804" s="59" t="s">
        <v>69</v>
      </c>
      <c r="D804" s="161" t="s">
        <v>332</v>
      </c>
      <c r="E804" s="59" t="s">
        <v>106</v>
      </c>
      <c r="F804" s="58">
        <f>F805</f>
        <v>90.6</v>
      </c>
      <c r="N804" s="102"/>
      <c r="O804" s="102"/>
      <c r="P804" s="102"/>
      <c r="Q804" s="102"/>
      <c r="R804" s="105"/>
    </row>
    <row r="805" spans="1:18" s="30" customFormat="1" ht="17.25" customHeight="1">
      <c r="A805" s="28" t="s">
        <v>111</v>
      </c>
      <c r="B805" s="59" t="s">
        <v>69</v>
      </c>
      <c r="C805" s="59" t="s">
        <v>69</v>
      </c>
      <c r="D805" s="161" t="s">
        <v>332</v>
      </c>
      <c r="E805" s="59" t="s">
        <v>112</v>
      </c>
      <c r="F805" s="58">
        <f>F806</f>
        <v>90.6</v>
      </c>
      <c r="N805" s="102"/>
      <c r="O805" s="102"/>
      <c r="P805" s="102"/>
      <c r="Q805" s="102"/>
      <c r="R805" s="105"/>
    </row>
    <row r="806" spans="1:18" s="30" customFormat="1" ht="17.25" customHeight="1">
      <c r="A806" s="28" t="s">
        <v>115</v>
      </c>
      <c r="B806" s="59" t="s">
        <v>69</v>
      </c>
      <c r="C806" s="59" t="s">
        <v>69</v>
      </c>
      <c r="D806" s="161" t="s">
        <v>332</v>
      </c>
      <c r="E806" s="59" t="s">
        <v>116</v>
      </c>
      <c r="F806" s="58">
        <f>'пр.4 вед.стр.'!G759</f>
        <v>90.6</v>
      </c>
      <c r="N806" s="102"/>
      <c r="O806" s="102"/>
      <c r="P806" s="102"/>
      <c r="Q806" s="102"/>
      <c r="R806" s="105"/>
    </row>
    <row r="807" spans="1:18" s="30" customFormat="1" ht="17.25" customHeight="1">
      <c r="A807" s="28" t="s">
        <v>532</v>
      </c>
      <c r="B807" s="59" t="s">
        <v>69</v>
      </c>
      <c r="C807" s="59" t="s">
        <v>69</v>
      </c>
      <c r="D807" s="161" t="s">
        <v>533</v>
      </c>
      <c r="E807" s="59"/>
      <c r="F807" s="58">
        <f>F808</f>
        <v>67</v>
      </c>
      <c r="N807" s="102"/>
      <c r="O807" s="102"/>
      <c r="P807" s="102"/>
      <c r="Q807" s="102"/>
      <c r="R807" s="105"/>
    </row>
    <row r="808" spans="1:18" s="30" customFormat="1" ht="17.25" customHeight="1">
      <c r="A808" s="28" t="s">
        <v>610</v>
      </c>
      <c r="B808" s="59" t="s">
        <v>69</v>
      </c>
      <c r="C808" s="59" t="s">
        <v>69</v>
      </c>
      <c r="D808" s="161" t="s">
        <v>533</v>
      </c>
      <c r="E808" s="59" t="s">
        <v>104</v>
      </c>
      <c r="F808" s="58">
        <f>F809</f>
        <v>67</v>
      </c>
      <c r="N808" s="102"/>
      <c r="O808" s="102"/>
      <c r="P808" s="102"/>
      <c r="Q808" s="102"/>
      <c r="R808" s="105"/>
    </row>
    <row r="809" spans="1:18" s="30" customFormat="1" ht="17.25" customHeight="1">
      <c r="A809" s="28" t="s">
        <v>98</v>
      </c>
      <c r="B809" s="59" t="s">
        <v>69</v>
      </c>
      <c r="C809" s="59" t="s">
        <v>69</v>
      </c>
      <c r="D809" s="161" t="s">
        <v>533</v>
      </c>
      <c r="E809" s="59" t="s">
        <v>99</v>
      </c>
      <c r="F809" s="58">
        <f>F810</f>
        <v>67</v>
      </c>
      <c r="N809" s="102"/>
      <c r="O809" s="102"/>
      <c r="P809" s="102"/>
      <c r="Q809" s="102"/>
      <c r="R809" s="105"/>
    </row>
    <row r="810" spans="1:18" s="30" customFormat="1" ht="17.25" customHeight="1">
      <c r="A810" s="28" t="s">
        <v>100</v>
      </c>
      <c r="B810" s="59" t="s">
        <v>69</v>
      </c>
      <c r="C810" s="59" t="s">
        <v>69</v>
      </c>
      <c r="D810" s="161" t="s">
        <v>533</v>
      </c>
      <c r="E810" s="59" t="s">
        <v>101</v>
      </c>
      <c r="F810" s="58">
        <f>'пр.4 вед.стр.'!G763</f>
        <v>67</v>
      </c>
      <c r="N810" s="102"/>
      <c r="O810" s="102"/>
      <c r="P810" s="102"/>
      <c r="Q810" s="102"/>
      <c r="R810" s="105"/>
    </row>
    <row r="811" spans="1:18" s="30" customFormat="1" ht="30" customHeight="1">
      <c r="A811" s="126" t="s">
        <v>534</v>
      </c>
      <c r="B811" s="59" t="s">
        <v>69</v>
      </c>
      <c r="C811" s="59" t="s">
        <v>69</v>
      </c>
      <c r="D811" s="161" t="s">
        <v>186</v>
      </c>
      <c r="E811" s="59"/>
      <c r="F811" s="58">
        <f>F812</f>
        <v>602</v>
      </c>
      <c r="N811" s="102"/>
      <c r="O811" s="102"/>
      <c r="P811" s="102"/>
      <c r="Q811" s="102"/>
      <c r="R811" s="105"/>
    </row>
    <row r="812" spans="1:18" s="30" customFormat="1" ht="40.5" customHeight="1">
      <c r="A812" s="126" t="s">
        <v>535</v>
      </c>
      <c r="B812" s="59" t="s">
        <v>69</v>
      </c>
      <c r="C812" s="59" t="s">
        <v>69</v>
      </c>
      <c r="D812" s="161" t="s">
        <v>333</v>
      </c>
      <c r="E812" s="59"/>
      <c r="F812" s="58">
        <f>F813</f>
        <v>602</v>
      </c>
      <c r="N812" s="102"/>
      <c r="O812" s="102"/>
      <c r="P812" s="102"/>
      <c r="Q812" s="102"/>
      <c r="R812" s="105"/>
    </row>
    <row r="813" spans="1:18" s="30" customFormat="1" ht="20.25" customHeight="1">
      <c r="A813" s="126" t="s">
        <v>185</v>
      </c>
      <c r="B813" s="162" t="s">
        <v>69</v>
      </c>
      <c r="C813" s="162" t="s">
        <v>69</v>
      </c>
      <c r="D813" s="161" t="s">
        <v>334</v>
      </c>
      <c r="E813" s="162"/>
      <c r="F813" s="58">
        <f>F814+F818</f>
        <v>602</v>
      </c>
      <c r="N813" s="102"/>
      <c r="O813" s="102"/>
      <c r="P813" s="102"/>
      <c r="Q813" s="102"/>
      <c r="R813" s="105"/>
    </row>
    <row r="814" spans="1:18" s="30" customFormat="1" ht="40.5" customHeight="1">
      <c r="A814" s="126" t="s">
        <v>102</v>
      </c>
      <c r="B814" s="162" t="s">
        <v>69</v>
      </c>
      <c r="C814" s="162" t="s">
        <v>69</v>
      </c>
      <c r="D814" s="161" t="s">
        <v>334</v>
      </c>
      <c r="E814" s="59" t="s">
        <v>103</v>
      </c>
      <c r="F814" s="58">
        <f>F815</f>
        <v>47.6</v>
      </c>
      <c r="N814" s="102"/>
      <c r="O814" s="102"/>
      <c r="P814" s="102"/>
      <c r="Q814" s="102"/>
      <c r="R814" s="105"/>
    </row>
    <row r="815" spans="1:18" s="30" customFormat="1" ht="20.25" customHeight="1">
      <c r="A815" s="28" t="s">
        <v>295</v>
      </c>
      <c r="B815" s="162" t="s">
        <v>69</v>
      </c>
      <c r="C815" s="162" t="s">
        <v>69</v>
      </c>
      <c r="D815" s="161" t="s">
        <v>334</v>
      </c>
      <c r="E815" s="59" t="s">
        <v>297</v>
      </c>
      <c r="F815" s="58">
        <f>F816+F817</f>
        <v>47.6</v>
      </c>
      <c r="N815" s="102"/>
      <c r="O815" s="102"/>
      <c r="P815" s="102"/>
      <c r="Q815" s="102"/>
      <c r="R815" s="105"/>
    </row>
    <row r="816" spans="1:18" s="30" customFormat="1" ht="18.75" customHeight="1">
      <c r="A816" s="28" t="s">
        <v>545</v>
      </c>
      <c r="B816" s="162" t="s">
        <v>69</v>
      </c>
      <c r="C816" s="162" t="s">
        <v>69</v>
      </c>
      <c r="D816" s="161" t="s">
        <v>334</v>
      </c>
      <c r="E816" s="59" t="s">
        <v>298</v>
      </c>
      <c r="F816" s="58">
        <f>'пр.4 вед.стр.'!G929</f>
        <v>36.6</v>
      </c>
      <c r="N816" s="102"/>
      <c r="O816" s="102"/>
      <c r="P816" s="102"/>
      <c r="Q816" s="102"/>
      <c r="R816" s="105"/>
    </row>
    <row r="817" spans="1:18" s="30" customFormat="1" ht="22.5" customHeight="1">
      <c r="A817" s="28" t="s">
        <v>438</v>
      </c>
      <c r="B817" s="162" t="s">
        <v>69</v>
      </c>
      <c r="C817" s="162" t="s">
        <v>69</v>
      </c>
      <c r="D817" s="161" t="s">
        <v>334</v>
      </c>
      <c r="E817" s="59" t="s">
        <v>299</v>
      </c>
      <c r="F817" s="58">
        <f>'пр.4 вед.стр.'!G930</f>
        <v>11</v>
      </c>
      <c r="N817" s="102"/>
      <c r="O817" s="102"/>
      <c r="P817" s="102"/>
      <c r="Q817" s="102"/>
      <c r="R817" s="105"/>
    </row>
    <row r="818" spans="1:18" s="30" customFormat="1" ht="24.75" customHeight="1">
      <c r="A818" s="28" t="s">
        <v>105</v>
      </c>
      <c r="B818" s="59" t="s">
        <v>69</v>
      </c>
      <c r="C818" s="59" t="s">
        <v>69</v>
      </c>
      <c r="D818" s="161" t="s">
        <v>334</v>
      </c>
      <c r="E818" s="59" t="s">
        <v>106</v>
      </c>
      <c r="F818" s="58">
        <f>F819</f>
        <v>554.4</v>
      </c>
      <c r="N818" s="102"/>
      <c r="O818" s="102"/>
      <c r="P818" s="102"/>
      <c r="Q818" s="102"/>
      <c r="R818" s="105"/>
    </row>
    <row r="819" spans="1:18" s="30" customFormat="1" ht="17.25" customHeight="1">
      <c r="A819" s="28" t="s">
        <v>111</v>
      </c>
      <c r="B819" s="59" t="s">
        <v>69</v>
      </c>
      <c r="C819" s="59" t="s">
        <v>69</v>
      </c>
      <c r="D819" s="161" t="s">
        <v>334</v>
      </c>
      <c r="E819" s="59" t="s">
        <v>112</v>
      </c>
      <c r="F819" s="58">
        <f>F820</f>
        <v>554.4</v>
      </c>
      <c r="N819" s="102"/>
      <c r="O819" s="102"/>
      <c r="P819" s="102"/>
      <c r="Q819" s="102"/>
      <c r="R819" s="105"/>
    </row>
    <row r="820" spans="1:18" s="30" customFormat="1" ht="17.25" customHeight="1">
      <c r="A820" s="28" t="s">
        <v>115</v>
      </c>
      <c r="B820" s="59" t="s">
        <v>69</v>
      </c>
      <c r="C820" s="59" t="s">
        <v>69</v>
      </c>
      <c r="D820" s="161" t="s">
        <v>334</v>
      </c>
      <c r="E820" s="59" t="s">
        <v>116</v>
      </c>
      <c r="F820" s="58">
        <f>'пр.4 вед.стр.'!G769</f>
        <v>554.4</v>
      </c>
      <c r="N820" s="102"/>
      <c r="O820" s="102"/>
      <c r="P820" s="102"/>
      <c r="Q820" s="102"/>
      <c r="R820" s="105"/>
    </row>
    <row r="821" spans="1:18" s="30" customFormat="1" ht="33" customHeight="1">
      <c r="A821" s="126" t="s">
        <v>536</v>
      </c>
      <c r="B821" s="59" t="s">
        <v>69</v>
      </c>
      <c r="C821" s="59" t="s">
        <v>69</v>
      </c>
      <c r="D821" s="161" t="s">
        <v>188</v>
      </c>
      <c r="E821" s="59"/>
      <c r="F821" s="58">
        <f>F822</f>
        <v>470.5</v>
      </c>
      <c r="N821" s="102"/>
      <c r="O821" s="102"/>
      <c r="P821" s="102"/>
      <c r="Q821" s="102"/>
      <c r="R821" s="105"/>
    </row>
    <row r="822" spans="1:18" s="30" customFormat="1" ht="24.75" customHeight="1">
      <c r="A822" s="126" t="s">
        <v>254</v>
      </c>
      <c r="B822" s="59" t="s">
        <v>69</v>
      </c>
      <c r="C822" s="59" t="s">
        <v>69</v>
      </c>
      <c r="D822" s="161" t="s">
        <v>335</v>
      </c>
      <c r="E822" s="59"/>
      <c r="F822" s="58">
        <f>F823</f>
        <v>470.5</v>
      </c>
      <c r="N822" s="102"/>
      <c r="O822" s="102"/>
      <c r="P822" s="102"/>
      <c r="Q822" s="102"/>
      <c r="R822" s="105"/>
    </row>
    <row r="823" spans="1:18" s="30" customFormat="1" ht="17.25" customHeight="1">
      <c r="A823" s="126" t="s">
        <v>187</v>
      </c>
      <c r="B823" s="59" t="s">
        <v>69</v>
      </c>
      <c r="C823" s="59" t="s">
        <v>69</v>
      </c>
      <c r="D823" s="161" t="s">
        <v>336</v>
      </c>
      <c r="E823" s="59"/>
      <c r="F823" s="58">
        <f>F825+F828</f>
        <v>470.5</v>
      </c>
      <c r="N823" s="102"/>
      <c r="O823" s="102"/>
      <c r="P823" s="102"/>
      <c r="Q823" s="102"/>
      <c r="R823" s="105"/>
    </row>
    <row r="824" spans="1:18" s="30" customFormat="1" ht="17.25" customHeight="1">
      <c r="A824" s="126" t="s">
        <v>187</v>
      </c>
      <c r="B824" s="59" t="s">
        <v>69</v>
      </c>
      <c r="C824" s="59" t="s">
        <v>69</v>
      </c>
      <c r="D824" s="161" t="s">
        <v>336</v>
      </c>
      <c r="E824" s="59"/>
      <c r="F824" s="58">
        <f>F825</f>
        <v>384.8</v>
      </c>
      <c r="N824" s="102"/>
      <c r="O824" s="102"/>
      <c r="P824" s="102"/>
      <c r="Q824" s="102"/>
      <c r="R824" s="105"/>
    </row>
    <row r="825" spans="1:18" s="30" customFormat="1" ht="17.25" customHeight="1">
      <c r="A825" s="28" t="s">
        <v>610</v>
      </c>
      <c r="B825" s="59" t="s">
        <v>69</v>
      </c>
      <c r="C825" s="59" t="s">
        <v>69</v>
      </c>
      <c r="D825" s="161" t="s">
        <v>336</v>
      </c>
      <c r="E825" s="59" t="s">
        <v>104</v>
      </c>
      <c r="F825" s="58">
        <f>F826</f>
        <v>384.8</v>
      </c>
      <c r="N825" s="102"/>
      <c r="O825" s="102"/>
      <c r="P825" s="102"/>
      <c r="Q825" s="102"/>
      <c r="R825" s="105"/>
    </row>
    <row r="826" spans="1:18" s="30" customFormat="1" ht="17.25" customHeight="1">
      <c r="A826" s="28" t="s">
        <v>98</v>
      </c>
      <c r="B826" s="59" t="s">
        <v>69</v>
      </c>
      <c r="C826" s="59" t="s">
        <v>69</v>
      </c>
      <c r="D826" s="161" t="s">
        <v>336</v>
      </c>
      <c r="E826" s="59" t="s">
        <v>99</v>
      </c>
      <c r="F826" s="58">
        <f>F827</f>
        <v>384.8</v>
      </c>
      <c r="N826" s="102"/>
      <c r="O826" s="102"/>
      <c r="P826" s="102"/>
      <c r="Q826" s="102"/>
      <c r="R826" s="105"/>
    </row>
    <row r="827" spans="1:18" s="30" customFormat="1" ht="17.25" customHeight="1">
      <c r="A827" s="28" t="s">
        <v>100</v>
      </c>
      <c r="B827" s="59" t="s">
        <v>69</v>
      </c>
      <c r="C827" s="59" t="s">
        <v>69</v>
      </c>
      <c r="D827" s="161" t="s">
        <v>336</v>
      </c>
      <c r="E827" s="59" t="s">
        <v>101</v>
      </c>
      <c r="F827" s="58">
        <f>'пр.4 вед.стр.'!G936</f>
        <v>384.8</v>
      </c>
      <c r="N827" s="102"/>
      <c r="O827" s="102"/>
      <c r="P827" s="102"/>
      <c r="Q827" s="102"/>
      <c r="R827" s="105"/>
    </row>
    <row r="828" spans="1:18" s="30" customFormat="1" ht="31.5" customHeight="1">
      <c r="A828" s="28" t="s">
        <v>105</v>
      </c>
      <c r="B828" s="59" t="s">
        <v>69</v>
      </c>
      <c r="C828" s="59" t="s">
        <v>69</v>
      </c>
      <c r="D828" s="161" t="s">
        <v>336</v>
      </c>
      <c r="E828" s="59" t="s">
        <v>106</v>
      </c>
      <c r="F828" s="58">
        <f>F829</f>
        <v>85.7</v>
      </c>
      <c r="N828" s="102"/>
      <c r="O828" s="102"/>
      <c r="P828" s="102"/>
      <c r="Q828" s="102"/>
      <c r="R828" s="105"/>
    </row>
    <row r="829" spans="1:18" s="30" customFormat="1" ht="17.25" customHeight="1">
      <c r="A829" s="28" t="s">
        <v>111</v>
      </c>
      <c r="B829" s="59" t="s">
        <v>69</v>
      </c>
      <c r="C829" s="59" t="s">
        <v>69</v>
      </c>
      <c r="D829" s="161" t="s">
        <v>336</v>
      </c>
      <c r="E829" s="59" t="s">
        <v>112</v>
      </c>
      <c r="F829" s="58">
        <f>F830</f>
        <v>85.7</v>
      </c>
      <c r="N829" s="102"/>
      <c r="O829" s="102"/>
      <c r="P829" s="102"/>
      <c r="Q829" s="102"/>
      <c r="R829" s="105"/>
    </row>
    <row r="830" spans="1:18" s="30" customFormat="1" ht="17.25" customHeight="1">
      <c r="A830" s="28" t="s">
        <v>115</v>
      </c>
      <c r="B830" s="59" t="s">
        <v>69</v>
      </c>
      <c r="C830" s="59" t="s">
        <v>69</v>
      </c>
      <c r="D830" s="161" t="s">
        <v>336</v>
      </c>
      <c r="E830" s="59" t="s">
        <v>116</v>
      </c>
      <c r="F830" s="58">
        <f>'пр.4 вед.стр.'!G775</f>
        <v>85.7</v>
      </c>
      <c r="N830" s="102"/>
      <c r="O830" s="102"/>
      <c r="P830" s="102"/>
      <c r="Q830" s="102"/>
      <c r="R830" s="105"/>
    </row>
    <row r="831" spans="1:18" s="30" customFormat="1" ht="17.25" customHeight="1">
      <c r="A831" s="126" t="s">
        <v>537</v>
      </c>
      <c r="B831" s="59" t="s">
        <v>69</v>
      </c>
      <c r="C831" s="59" t="s">
        <v>69</v>
      </c>
      <c r="D831" s="161" t="s">
        <v>181</v>
      </c>
      <c r="E831" s="59"/>
      <c r="F831" s="58">
        <f>F832</f>
        <v>6193.2</v>
      </c>
      <c r="N831" s="102"/>
      <c r="O831" s="102"/>
      <c r="P831" s="102"/>
      <c r="Q831" s="102"/>
      <c r="R831" s="105"/>
    </row>
    <row r="832" spans="1:18" s="30" customFormat="1" ht="17.25" customHeight="1">
      <c r="A832" s="126" t="s">
        <v>252</v>
      </c>
      <c r="B832" s="59" t="s">
        <v>69</v>
      </c>
      <c r="C832" s="59" t="s">
        <v>69</v>
      </c>
      <c r="D832" s="161" t="s">
        <v>337</v>
      </c>
      <c r="E832" s="59"/>
      <c r="F832" s="58">
        <f>F833+F837</f>
        <v>6193.2</v>
      </c>
      <c r="N832" s="102"/>
      <c r="O832" s="102"/>
      <c r="P832" s="102"/>
      <c r="Q832" s="102"/>
      <c r="R832" s="105"/>
    </row>
    <row r="833" spans="1:18" s="30" customFormat="1" ht="29.25" customHeight="1">
      <c r="A833" s="28" t="s">
        <v>538</v>
      </c>
      <c r="B833" s="59" t="s">
        <v>69</v>
      </c>
      <c r="C833" s="59" t="s">
        <v>69</v>
      </c>
      <c r="D833" s="161" t="s">
        <v>539</v>
      </c>
      <c r="E833" s="59"/>
      <c r="F833" s="58">
        <f>F834</f>
        <v>2736.1</v>
      </c>
      <c r="N833" s="102"/>
      <c r="O833" s="102"/>
      <c r="P833" s="102"/>
      <c r="Q833" s="102"/>
      <c r="R833" s="105"/>
    </row>
    <row r="834" spans="1:18" s="30" customFormat="1" ht="30" customHeight="1">
      <c r="A834" s="28" t="s">
        <v>105</v>
      </c>
      <c r="B834" s="59" t="s">
        <v>69</v>
      </c>
      <c r="C834" s="59" t="s">
        <v>69</v>
      </c>
      <c r="D834" s="161" t="s">
        <v>539</v>
      </c>
      <c r="E834" s="59" t="s">
        <v>106</v>
      </c>
      <c r="F834" s="58">
        <f>F835</f>
        <v>2736.1</v>
      </c>
      <c r="N834" s="102"/>
      <c r="O834" s="102"/>
      <c r="P834" s="102"/>
      <c r="Q834" s="102"/>
      <c r="R834" s="105"/>
    </row>
    <row r="835" spans="1:18" s="30" customFormat="1" ht="17.25" customHeight="1">
      <c r="A835" s="28" t="s">
        <v>111</v>
      </c>
      <c r="B835" s="59" t="s">
        <v>69</v>
      </c>
      <c r="C835" s="59" t="s">
        <v>69</v>
      </c>
      <c r="D835" s="161" t="s">
        <v>539</v>
      </c>
      <c r="E835" s="59" t="s">
        <v>112</v>
      </c>
      <c r="F835" s="58">
        <f>F836</f>
        <v>2736.1</v>
      </c>
      <c r="N835" s="102"/>
      <c r="O835" s="102"/>
      <c r="P835" s="102"/>
      <c r="Q835" s="102"/>
      <c r="R835" s="105"/>
    </row>
    <row r="836" spans="1:18" s="30" customFormat="1" ht="17.25" customHeight="1">
      <c r="A836" s="28" t="s">
        <v>115</v>
      </c>
      <c r="B836" s="59" t="s">
        <v>69</v>
      </c>
      <c r="C836" s="59" t="s">
        <v>69</v>
      </c>
      <c r="D836" s="161" t="s">
        <v>539</v>
      </c>
      <c r="E836" s="59" t="s">
        <v>116</v>
      </c>
      <c r="F836" s="58">
        <f>'пр.4 вед.стр.'!G781</f>
        <v>2736.1</v>
      </c>
      <c r="N836" s="102"/>
      <c r="O836" s="102"/>
      <c r="P836" s="102"/>
      <c r="Q836" s="102"/>
      <c r="R836" s="105"/>
    </row>
    <row r="837" spans="1:18" s="30" customFormat="1" ht="28.5" customHeight="1">
      <c r="A837" s="28" t="s">
        <v>540</v>
      </c>
      <c r="B837" s="59" t="s">
        <v>69</v>
      </c>
      <c r="C837" s="59" t="s">
        <v>69</v>
      </c>
      <c r="D837" s="161" t="s">
        <v>541</v>
      </c>
      <c r="E837" s="59"/>
      <c r="F837" s="58">
        <f>F838</f>
        <v>3457.1</v>
      </c>
      <c r="N837" s="102"/>
      <c r="O837" s="102"/>
      <c r="P837" s="102"/>
      <c r="Q837" s="102"/>
      <c r="R837" s="105"/>
    </row>
    <row r="838" spans="1:18" s="30" customFormat="1" ht="27" customHeight="1">
      <c r="A838" s="28" t="s">
        <v>105</v>
      </c>
      <c r="B838" s="59" t="s">
        <v>69</v>
      </c>
      <c r="C838" s="59" t="s">
        <v>69</v>
      </c>
      <c r="D838" s="161" t="s">
        <v>541</v>
      </c>
      <c r="E838" s="59" t="s">
        <v>106</v>
      </c>
      <c r="F838" s="58">
        <f>F839</f>
        <v>3457.1</v>
      </c>
      <c r="N838" s="102"/>
      <c r="O838" s="102"/>
      <c r="P838" s="102"/>
      <c r="Q838" s="102"/>
      <c r="R838" s="105"/>
    </row>
    <row r="839" spans="1:18" s="30" customFormat="1" ht="17.25" customHeight="1">
      <c r="A839" s="28" t="s">
        <v>111</v>
      </c>
      <c r="B839" s="59" t="s">
        <v>69</v>
      </c>
      <c r="C839" s="59" t="s">
        <v>69</v>
      </c>
      <c r="D839" s="161" t="s">
        <v>541</v>
      </c>
      <c r="E839" s="59" t="s">
        <v>112</v>
      </c>
      <c r="F839" s="58">
        <f>F840</f>
        <v>3457.1</v>
      </c>
      <c r="N839" s="102"/>
      <c r="O839" s="102"/>
      <c r="P839" s="102"/>
      <c r="Q839" s="102"/>
      <c r="R839" s="105"/>
    </row>
    <row r="840" spans="1:18" s="30" customFormat="1" ht="17.25" customHeight="1">
      <c r="A840" s="28" t="s">
        <v>115</v>
      </c>
      <c r="B840" s="59" t="s">
        <v>69</v>
      </c>
      <c r="C840" s="59" t="s">
        <v>69</v>
      </c>
      <c r="D840" s="161" t="s">
        <v>541</v>
      </c>
      <c r="E840" s="59" t="s">
        <v>116</v>
      </c>
      <c r="F840" s="58">
        <f>'пр.4 вед.стр.'!G785</f>
        <v>3457.1</v>
      </c>
      <c r="N840" s="102"/>
      <c r="O840" s="102"/>
      <c r="P840" s="102"/>
      <c r="Q840" s="102"/>
      <c r="R840" s="105"/>
    </row>
    <row r="841" spans="1:18" s="30" customFormat="1" ht="31.5" customHeight="1">
      <c r="A841" s="126" t="s">
        <v>423</v>
      </c>
      <c r="B841" s="59" t="s">
        <v>69</v>
      </c>
      <c r="C841" s="59" t="s">
        <v>69</v>
      </c>
      <c r="D841" s="161" t="s">
        <v>189</v>
      </c>
      <c r="E841" s="59"/>
      <c r="F841" s="58">
        <f>F842</f>
        <v>186.8</v>
      </c>
      <c r="N841" s="102"/>
      <c r="O841" s="102"/>
      <c r="P841" s="102"/>
      <c r="Q841" s="102"/>
      <c r="R841" s="105"/>
    </row>
    <row r="842" spans="1:18" s="30" customFormat="1" ht="17.25" customHeight="1">
      <c r="A842" s="28" t="s">
        <v>542</v>
      </c>
      <c r="B842" s="59" t="s">
        <v>69</v>
      </c>
      <c r="C842" s="59" t="s">
        <v>69</v>
      </c>
      <c r="D842" s="161" t="s">
        <v>543</v>
      </c>
      <c r="E842" s="59"/>
      <c r="F842" s="58">
        <f>F843+F847</f>
        <v>186.8</v>
      </c>
      <c r="N842" s="102"/>
      <c r="O842" s="102"/>
      <c r="P842" s="102"/>
      <c r="Q842" s="102"/>
      <c r="R842" s="105"/>
    </row>
    <row r="843" spans="1:18" s="30" customFormat="1" ht="17.25" customHeight="1">
      <c r="A843" s="126" t="s">
        <v>625</v>
      </c>
      <c r="B843" s="59" t="s">
        <v>69</v>
      </c>
      <c r="C843" s="59" t="s">
        <v>69</v>
      </c>
      <c r="D843" s="161" t="s">
        <v>626</v>
      </c>
      <c r="E843" s="59"/>
      <c r="F843" s="58">
        <f>F844</f>
        <v>86.80000000000001</v>
      </c>
      <c r="N843" s="102"/>
      <c r="O843" s="102"/>
      <c r="P843" s="102"/>
      <c r="Q843" s="102"/>
      <c r="R843" s="105"/>
    </row>
    <row r="844" spans="1:18" s="30" customFormat="1" ht="30.75" customHeight="1">
      <c r="A844" s="28" t="s">
        <v>105</v>
      </c>
      <c r="B844" s="59" t="s">
        <v>69</v>
      </c>
      <c r="C844" s="59" t="s">
        <v>69</v>
      </c>
      <c r="D844" s="161" t="s">
        <v>626</v>
      </c>
      <c r="E844" s="59" t="s">
        <v>106</v>
      </c>
      <c r="F844" s="58">
        <f>F845</f>
        <v>86.80000000000001</v>
      </c>
      <c r="N844" s="102"/>
      <c r="O844" s="102"/>
      <c r="P844" s="102"/>
      <c r="Q844" s="102"/>
      <c r="R844" s="105"/>
    </row>
    <row r="845" spans="1:18" s="30" customFormat="1" ht="17.25" customHeight="1">
      <c r="A845" s="28" t="s">
        <v>111</v>
      </c>
      <c r="B845" s="59" t="s">
        <v>69</v>
      </c>
      <c r="C845" s="59" t="s">
        <v>69</v>
      </c>
      <c r="D845" s="161" t="s">
        <v>626</v>
      </c>
      <c r="E845" s="59" t="s">
        <v>112</v>
      </c>
      <c r="F845" s="58">
        <f>F846</f>
        <v>86.80000000000001</v>
      </c>
      <c r="N845" s="102"/>
      <c r="O845" s="102"/>
      <c r="P845" s="102"/>
      <c r="Q845" s="102"/>
      <c r="R845" s="105"/>
    </row>
    <row r="846" spans="1:18" s="30" customFormat="1" ht="17.25" customHeight="1">
      <c r="A846" s="28" t="s">
        <v>115</v>
      </c>
      <c r="B846" s="59" t="s">
        <v>69</v>
      </c>
      <c r="C846" s="59" t="s">
        <v>69</v>
      </c>
      <c r="D846" s="161" t="s">
        <v>626</v>
      </c>
      <c r="E846" s="59" t="s">
        <v>116</v>
      </c>
      <c r="F846" s="58">
        <f>'пр.4 вед.стр.'!G791</f>
        <v>86.80000000000001</v>
      </c>
      <c r="N846" s="102"/>
      <c r="O846" s="102"/>
      <c r="P846" s="102"/>
      <c r="Q846" s="102"/>
      <c r="R846" s="105"/>
    </row>
    <row r="847" spans="1:18" s="30" customFormat="1" ht="33" customHeight="1">
      <c r="A847" s="126" t="s">
        <v>605</v>
      </c>
      <c r="B847" s="59" t="s">
        <v>69</v>
      </c>
      <c r="C847" s="59" t="s">
        <v>69</v>
      </c>
      <c r="D847" s="161" t="s">
        <v>544</v>
      </c>
      <c r="E847" s="59"/>
      <c r="F847" s="58">
        <f>F848</f>
        <v>100</v>
      </c>
      <c r="N847" s="102"/>
      <c r="O847" s="102"/>
      <c r="P847" s="102"/>
      <c r="Q847" s="102"/>
      <c r="R847" s="105"/>
    </row>
    <row r="848" spans="1:18" s="30" customFormat="1" ht="17.25" customHeight="1">
      <c r="A848" s="126" t="s">
        <v>190</v>
      </c>
      <c r="B848" s="59" t="s">
        <v>69</v>
      </c>
      <c r="C848" s="59" t="s">
        <v>69</v>
      </c>
      <c r="D848" s="161" t="s">
        <v>544</v>
      </c>
      <c r="E848" s="59"/>
      <c r="F848" s="58">
        <f>F849</f>
        <v>100</v>
      </c>
      <c r="N848" s="102"/>
      <c r="O848" s="102"/>
      <c r="P848" s="102"/>
      <c r="Q848" s="102"/>
      <c r="R848" s="105"/>
    </row>
    <row r="849" spans="1:18" s="30" customFormat="1" ht="17.25" customHeight="1">
      <c r="A849" s="28" t="s">
        <v>117</v>
      </c>
      <c r="B849" s="59" t="s">
        <v>69</v>
      </c>
      <c r="C849" s="59" t="s">
        <v>69</v>
      </c>
      <c r="D849" s="161" t="s">
        <v>544</v>
      </c>
      <c r="E849" s="59" t="s">
        <v>118</v>
      </c>
      <c r="F849" s="58">
        <f>F850</f>
        <v>100</v>
      </c>
      <c r="N849" s="102"/>
      <c r="O849" s="102"/>
      <c r="P849" s="102"/>
      <c r="Q849" s="102"/>
      <c r="R849" s="105"/>
    </row>
    <row r="850" spans="1:18" s="30" customFormat="1" ht="17.25" customHeight="1">
      <c r="A850" s="28" t="s">
        <v>137</v>
      </c>
      <c r="B850" s="59" t="s">
        <v>69</v>
      </c>
      <c r="C850" s="59" t="s">
        <v>69</v>
      </c>
      <c r="D850" s="161" t="s">
        <v>544</v>
      </c>
      <c r="E850" s="59" t="s">
        <v>136</v>
      </c>
      <c r="F850" s="58">
        <f>F851</f>
        <v>100</v>
      </c>
      <c r="N850" s="102"/>
      <c r="O850" s="102"/>
      <c r="P850" s="102"/>
      <c r="Q850" s="102"/>
      <c r="R850" s="105"/>
    </row>
    <row r="851" spans="1:18" s="30" customFormat="1" ht="30.75" customHeight="1">
      <c r="A851" s="28" t="s">
        <v>138</v>
      </c>
      <c r="B851" s="59" t="s">
        <v>69</v>
      </c>
      <c r="C851" s="59" t="s">
        <v>69</v>
      </c>
      <c r="D851" s="161" t="s">
        <v>544</v>
      </c>
      <c r="E851" s="59" t="s">
        <v>139</v>
      </c>
      <c r="F851" s="58">
        <f>'пр.4 вед.стр.'!G796</f>
        <v>100</v>
      </c>
      <c r="N851" s="102"/>
      <c r="O851" s="102"/>
      <c r="P851" s="102"/>
      <c r="Q851" s="102"/>
      <c r="R851" s="105"/>
    </row>
    <row r="852" spans="1:18" s="30" customFormat="1" ht="30.75" customHeight="1">
      <c r="A852" s="126" t="s">
        <v>547</v>
      </c>
      <c r="B852" s="59" t="s">
        <v>69</v>
      </c>
      <c r="C852" s="59" t="s">
        <v>69</v>
      </c>
      <c r="D852" s="161" t="s">
        <v>194</v>
      </c>
      <c r="E852" s="59"/>
      <c r="F852" s="58">
        <f>F853+F858</f>
        <v>300</v>
      </c>
      <c r="N852" s="102"/>
      <c r="O852" s="102"/>
      <c r="P852" s="102"/>
      <c r="Q852" s="102"/>
      <c r="R852" s="105"/>
    </row>
    <row r="853" spans="1:18" s="30" customFormat="1" ht="12" customHeight="1">
      <c r="A853" s="126" t="s">
        <v>256</v>
      </c>
      <c r="B853" s="59" t="s">
        <v>69</v>
      </c>
      <c r="C853" s="59" t="s">
        <v>69</v>
      </c>
      <c r="D853" s="161" t="s">
        <v>343</v>
      </c>
      <c r="E853" s="59"/>
      <c r="F853" s="58">
        <f>F854</f>
        <v>50</v>
      </c>
      <c r="N853" s="102"/>
      <c r="O853" s="102"/>
      <c r="P853" s="102"/>
      <c r="Q853" s="102"/>
      <c r="R853" s="105"/>
    </row>
    <row r="854" spans="1:18" s="30" customFormat="1" ht="17.25" customHeight="1">
      <c r="A854" s="126" t="s">
        <v>178</v>
      </c>
      <c r="B854" s="59" t="s">
        <v>69</v>
      </c>
      <c r="C854" s="59" t="s">
        <v>69</v>
      </c>
      <c r="D854" s="161" t="s">
        <v>344</v>
      </c>
      <c r="E854" s="59"/>
      <c r="F854" s="58">
        <f>F855</f>
        <v>50</v>
      </c>
      <c r="N854" s="102"/>
      <c r="O854" s="102"/>
      <c r="P854" s="102"/>
      <c r="Q854" s="102"/>
      <c r="R854" s="105"/>
    </row>
    <row r="855" spans="1:18" s="30" customFormat="1" ht="14.25" customHeight="1">
      <c r="A855" s="28" t="s">
        <v>610</v>
      </c>
      <c r="B855" s="59" t="s">
        <v>69</v>
      </c>
      <c r="C855" s="59" t="s">
        <v>69</v>
      </c>
      <c r="D855" s="161" t="s">
        <v>344</v>
      </c>
      <c r="E855" s="59" t="s">
        <v>104</v>
      </c>
      <c r="F855" s="58">
        <f>F856</f>
        <v>50</v>
      </c>
      <c r="N855" s="102"/>
      <c r="O855" s="102"/>
      <c r="P855" s="102"/>
      <c r="Q855" s="102"/>
      <c r="R855" s="105"/>
    </row>
    <row r="856" spans="1:18" s="30" customFormat="1" ht="15" customHeight="1">
      <c r="A856" s="28" t="s">
        <v>98</v>
      </c>
      <c r="B856" s="59" t="s">
        <v>69</v>
      </c>
      <c r="C856" s="59" t="s">
        <v>69</v>
      </c>
      <c r="D856" s="161" t="s">
        <v>344</v>
      </c>
      <c r="E856" s="59" t="s">
        <v>99</v>
      </c>
      <c r="F856" s="58">
        <f>F857</f>
        <v>50</v>
      </c>
      <c r="N856" s="106"/>
      <c r="O856" s="106"/>
      <c r="P856" s="106"/>
      <c r="Q856" s="106"/>
      <c r="R856" s="105"/>
    </row>
    <row r="857" spans="1:18" s="30" customFormat="1" ht="18.75" customHeight="1">
      <c r="A857" s="28" t="s">
        <v>100</v>
      </c>
      <c r="B857" s="59" t="s">
        <v>69</v>
      </c>
      <c r="C857" s="59" t="s">
        <v>69</v>
      </c>
      <c r="D857" s="161" t="s">
        <v>344</v>
      </c>
      <c r="E857" s="59" t="s">
        <v>101</v>
      </c>
      <c r="F857" s="58">
        <f>'пр.4 вед.стр.'!G942</f>
        <v>50</v>
      </c>
      <c r="N857" s="106"/>
      <c r="O857" s="106"/>
      <c r="P857" s="106"/>
      <c r="Q857" s="106"/>
      <c r="R857" s="105"/>
    </row>
    <row r="858" spans="1:18" s="30" customFormat="1" ht="15" customHeight="1">
      <c r="A858" s="126" t="s">
        <v>257</v>
      </c>
      <c r="B858" s="59" t="s">
        <v>69</v>
      </c>
      <c r="C858" s="59" t="s">
        <v>69</v>
      </c>
      <c r="D858" s="161" t="s">
        <v>345</v>
      </c>
      <c r="E858" s="59"/>
      <c r="F858" s="58">
        <f>F859+F863+F868+F872</f>
        <v>250</v>
      </c>
      <c r="N858" s="106"/>
      <c r="O858" s="106"/>
      <c r="P858" s="106"/>
      <c r="Q858" s="106"/>
      <c r="R858" s="105"/>
    </row>
    <row r="859" spans="1:18" s="30" customFormat="1" ht="18" customHeight="1">
      <c r="A859" s="126" t="s">
        <v>195</v>
      </c>
      <c r="B859" s="59" t="s">
        <v>69</v>
      </c>
      <c r="C859" s="59" t="s">
        <v>69</v>
      </c>
      <c r="D859" s="161" t="s">
        <v>346</v>
      </c>
      <c r="E859" s="59"/>
      <c r="F859" s="58">
        <f>F860</f>
        <v>95</v>
      </c>
      <c r="N859" s="102"/>
      <c r="O859" s="102"/>
      <c r="P859" s="102"/>
      <c r="Q859" s="102"/>
      <c r="R859" s="105"/>
    </row>
    <row r="860" spans="1:18" s="30" customFormat="1" ht="18.75" customHeight="1">
      <c r="A860" s="28" t="s">
        <v>610</v>
      </c>
      <c r="B860" s="59" t="s">
        <v>69</v>
      </c>
      <c r="C860" s="59" t="s">
        <v>69</v>
      </c>
      <c r="D860" s="161" t="s">
        <v>346</v>
      </c>
      <c r="E860" s="59" t="s">
        <v>104</v>
      </c>
      <c r="F860" s="58">
        <f>F861</f>
        <v>95</v>
      </c>
      <c r="N860" s="102"/>
      <c r="O860" s="102"/>
      <c r="P860" s="102"/>
      <c r="Q860" s="102"/>
      <c r="R860" s="105"/>
    </row>
    <row r="861" spans="1:18" s="30" customFormat="1" ht="18.75" customHeight="1">
      <c r="A861" s="28" t="s">
        <v>98</v>
      </c>
      <c r="B861" s="59" t="s">
        <v>69</v>
      </c>
      <c r="C861" s="59" t="s">
        <v>69</v>
      </c>
      <c r="D861" s="161" t="s">
        <v>346</v>
      </c>
      <c r="E861" s="59" t="s">
        <v>99</v>
      </c>
      <c r="F861" s="58">
        <f>F862</f>
        <v>95</v>
      </c>
      <c r="N861" s="102"/>
      <c r="O861" s="102"/>
      <c r="P861" s="102"/>
      <c r="Q861" s="102"/>
      <c r="R861" s="105"/>
    </row>
    <row r="862" spans="1:18" s="30" customFormat="1" ht="16.5" customHeight="1">
      <c r="A862" s="28" t="s">
        <v>100</v>
      </c>
      <c r="B862" s="59" t="s">
        <v>69</v>
      </c>
      <c r="C862" s="59" t="s">
        <v>69</v>
      </c>
      <c r="D862" s="161" t="s">
        <v>346</v>
      </c>
      <c r="E862" s="59" t="s">
        <v>101</v>
      </c>
      <c r="F862" s="58">
        <f>'пр.4 вед.стр.'!G947</f>
        <v>95</v>
      </c>
      <c r="N862" s="102"/>
      <c r="O862" s="102"/>
      <c r="P862" s="102"/>
      <c r="Q862" s="102"/>
      <c r="R862" s="105"/>
    </row>
    <row r="863" spans="1:18" s="30" customFormat="1" ht="17.25" customHeight="1">
      <c r="A863" s="126" t="s">
        <v>196</v>
      </c>
      <c r="B863" s="59" t="s">
        <v>69</v>
      </c>
      <c r="C863" s="59" t="s">
        <v>69</v>
      </c>
      <c r="D863" s="161" t="s">
        <v>347</v>
      </c>
      <c r="E863" s="59"/>
      <c r="F863" s="58">
        <f>F864</f>
        <v>100</v>
      </c>
      <c r="N863" s="102"/>
      <c r="O863" s="102"/>
      <c r="P863" s="102"/>
      <c r="Q863" s="102"/>
      <c r="R863" s="105"/>
    </row>
    <row r="864" spans="1:18" s="30" customFormat="1" ht="40.5" customHeight="1">
      <c r="A864" s="126" t="s">
        <v>102</v>
      </c>
      <c r="B864" s="59" t="s">
        <v>69</v>
      </c>
      <c r="C864" s="59" t="s">
        <v>69</v>
      </c>
      <c r="D864" s="161" t="s">
        <v>347</v>
      </c>
      <c r="E864" s="59" t="s">
        <v>103</v>
      </c>
      <c r="F864" s="58">
        <f>F865</f>
        <v>100</v>
      </c>
      <c r="N864" s="102"/>
      <c r="O864" s="102"/>
      <c r="P864" s="102"/>
      <c r="Q864" s="102"/>
      <c r="R864" s="105"/>
    </row>
    <row r="865" spans="1:18" s="30" customFormat="1" ht="16.5" customHeight="1">
      <c r="A865" s="28" t="s">
        <v>295</v>
      </c>
      <c r="B865" s="59" t="s">
        <v>69</v>
      </c>
      <c r="C865" s="59" t="s">
        <v>69</v>
      </c>
      <c r="D865" s="161" t="s">
        <v>347</v>
      </c>
      <c r="E865" s="59" t="s">
        <v>297</v>
      </c>
      <c r="F865" s="58">
        <f>F866+F867</f>
        <v>100</v>
      </c>
      <c r="N865" s="102"/>
      <c r="O865" s="102"/>
      <c r="P865" s="102"/>
      <c r="Q865" s="102"/>
      <c r="R865" s="105"/>
    </row>
    <row r="866" spans="1:18" s="30" customFormat="1" ht="15" customHeight="1">
      <c r="A866" s="28" t="s">
        <v>434</v>
      </c>
      <c r="B866" s="59" t="s">
        <v>69</v>
      </c>
      <c r="C866" s="59" t="s">
        <v>69</v>
      </c>
      <c r="D866" s="161" t="s">
        <v>347</v>
      </c>
      <c r="E866" s="59" t="s">
        <v>296</v>
      </c>
      <c r="F866" s="58">
        <f>'пр.4 вед.стр.'!G951</f>
        <v>20</v>
      </c>
      <c r="N866" s="102"/>
      <c r="O866" s="102"/>
      <c r="P866" s="102"/>
      <c r="Q866" s="102"/>
      <c r="R866" s="105"/>
    </row>
    <row r="867" spans="1:18" s="30" customFormat="1" ht="30.75" customHeight="1">
      <c r="A867" s="28" t="s">
        <v>548</v>
      </c>
      <c r="B867" s="59" t="s">
        <v>69</v>
      </c>
      <c r="C867" s="59" t="s">
        <v>69</v>
      </c>
      <c r="D867" s="161" t="s">
        <v>347</v>
      </c>
      <c r="E867" s="59" t="s">
        <v>549</v>
      </c>
      <c r="F867" s="58">
        <f>'пр.4 вед.стр.'!G952</f>
        <v>80</v>
      </c>
      <c r="N867" s="102"/>
      <c r="O867" s="102"/>
      <c r="P867" s="102"/>
      <c r="Q867" s="102"/>
      <c r="R867" s="105"/>
    </row>
    <row r="868" spans="1:18" s="30" customFormat="1" ht="15" customHeight="1">
      <c r="A868" s="126" t="s">
        <v>197</v>
      </c>
      <c r="B868" s="59" t="s">
        <v>69</v>
      </c>
      <c r="C868" s="59" t="s">
        <v>69</v>
      </c>
      <c r="D868" s="161" t="s">
        <v>348</v>
      </c>
      <c r="E868" s="59"/>
      <c r="F868" s="58">
        <f>F869</f>
        <v>35</v>
      </c>
      <c r="N868" s="102"/>
      <c r="O868" s="102"/>
      <c r="P868" s="102"/>
      <c r="Q868" s="102"/>
      <c r="R868" s="105"/>
    </row>
    <row r="869" spans="1:18" s="30" customFormat="1" ht="13.5" customHeight="1">
      <c r="A869" s="28" t="s">
        <v>610</v>
      </c>
      <c r="B869" s="59" t="s">
        <v>69</v>
      </c>
      <c r="C869" s="59" t="s">
        <v>69</v>
      </c>
      <c r="D869" s="161" t="s">
        <v>348</v>
      </c>
      <c r="E869" s="59" t="s">
        <v>104</v>
      </c>
      <c r="F869" s="58">
        <f>F870</f>
        <v>35</v>
      </c>
      <c r="N869" s="102"/>
      <c r="O869" s="102"/>
      <c r="P869" s="102"/>
      <c r="Q869" s="102"/>
      <c r="R869" s="105"/>
    </row>
    <row r="870" spans="1:18" s="30" customFormat="1" ht="18" customHeight="1">
      <c r="A870" s="28" t="s">
        <v>98</v>
      </c>
      <c r="B870" s="59" t="s">
        <v>69</v>
      </c>
      <c r="C870" s="59" t="s">
        <v>69</v>
      </c>
      <c r="D870" s="161" t="s">
        <v>348</v>
      </c>
      <c r="E870" s="59" t="s">
        <v>99</v>
      </c>
      <c r="F870" s="58">
        <f>F871</f>
        <v>35</v>
      </c>
      <c r="N870" s="102"/>
      <c r="O870" s="102"/>
      <c r="P870" s="102"/>
      <c r="Q870" s="102"/>
      <c r="R870" s="105"/>
    </row>
    <row r="871" spans="1:18" s="30" customFormat="1" ht="16.5" customHeight="1">
      <c r="A871" s="28" t="s">
        <v>100</v>
      </c>
      <c r="B871" s="59" t="s">
        <v>69</v>
      </c>
      <c r="C871" s="59" t="s">
        <v>69</v>
      </c>
      <c r="D871" s="161" t="s">
        <v>348</v>
      </c>
      <c r="E871" s="59" t="s">
        <v>101</v>
      </c>
      <c r="F871" s="58">
        <f>'пр.4 вед.стр.'!G956</f>
        <v>35</v>
      </c>
      <c r="N871" s="102"/>
      <c r="O871" s="102"/>
      <c r="P871" s="102"/>
      <c r="Q871" s="102"/>
      <c r="R871" s="105"/>
    </row>
    <row r="872" spans="1:18" s="30" customFormat="1" ht="18" customHeight="1">
      <c r="A872" s="126" t="s">
        <v>198</v>
      </c>
      <c r="B872" s="59" t="s">
        <v>69</v>
      </c>
      <c r="C872" s="59" t="s">
        <v>69</v>
      </c>
      <c r="D872" s="161" t="s">
        <v>349</v>
      </c>
      <c r="E872" s="59"/>
      <c r="F872" s="58">
        <f>F873</f>
        <v>20</v>
      </c>
      <c r="N872" s="102"/>
      <c r="O872" s="102"/>
      <c r="P872" s="102"/>
      <c r="Q872" s="102"/>
      <c r="R872" s="105"/>
    </row>
    <row r="873" spans="1:18" s="30" customFormat="1" ht="15" customHeight="1">
      <c r="A873" s="28" t="s">
        <v>610</v>
      </c>
      <c r="B873" s="59" t="s">
        <v>69</v>
      </c>
      <c r="C873" s="59" t="s">
        <v>69</v>
      </c>
      <c r="D873" s="161" t="s">
        <v>349</v>
      </c>
      <c r="E873" s="59" t="s">
        <v>104</v>
      </c>
      <c r="F873" s="58">
        <f>F874</f>
        <v>20</v>
      </c>
      <c r="N873" s="102"/>
      <c r="O873" s="102"/>
      <c r="P873" s="102"/>
      <c r="Q873" s="102"/>
      <c r="R873" s="105"/>
    </row>
    <row r="874" spans="1:18" s="30" customFormat="1" ht="14.25" customHeight="1">
      <c r="A874" s="28" t="s">
        <v>98</v>
      </c>
      <c r="B874" s="59" t="s">
        <v>69</v>
      </c>
      <c r="C874" s="59" t="s">
        <v>69</v>
      </c>
      <c r="D874" s="161" t="s">
        <v>349</v>
      </c>
      <c r="E874" s="59" t="s">
        <v>99</v>
      </c>
      <c r="F874" s="58">
        <f>F875</f>
        <v>20</v>
      </c>
      <c r="N874" s="102"/>
      <c r="O874" s="102"/>
      <c r="P874" s="102"/>
      <c r="Q874" s="102"/>
      <c r="R874" s="105"/>
    </row>
    <row r="875" spans="1:18" s="30" customFormat="1" ht="15" customHeight="1">
      <c r="A875" s="28" t="s">
        <v>100</v>
      </c>
      <c r="B875" s="59" t="s">
        <v>69</v>
      </c>
      <c r="C875" s="59" t="s">
        <v>69</v>
      </c>
      <c r="D875" s="161" t="s">
        <v>349</v>
      </c>
      <c r="E875" s="59" t="s">
        <v>101</v>
      </c>
      <c r="F875" s="58">
        <f>'пр.4 вед.стр.'!G960</f>
        <v>20</v>
      </c>
      <c r="N875" s="102"/>
      <c r="O875" s="102"/>
      <c r="P875" s="102"/>
      <c r="Q875" s="102"/>
      <c r="R875" s="105"/>
    </row>
    <row r="876" spans="1:18" s="30" customFormat="1" ht="13.5" customHeight="1">
      <c r="A876" s="28" t="s">
        <v>51</v>
      </c>
      <c r="B876" s="59" t="s">
        <v>69</v>
      </c>
      <c r="C876" s="59" t="s">
        <v>69</v>
      </c>
      <c r="D876" s="59" t="s">
        <v>213</v>
      </c>
      <c r="E876" s="59"/>
      <c r="F876" s="58">
        <f>F877</f>
        <v>826.1</v>
      </c>
      <c r="N876" s="102"/>
      <c r="O876" s="102"/>
      <c r="P876" s="102"/>
      <c r="Q876" s="102"/>
      <c r="R876" s="105"/>
    </row>
    <row r="877" spans="1:18" s="30" customFormat="1" ht="14.25" customHeight="1">
      <c r="A877" s="28" t="s">
        <v>377</v>
      </c>
      <c r="B877" s="59" t="s">
        <v>69</v>
      </c>
      <c r="C877" s="59" t="s">
        <v>69</v>
      </c>
      <c r="D877" s="59" t="s">
        <v>404</v>
      </c>
      <c r="E877" s="59"/>
      <c r="F877" s="58">
        <f>F878</f>
        <v>826.1</v>
      </c>
      <c r="N877" s="102"/>
      <c r="O877" s="102"/>
      <c r="P877" s="102"/>
      <c r="Q877" s="102"/>
      <c r="R877" s="105"/>
    </row>
    <row r="878" spans="1:18" s="30" customFormat="1" ht="13.5" customHeight="1">
      <c r="A878" s="28" t="s">
        <v>610</v>
      </c>
      <c r="B878" s="59" t="s">
        <v>69</v>
      </c>
      <c r="C878" s="59" t="s">
        <v>69</v>
      </c>
      <c r="D878" s="59" t="s">
        <v>404</v>
      </c>
      <c r="E878" s="59" t="s">
        <v>104</v>
      </c>
      <c r="F878" s="58">
        <f>F879</f>
        <v>826.1</v>
      </c>
      <c r="N878" s="102"/>
      <c r="O878" s="102"/>
      <c r="P878" s="102"/>
      <c r="Q878" s="102"/>
      <c r="R878" s="105"/>
    </row>
    <row r="879" spans="1:18" s="30" customFormat="1" ht="12.75" customHeight="1">
      <c r="A879" s="28" t="s">
        <v>98</v>
      </c>
      <c r="B879" s="59" t="s">
        <v>69</v>
      </c>
      <c r="C879" s="59" t="s">
        <v>69</v>
      </c>
      <c r="D879" s="59" t="s">
        <v>404</v>
      </c>
      <c r="E879" s="59" t="s">
        <v>99</v>
      </c>
      <c r="F879" s="58">
        <f>F880</f>
        <v>826.1</v>
      </c>
      <c r="N879" s="102"/>
      <c r="O879" s="102"/>
      <c r="P879" s="102"/>
      <c r="Q879" s="102"/>
      <c r="R879" s="105"/>
    </row>
    <row r="880" spans="1:18" s="30" customFormat="1" ht="15" customHeight="1">
      <c r="A880" s="28" t="s">
        <v>100</v>
      </c>
      <c r="B880" s="59" t="s">
        <v>69</v>
      </c>
      <c r="C880" s="59" t="s">
        <v>69</v>
      </c>
      <c r="D880" s="59" t="s">
        <v>404</v>
      </c>
      <c r="E880" s="59" t="s">
        <v>101</v>
      </c>
      <c r="F880" s="58">
        <f>'пр.4 вед.стр.'!G965</f>
        <v>826.1</v>
      </c>
      <c r="N880" s="102"/>
      <c r="O880" s="102"/>
      <c r="P880" s="102"/>
      <c r="Q880" s="102"/>
      <c r="R880" s="105"/>
    </row>
    <row r="881" spans="1:18" s="30" customFormat="1" ht="19.5" customHeight="1">
      <c r="A881" s="61" t="s">
        <v>11</v>
      </c>
      <c r="B881" s="63" t="s">
        <v>69</v>
      </c>
      <c r="C881" s="63" t="s">
        <v>75</v>
      </c>
      <c r="D881" s="63"/>
      <c r="E881" s="63"/>
      <c r="F881" s="64">
        <f>F882+F896+F912+F941</f>
        <v>40468.6</v>
      </c>
      <c r="N881" s="102"/>
      <c r="O881" s="102"/>
      <c r="P881" s="102"/>
      <c r="Q881" s="102"/>
      <c r="R881" s="105"/>
    </row>
    <row r="882" spans="1:18" s="30" customFormat="1" ht="14.25" customHeight="1">
      <c r="A882" s="28" t="s">
        <v>360</v>
      </c>
      <c r="B882" s="59" t="s">
        <v>69</v>
      </c>
      <c r="C882" s="59" t="s">
        <v>75</v>
      </c>
      <c r="D882" s="59" t="s">
        <v>215</v>
      </c>
      <c r="E882" s="59"/>
      <c r="F882" s="58">
        <f>F883</f>
        <v>1169.4</v>
      </c>
      <c r="N882" s="102"/>
      <c r="O882" s="102"/>
      <c r="P882" s="102"/>
      <c r="Q882" s="102"/>
      <c r="R882" s="105"/>
    </row>
    <row r="883" spans="1:18" s="30" customFormat="1" ht="16.5" customHeight="1">
      <c r="A883" s="28" t="s">
        <v>361</v>
      </c>
      <c r="B883" s="59" t="s">
        <v>69</v>
      </c>
      <c r="C883" s="59" t="s">
        <v>75</v>
      </c>
      <c r="D883" s="59" t="s">
        <v>358</v>
      </c>
      <c r="E883" s="59"/>
      <c r="F883" s="58">
        <f>F884+F890</f>
        <v>1169.4</v>
      </c>
      <c r="N883" s="102"/>
      <c r="O883" s="102"/>
      <c r="P883" s="102"/>
      <c r="Q883" s="102"/>
      <c r="R883" s="105"/>
    </row>
    <row r="884" spans="1:18" s="30" customFormat="1" ht="38.25" customHeight="1">
      <c r="A884" s="28" t="s">
        <v>287</v>
      </c>
      <c r="B884" s="59" t="s">
        <v>69</v>
      </c>
      <c r="C884" s="59" t="s">
        <v>75</v>
      </c>
      <c r="D884" s="59" t="s">
        <v>359</v>
      </c>
      <c r="E884" s="59"/>
      <c r="F884" s="58">
        <f>F885</f>
        <v>1090.2</v>
      </c>
      <c r="N884" s="102"/>
      <c r="O884" s="102"/>
      <c r="P884" s="102"/>
      <c r="Q884" s="102"/>
      <c r="R884" s="105"/>
    </row>
    <row r="885" spans="1:18" s="30" customFormat="1" ht="43.5" customHeight="1">
      <c r="A885" s="28" t="s">
        <v>102</v>
      </c>
      <c r="B885" s="59" t="s">
        <v>69</v>
      </c>
      <c r="C885" s="59" t="s">
        <v>75</v>
      </c>
      <c r="D885" s="59" t="s">
        <v>359</v>
      </c>
      <c r="E885" s="59" t="s">
        <v>103</v>
      </c>
      <c r="F885" s="58">
        <f>F886+F888</f>
        <v>1090.2</v>
      </c>
      <c r="N885" s="102"/>
      <c r="O885" s="102"/>
      <c r="P885" s="102"/>
      <c r="Q885" s="102"/>
      <c r="R885" s="105"/>
    </row>
    <row r="886" spans="1:18" s="30" customFormat="1" ht="18.75" customHeight="1">
      <c r="A886" s="28" t="s">
        <v>295</v>
      </c>
      <c r="B886" s="59" t="s">
        <v>69</v>
      </c>
      <c r="C886" s="59" t="s">
        <v>75</v>
      </c>
      <c r="D886" s="59" t="s">
        <v>359</v>
      </c>
      <c r="E886" s="59" t="s">
        <v>297</v>
      </c>
      <c r="F886" s="58">
        <f>F887</f>
        <v>825</v>
      </c>
      <c r="N886" s="102"/>
      <c r="O886" s="102"/>
      <c r="P886" s="102"/>
      <c r="Q886" s="102"/>
      <c r="R886" s="105"/>
    </row>
    <row r="887" spans="1:18" s="30" customFormat="1" ht="18" customHeight="1">
      <c r="A887" s="28" t="s">
        <v>434</v>
      </c>
      <c r="B887" s="59" t="s">
        <v>69</v>
      </c>
      <c r="C887" s="59" t="s">
        <v>75</v>
      </c>
      <c r="D887" s="59" t="s">
        <v>359</v>
      </c>
      <c r="E887" s="59" t="s">
        <v>296</v>
      </c>
      <c r="F887" s="58">
        <f>'пр.4 вед.стр.'!G803</f>
        <v>825</v>
      </c>
      <c r="N887" s="102"/>
      <c r="O887" s="102"/>
      <c r="P887" s="102"/>
      <c r="Q887" s="102"/>
      <c r="R887" s="105"/>
    </row>
    <row r="888" spans="1:18" s="30" customFormat="1" ht="15" customHeight="1">
      <c r="A888" s="28" t="s">
        <v>93</v>
      </c>
      <c r="B888" s="59" t="s">
        <v>69</v>
      </c>
      <c r="C888" s="59" t="s">
        <v>75</v>
      </c>
      <c r="D888" s="59" t="s">
        <v>359</v>
      </c>
      <c r="E888" s="59" t="s">
        <v>94</v>
      </c>
      <c r="F888" s="58">
        <f>F889</f>
        <v>265.2</v>
      </c>
      <c r="N888" s="102"/>
      <c r="O888" s="102"/>
      <c r="P888" s="102"/>
      <c r="Q888" s="102"/>
      <c r="R888" s="105"/>
    </row>
    <row r="889" spans="1:18" s="30" customFormat="1" ht="27.75" customHeight="1">
      <c r="A889" s="28" t="s">
        <v>96</v>
      </c>
      <c r="B889" s="59" t="s">
        <v>69</v>
      </c>
      <c r="C889" s="59" t="s">
        <v>75</v>
      </c>
      <c r="D889" s="59" t="s">
        <v>359</v>
      </c>
      <c r="E889" s="59" t="s">
        <v>97</v>
      </c>
      <c r="F889" s="58">
        <f>'пр.4 вед.стр.'!G805</f>
        <v>265.2</v>
      </c>
      <c r="N889" s="102"/>
      <c r="O889" s="102"/>
      <c r="P889" s="102"/>
      <c r="Q889" s="102"/>
      <c r="R889" s="105"/>
    </row>
    <row r="890" spans="1:18" s="30" customFormat="1" ht="18" customHeight="1">
      <c r="A890" s="28" t="s">
        <v>235</v>
      </c>
      <c r="B890" s="59" t="s">
        <v>69</v>
      </c>
      <c r="C890" s="59" t="s">
        <v>75</v>
      </c>
      <c r="D890" s="59" t="s">
        <v>362</v>
      </c>
      <c r="E890" s="59"/>
      <c r="F890" s="58">
        <f>F891</f>
        <v>79.2</v>
      </c>
      <c r="N890" s="102"/>
      <c r="O890" s="102"/>
      <c r="P890" s="102"/>
      <c r="Q890" s="102"/>
      <c r="R890" s="105"/>
    </row>
    <row r="891" spans="1:18" s="30" customFormat="1" ht="36" customHeight="1">
      <c r="A891" s="28" t="s">
        <v>102</v>
      </c>
      <c r="B891" s="59" t="s">
        <v>69</v>
      </c>
      <c r="C891" s="59" t="s">
        <v>75</v>
      </c>
      <c r="D891" s="59" t="s">
        <v>362</v>
      </c>
      <c r="E891" s="59" t="s">
        <v>103</v>
      </c>
      <c r="F891" s="58">
        <f>F892+F894</f>
        <v>79.2</v>
      </c>
      <c r="N891" s="102"/>
      <c r="O891" s="102"/>
      <c r="P891" s="102"/>
      <c r="Q891" s="102"/>
      <c r="R891" s="105"/>
    </row>
    <row r="892" spans="1:18" s="30" customFormat="1" ht="15.75" customHeight="1">
      <c r="A892" s="28" t="s">
        <v>295</v>
      </c>
      <c r="B892" s="59" t="s">
        <v>69</v>
      </c>
      <c r="C892" s="59" t="s">
        <v>75</v>
      </c>
      <c r="D892" s="59" t="s">
        <v>362</v>
      </c>
      <c r="E892" s="59" t="s">
        <v>297</v>
      </c>
      <c r="F892" s="58">
        <f>F893</f>
        <v>59.2</v>
      </c>
      <c r="N892" s="102"/>
      <c r="O892" s="102"/>
      <c r="P892" s="102"/>
      <c r="Q892" s="102"/>
      <c r="R892" s="105"/>
    </row>
    <row r="893" spans="1:18" s="30" customFormat="1" ht="18" customHeight="1">
      <c r="A893" s="28" t="s">
        <v>434</v>
      </c>
      <c r="B893" s="59" t="s">
        <v>69</v>
      </c>
      <c r="C893" s="59" t="s">
        <v>75</v>
      </c>
      <c r="D893" s="59" t="s">
        <v>362</v>
      </c>
      <c r="E893" s="59" t="s">
        <v>296</v>
      </c>
      <c r="F893" s="58">
        <f>'пр.4 вед.стр.'!G809</f>
        <v>59.2</v>
      </c>
      <c r="N893" s="102"/>
      <c r="O893" s="102"/>
      <c r="P893" s="102"/>
      <c r="Q893" s="102"/>
      <c r="R893" s="105"/>
    </row>
    <row r="894" spans="1:18" s="30" customFormat="1" ht="17.25" customHeight="1">
      <c r="A894" s="28" t="s">
        <v>93</v>
      </c>
      <c r="B894" s="59" t="s">
        <v>69</v>
      </c>
      <c r="C894" s="59" t="s">
        <v>75</v>
      </c>
      <c r="D894" s="59" t="s">
        <v>362</v>
      </c>
      <c r="E894" s="59" t="s">
        <v>94</v>
      </c>
      <c r="F894" s="58">
        <f>F895</f>
        <v>20</v>
      </c>
      <c r="N894" s="102"/>
      <c r="O894" s="102"/>
      <c r="P894" s="102"/>
      <c r="Q894" s="102"/>
      <c r="R894" s="105"/>
    </row>
    <row r="895" spans="1:18" s="30" customFormat="1" ht="29.25" customHeight="1">
      <c r="A895" s="28" t="s">
        <v>96</v>
      </c>
      <c r="B895" s="59" t="s">
        <v>69</v>
      </c>
      <c r="C895" s="59" t="s">
        <v>75</v>
      </c>
      <c r="D895" s="59" t="s">
        <v>362</v>
      </c>
      <c r="E895" s="59" t="s">
        <v>97</v>
      </c>
      <c r="F895" s="58">
        <f>'пр.4 вед.стр.'!G811</f>
        <v>20</v>
      </c>
      <c r="N895" s="102"/>
      <c r="O895" s="102"/>
      <c r="P895" s="102"/>
      <c r="Q895" s="102"/>
      <c r="R895" s="105"/>
    </row>
    <row r="896" spans="1:18" s="30" customFormat="1" ht="30" customHeight="1">
      <c r="A896" s="28" t="s">
        <v>416</v>
      </c>
      <c r="B896" s="59" t="s">
        <v>69</v>
      </c>
      <c r="C896" s="59" t="s">
        <v>75</v>
      </c>
      <c r="D896" s="59" t="s">
        <v>214</v>
      </c>
      <c r="E896" s="59"/>
      <c r="F896" s="58">
        <f>F897</f>
        <v>8347.4</v>
      </c>
      <c r="N896" s="102"/>
      <c r="O896" s="102"/>
      <c r="P896" s="102"/>
      <c r="Q896" s="102"/>
      <c r="R896" s="105"/>
    </row>
    <row r="897" spans="1:18" s="30" customFormat="1" ht="17.25" customHeight="1">
      <c r="A897" s="28" t="s">
        <v>50</v>
      </c>
      <c r="B897" s="59" t="s">
        <v>69</v>
      </c>
      <c r="C897" s="59" t="s">
        <v>75</v>
      </c>
      <c r="D897" s="59" t="s">
        <v>240</v>
      </c>
      <c r="E897" s="59"/>
      <c r="F897" s="58">
        <f>F898+F904</f>
        <v>8347.4</v>
      </c>
      <c r="N897" s="102"/>
      <c r="O897" s="102"/>
      <c r="P897" s="102"/>
      <c r="Q897" s="102"/>
      <c r="R897" s="105"/>
    </row>
    <row r="898" spans="1:18" s="30" customFormat="1" ht="17.25" customHeight="1">
      <c r="A898" s="28" t="s">
        <v>236</v>
      </c>
      <c r="B898" s="59" t="s">
        <v>69</v>
      </c>
      <c r="C898" s="59" t="s">
        <v>75</v>
      </c>
      <c r="D898" s="59" t="s">
        <v>241</v>
      </c>
      <c r="E898" s="59"/>
      <c r="F898" s="58">
        <f>F899</f>
        <v>8065.6</v>
      </c>
      <c r="N898" s="102"/>
      <c r="O898" s="102"/>
      <c r="P898" s="102"/>
      <c r="Q898" s="102"/>
      <c r="R898" s="105"/>
    </row>
    <row r="899" spans="1:18" s="30" customFormat="1" ht="42" customHeight="1">
      <c r="A899" s="28" t="s">
        <v>102</v>
      </c>
      <c r="B899" s="59" t="s">
        <v>69</v>
      </c>
      <c r="C899" s="59" t="s">
        <v>75</v>
      </c>
      <c r="D899" s="59" t="s">
        <v>241</v>
      </c>
      <c r="E899" s="59" t="s">
        <v>103</v>
      </c>
      <c r="F899" s="58">
        <f>F900</f>
        <v>8065.6</v>
      </c>
      <c r="N899" s="102"/>
      <c r="O899" s="102"/>
      <c r="P899" s="102"/>
      <c r="Q899" s="102"/>
      <c r="R899" s="105"/>
    </row>
    <row r="900" spans="1:18" s="30" customFormat="1" ht="17.25" customHeight="1">
      <c r="A900" s="28" t="s">
        <v>93</v>
      </c>
      <c r="B900" s="59" t="s">
        <v>69</v>
      </c>
      <c r="C900" s="59" t="s">
        <v>75</v>
      </c>
      <c r="D900" s="59" t="s">
        <v>241</v>
      </c>
      <c r="E900" s="59" t="s">
        <v>94</v>
      </c>
      <c r="F900" s="58">
        <f>F901+F902+F903</f>
        <v>8065.6</v>
      </c>
      <c r="N900" s="102"/>
      <c r="O900" s="102"/>
      <c r="P900" s="102"/>
      <c r="Q900" s="102"/>
      <c r="R900" s="105"/>
    </row>
    <row r="901" spans="1:18" s="30" customFormat="1" ht="17.25" customHeight="1">
      <c r="A901" s="28" t="s">
        <v>158</v>
      </c>
      <c r="B901" s="59" t="s">
        <v>69</v>
      </c>
      <c r="C901" s="59" t="s">
        <v>75</v>
      </c>
      <c r="D901" s="59" t="s">
        <v>241</v>
      </c>
      <c r="E901" s="59" t="s">
        <v>95</v>
      </c>
      <c r="F901" s="58">
        <f>'пр.4 вед.стр.'!G817</f>
        <v>6349.2</v>
      </c>
      <c r="N901" s="102"/>
      <c r="O901" s="102"/>
      <c r="P901" s="102"/>
      <c r="Q901" s="102"/>
      <c r="R901" s="105"/>
    </row>
    <row r="902" spans="1:18" s="30" customFormat="1" ht="29.25" customHeight="1">
      <c r="A902" s="28" t="s">
        <v>96</v>
      </c>
      <c r="B902" s="59" t="s">
        <v>69</v>
      </c>
      <c r="C902" s="59" t="s">
        <v>75</v>
      </c>
      <c r="D902" s="59" t="s">
        <v>241</v>
      </c>
      <c r="E902" s="59" t="s">
        <v>97</v>
      </c>
      <c r="F902" s="58">
        <f>'пр.4 вед.стр.'!G818</f>
        <v>111</v>
      </c>
      <c r="N902" s="102"/>
      <c r="O902" s="102"/>
      <c r="P902" s="102"/>
      <c r="Q902" s="102"/>
      <c r="R902" s="105"/>
    </row>
    <row r="903" spans="1:18" s="30" customFormat="1" ht="27" customHeight="1">
      <c r="A903" s="28" t="s">
        <v>160</v>
      </c>
      <c r="B903" s="59" t="s">
        <v>69</v>
      </c>
      <c r="C903" s="59" t="s">
        <v>75</v>
      </c>
      <c r="D903" s="59" t="s">
        <v>241</v>
      </c>
      <c r="E903" s="59" t="s">
        <v>159</v>
      </c>
      <c r="F903" s="58">
        <f>'пр.4 вед.стр.'!G819</f>
        <v>1605.4</v>
      </c>
      <c r="N903" s="102"/>
      <c r="O903" s="102"/>
      <c r="P903" s="102"/>
      <c r="Q903" s="102"/>
      <c r="R903" s="105"/>
    </row>
    <row r="904" spans="1:18" s="30" customFormat="1" ht="17.25" customHeight="1">
      <c r="A904" s="28" t="s">
        <v>237</v>
      </c>
      <c r="B904" s="59" t="s">
        <v>69</v>
      </c>
      <c r="C904" s="59" t="s">
        <v>75</v>
      </c>
      <c r="D904" s="59" t="s">
        <v>242</v>
      </c>
      <c r="E904" s="59"/>
      <c r="F904" s="58">
        <f>F905+F908</f>
        <v>281.8</v>
      </c>
      <c r="N904" s="102"/>
      <c r="O904" s="102"/>
      <c r="P904" s="102"/>
      <c r="Q904" s="102"/>
      <c r="R904" s="105"/>
    </row>
    <row r="905" spans="1:18" s="30" customFormat="1" ht="17.25" customHeight="1">
      <c r="A905" s="28" t="s">
        <v>610</v>
      </c>
      <c r="B905" s="59" t="s">
        <v>69</v>
      </c>
      <c r="C905" s="59" t="s">
        <v>75</v>
      </c>
      <c r="D905" s="59" t="s">
        <v>242</v>
      </c>
      <c r="E905" s="59" t="s">
        <v>104</v>
      </c>
      <c r="F905" s="58">
        <f>F906</f>
        <v>278.8</v>
      </c>
      <c r="N905" s="102"/>
      <c r="O905" s="102"/>
      <c r="P905" s="102"/>
      <c r="Q905" s="102"/>
      <c r="R905" s="105"/>
    </row>
    <row r="906" spans="1:18" s="30" customFormat="1" ht="17.25" customHeight="1">
      <c r="A906" s="28" t="s">
        <v>98</v>
      </c>
      <c r="B906" s="59" t="s">
        <v>69</v>
      </c>
      <c r="C906" s="59" t="s">
        <v>75</v>
      </c>
      <c r="D906" s="59" t="s">
        <v>242</v>
      </c>
      <c r="E906" s="59" t="s">
        <v>99</v>
      </c>
      <c r="F906" s="58">
        <f>F907</f>
        <v>278.8</v>
      </c>
      <c r="N906" s="102"/>
      <c r="O906" s="102"/>
      <c r="P906" s="102"/>
      <c r="Q906" s="102"/>
      <c r="R906" s="105"/>
    </row>
    <row r="907" spans="1:18" s="30" customFormat="1" ht="17.25" customHeight="1">
      <c r="A907" s="28" t="s">
        <v>100</v>
      </c>
      <c r="B907" s="59" t="s">
        <v>69</v>
      </c>
      <c r="C907" s="59" t="s">
        <v>75</v>
      </c>
      <c r="D907" s="59" t="s">
        <v>242</v>
      </c>
      <c r="E907" s="59" t="s">
        <v>101</v>
      </c>
      <c r="F907" s="58">
        <f>'пр.4 вед.стр.'!G823</f>
        <v>278.8</v>
      </c>
      <c r="N907" s="102"/>
      <c r="O907" s="102"/>
      <c r="P907" s="102"/>
      <c r="Q907" s="102"/>
      <c r="R907" s="105"/>
    </row>
    <row r="908" spans="1:18" s="30" customFormat="1" ht="17.25" customHeight="1">
      <c r="A908" s="28" t="s">
        <v>128</v>
      </c>
      <c r="B908" s="59" t="s">
        <v>69</v>
      </c>
      <c r="C908" s="59" t="s">
        <v>75</v>
      </c>
      <c r="D908" s="59" t="s">
        <v>242</v>
      </c>
      <c r="E908" s="59" t="s">
        <v>129</v>
      </c>
      <c r="F908" s="58">
        <f>F909</f>
        <v>3</v>
      </c>
      <c r="N908" s="102"/>
      <c r="O908" s="102"/>
      <c r="P908" s="102"/>
      <c r="Q908" s="102"/>
      <c r="R908" s="105"/>
    </row>
    <row r="909" spans="1:18" s="30" customFormat="1" ht="17.25" customHeight="1">
      <c r="A909" s="28" t="s">
        <v>131</v>
      </c>
      <c r="B909" s="59" t="s">
        <v>69</v>
      </c>
      <c r="C909" s="59" t="s">
        <v>75</v>
      </c>
      <c r="D909" s="59" t="s">
        <v>242</v>
      </c>
      <c r="E909" s="59" t="s">
        <v>132</v>
      </c>
      <c r="F909" s="58">
        <f>F910+F911</f>
        <v>3</v>
      </c>
      <c r="N909" s="102"/>
      <c r="O909" s="102"/>
      <c r="P909" s="102"/>
      <c r="Q909" s="102"/>
      <c r="R909" s="105"/>
    </row>
    <row r="910" spans="1:18" s="30" customFormat="1" ht="17.25" customHeight="1">
      <c r="A910" s="28" t="s">
        <v>133</v>
      </c>
      <c r="B910" s="59" t="s">
        <v>69</v>
      </c>
      <c r="C910" s="59" t="s">
        <v>75</v>
      </c>
      <c r="D910" s="59" t="s">
        <v>242</v>
      </c>
      <c r="E910" s="59" t="s">
        <v>134</v>
      </c>
      <c r="F910" s="58">
        <f>'пр.4 вед.стр.'!G826</f>
        <v>1</v>
      </c>
      <c r="N910" s="102"/>
      <c r="O910" s="102"/>
      <c r="P910" s="102"/>
      <c r="Q910" s="102"/>
      <c r="R910" s="105"/>
    </row>
    <row r="911" spans="1:18" s="30" customFormat="1" ht="17.25" customHeight="1">
      <c r="A911" s="28" t="s">
        <v>161</v>
      </c>
      <c r="B911" s="59" t="s">
        <v>69</v>
      </c>
      <c r="C911" s="59" t="s">
        <v>75</v>
      </c>
      <c r="D911" s="59" t="s">
        <v>242</v>
      </c>
      <c r="E911" s="59" t="s">
        <v>135</v>
      </c>
      <c r="F911" s="58">
        <f>'пр.4 вед.стр.'!G827</f>
        <v>2</v>
      </c>
      <c r="N911" s="102"/>
      <c r="O911" s="102"/>
      <c r="P911" s="102"/>
      <c r="Q911" s="102"/>
      <c r="R911" s="105"/>
    </row>
    <row r="912" spans="1:18" s="30" customFormat="1" ht="27" customHeight="1">
      <c r="A912" s="28" t="s">
        <v>294</v>
      </c>
      <c r="B912" s="59" t="s">
        <v>69</v>
      </c>
      <c r="C912" s="59" t="s">
        <v>75</v>
      </c>
      <c r="D912" s="59" t="s">
        <v>229</v>
      </c>
      <c r="E912" s="59"/>
      <c r="F912" s="58">
        <f>F913</f>
        <v>29058.9</v>
      </c>
      <c r="N912" s="102"/>
      <c r="O912" s="102"/>
      <c r="P912" s="102"/>
      <c r="Q912" s="102"/>
      <c r="R912" s="105"/>
    </row>
    <row r="913" spans="1:18" s="30" customFormat="1" ht="33.75" customHeight="1">
      <c r="A913" s="28" t="s">
        <v>473</v>
      </c>
      <c r="B913" s="59" t="s">
        <v>69</v>
      </c>
      <c r="C913" s="59" t="s">
        <v>75</v>
      </c>
      <c r="D913" s="59" t="s">
        <v>375</v>
      </c>
      <c r="E913" s="59"/>
      <c r="F913" s="58">
        <f>F914+F927</f>
        <v>29058.9</v>
      </c>
      <c r="N913" s="102"/>
      <c r="O913" s="102"/>
      <c r="P913" s="102"/>
      <c r="Q913" s="102"/>
      <c r="R913" s="105"/>
    </row>
    <row r="914" spans="1:18" s="30" customFormat="1" ht="17.25" customHeight="1">
      <c r="A914" s="28" t="s">
        <v>376</v>
      </c>
      <c r="B914" s="59" t="s">
        <v>69</v>
      </c>
      <c r="C914" s="59" t="s">
        <v>75</v>
      </c>
      <c r="D914" s="59" t="s">
        <v>406</v>
      </c>
      <c r="E914" s="59"/>
      <c r="F914" s="58">
        <f>F915+F920+F923</f>
        <v>15272.099999999999</v>
      </c>
      <c r="N914" s="102"/>
      <c r="O914" s="102"/>
      <c r="P914" s="102"/>
      <c r="Q914" s="102"/>
      <c r="R914" s="105"/>
    </row>
    <row r="915" spans="1:18" s="30" customFormat="1" ht="47.25" customHeight="1">
      <c r="A915" s="28" t="s">
        <v>102</v>
      </c>
      <c r="B915" s="59" t="s">
        <v>69</v>
      </c>
      <c r="C915" s="59" t="s">
        <v>75</v>
      </c>
      <c r="D915" s="59" t="s">
        <v>406</v>
      </c>
      <c r="E915" s="59" t="s">
        <v>103</v>
      </c>
      <c r="F915" s="58">
        <f>F916</f>
        <v>14652.8</v>
      </c>
      <c r="N915" s="102"/>
      <c r="O915" s="102"/>
      <c r="P915" s="102"/>
      <c r="Q915" s="102"/>
      <c r="R915" s="105"/>
    </row>
    <row r="916" spans="1:18" s="30" customFormat="1" ht="17.25" customHeight="1">
      <c r="A916" s="28" t="s">
        <v>295</v>
      </c>
      <c r="B916" s="59" t="s">
        <v>69</v>
      </c>
      <c r="C916" s="59" t="s">
        <v>75</v>
      </c>
      <c r="D916" s="59" t="s">
        <v>406</v>
      </c>
      <c r="E916" s="59" t="s">
        <v>297</v>
      </c>
      <c r="F916" s="58">
        <f>F917+F918+F919</f>
        <v>14652.8</v>
      </c>
      <c r="N916" s="102"/>
      <c r="O916" s="102"/>
      <c r="P916" s="102"/>
      <c r="Q916" s="102"/>
      <c r="R916" s="105"/>
    </row>
    <row r="917" spans="1:18" s="30" customFormat="1" ht="17.25" customHeight="1">
      <c r="A917" s="28" t="s">
        <v>545</v>
      </c>
      <c r="B917" s="59" t="s">
        <v>69</v>
      </c>
      <c r="C917" s="59" t="s">
        <v>75</v>
      </c>
      <c r="D917" s="59" t="s">
        <v>406</v>
      </c>
      <c r="E917" s="59" t="s">
        <v>298</v>
      </c>
      <c r="F917" s="58">
        <f>'пр.4 вед.стр.'!G833</f>
        <v>11104.3</v>
      </c>
      <c r="N917" s="102"/>
      <c r="O917" s="102"/>
      <c r="P917" s="102"/>
      <c r="Q917" s="102"/>
      <c r="R917" s="105"/>
    </row>
    <row r="918" spans="1:18" s="30" customFormat="1" ht="17.25" customHeight="1">
      <c r="A918" s="28" t="s">
        <v>434</v>
      </c>
      <c r="B918" s="59" t="s">
        <v>69</v>
      </c>
      <c r="C918" s="59" t="s">
        <v>75</v>
      </c>
      <c r="D918" s="59" t="s">
        <v>406</v>
      </c>
      <c r="E918" s="59" t="s">
        <v>296</v>
      </c>
      <c r="F918" s="58">
        <f>'пр.4 вед.стр.'!G834</f>
        <v>20</v>
      </c>
      <c r="N918" s="102"/>
      <c r="O918" s="102"/>
      <c r="P918" s="102"/>
      <c r="Q918" s="102"/>
      <c r="R918" s="105"/>
    </row>
    <row r="919" spans="1:18" s="30" customFormat="1" ht="30.75" customHeight="1">
      <c r="A919" s="28" t="s">
        <v>438</v>
      </c>
      <c r="B919" s="59" t="s">
        <v>69</v>
      </c>
      <c r="C919" s="59" t="s">
        <v>75</v>
      </c>
      <c r="D919" s="59" t="s">
        <v>406</v>
      </c>
      <c r="E919" s="59" t="s">
        <v>299</v>
      </c>
      <c r="F919" s="58">
        <f>'пр.4 вед.стр.'!G835</f>
        <v>3528.5</v>
      </c>
      <c r="N919" s="102"/>
      <c r="O919" s="102"/>
      <c r="P919" s="102"/>
      <c r="Q919" s="102"/>
      <c r="R919" s="105"/>
    </row>
    <row r="920" spans="1:18" s="30" customFormat="1" ht="17.25" customHeight="1">
      <c r="A920" s="28" t="s">
        <v>610</v>
      </c>
      <c r="B920" s="59" t="s">
        <v>69</v>
      </c>
      <c r="C920" s="59" t="s">
        <v>75</v>
      </c>
      <c r="D920" s="59" t="s">
        <v>406</v>
      </c>
      <c r="E920" s="59" t="s">
        <v>104</v>
      </c>
      <c r="F920" s="58">
        <f>F921</f>
        <v>613.3000000000001</v>
      </c>
      <c r="N920" s="102"/>
      <c r="O920" s="102"/>
      <c r="P920" s="102"/>
      <c r="Q920" s="102"/>
      <c r="R920" s="105"/>
    </row>
    <row r="921" spans="1:18" s="30" customFormat="1" ht="17.25" customHeight="1">
      <c r="A921" s="28" t="s">
        <v>98</v>
      </c>
      <c r="B921" s="59" t="s">
        <v>69</v>
      </c>
      <c r="C921" s="59" t="s">
        <v>75</v>
      </c>
      <c r="D921" s="59" t="s">
        <v>406</v>
      </c>
      <c r="E921" s="59" t="s">
        <v>99</v>
      </c>
      <c r="F921" s="58">
        <f>F922</f>
        <v>613.3000000000001</v>
      </c>
      <c r="N921" s="102"/>
      <c r="O921" s="102"/>
      <c r="P921" s="102"/>
      <c r="Q921" s="102"/>
      <c r="R921" s="105"/>
    </row>
    <row r="922" spans="1:18" s="30" customFormat="1" ht="17.25" customHeight="1">
      <c r="A922" s="28" t="s">
        <v>100</v>
      </c>
      <c r="B922" s="59" t="s">
        <v>69</v>
      </c>
      <c r="C922" s="59" t="s">
        <v>75</v>
      </c>
      <c r="D922" s="59" t="s">
        <v>406</v>
      </c>
      <c r="E922" s="59" t="s">
        <v>101</v>
      </c>
      <c r="F922" s="58">
        <f>'пр.4 вед.стр.'!G838</f>
        <v>613.3000000000001</v>
      </c>
      <c r="N922" s="102"/>
      <c r="O922" s="102"/>
      <c r="P922" s="102"/>
      <c r="Q922" s="102"/>
      <c r="R922" s="105"/>
    </row>
    <row r="923" spans="1:18" s="30" customFormat="1" ht="17.25" customHeight="1">
      <c r="A923" s="28" t="s">
        <v>128</v>
      </c>
      <c r="B923" s="59" t="s">
        <v>69</v>
      </c>
      <c r="C923" s="59" t="s">
        <v>75</v>
      </c>
      <c r="D923" s="59" t="s">
        <v>406</v>
      </c>
      <c r="E923" s="59" t="s">
        <v>129</v>
      </c>
      <c r="F923" s="58">
        <f>F924</f>
        <v>6</v>
      </c>
      <c r="N923" s="102"/>
      <c r="O923" s="102"/>
      <c r="P923" s="102"/>
      <c r="Q923" s="102"/>
      <c r="R923" s="105"/>
    </row>
    <row r="924" spans="1:18" s="30" customFormat="1" ht="17.25" customHeight="1">
      <c r="A924" s="28" t="s">
        <v>131</v>
      </c>
      <c r="B924" s="59" t="s">
        <v>69</v>
      </c>
      <c r="C924" s="59" t="s">
        <v>75</v>
      </c>
      <c r="D924" s="59" t="s">
        <v>406</v>
      </c>
      <c r="E924" s="59" t="s">
        <v>132</v>
      </c>
      <c r="F924" s="58">
        <f>F925+F926</f>
        <v>6</v>
      </c>
      <c r="N924" s="102"/>
      <c r="O924" s="102"/>
      <c r="P924" s="102"/>
      <c r="Q924" s="102"/>
      <c r="R924" s="105"/>
    </row>
    <row r="925" spans="1:18" s="30" customFormat="1" ht="17.25" customHeight="1">
      <c r="A925" s="28" t="s">
        <v>133</v>
      </c>
      <c r="B925" s="59" t="s">
        <v>69</v>
      </c>
      <c r="C925" s="59" t="s">
        <v>75</v>
      </c>
      <c r="D925" s="59" t="s">
        <v>406</v>
      </c>
      <c r="E925" s="59" t="s">
        <v>134</v>
      </c>
      <c r="F925" s="58">
        <f>'пр.4 вед.стр.'!G841</f>
        <v>4</v>
      </c>
      <c r="N925" s="102"/>
      <c r="O925" s="102"/>
      <c r="P925" s="102"/>
      <c r="Q925" s="102"/>
      <c r="R925" s="105"/>
    </row>
    <row r="926" spans="1:18" s="30" customFormat="1" ht="17.25" customHeight="1">
      <c r="A926" s="28" t="s">
        <v>161</v>
      </c>
      <c r="B926" s="59" t="s">
        <v>69</v>
      </c>
      <c r="C926" s="59" t="s">
        <v>75</v>
      </c>
      <c r="D926" s="59" t="s">
        <v>406</v>
      </c>
      <c r="E926" s="59" t="s">
        <v>135</v>
      </c>
      <c r="F926" s="58">
        <f>'пр.4 вед.стр.'!G842</f>
        <v>2</v>
      </c>
      <c r="N926" s="102"/>
      <c r="O926" s="102"/>
      <c r="P926" s="102"/>
      <c r="Q926" s="102"/>
      <c r="R926" s="105"/>
    </row>
    <row r="927" spans="1:18" s="30" customFormat="1" ht="17.25" customHeight="1">
      <c r="A927" s="28" t="s">
        <v>384</v>
      </c>
      <c r="B927" s="59" t="s">
        <v>69</v>
      </c>
      <c r="C927" s="59" t="s">
        <v>75</v>
      </c>
      <c r="D927" s="59" t="s">
        <v>407</v>
      </c>
      <c r="E927" s="59"/>
      <c r="F927" s="58">
        <f>F928+F933+F936</f>
        <v>13786.800000000001</v>
      </c>
      <c r="N927" s="102"/>
      <c r="O927" s="102"/>
      <c r="P927" s="102"/>
      <c r="Q927" s="102"/>
      <c r="R927" s="105"/>
    </row>
    <row r="928" spans="1:18" s="30" customFormat="1" ht="43.5" customHeight="1">
      <c r="A928" s="28" t="s">
        <v>102</v>
      </c>
      <c r="B928" s="59" t="s">
        <v>69</v>
      </c>
      <c r="C928" s="59" t="s">
        <v>75</v>
      </c>
      <c r="D928" s="59" t="s">
        <v>407</v>
      </c>
      <c r="E928" s="59" t="s">
        <v>103</v>
      </c>
      <c r="F928" s="58">
        <f>F929</f>
        <v>10051.6</v>
      </c>
      <c r="N928" s="102"/>
      <c r="O928" s="102"/>
      <c r="P928" s="102"/>
      <c r="Q928" s="102"/>
      <c r="R928" s="105"/>
    </row>
    <row r="929" spans="1:18" s="30" customFormat="1" ht="17.25" customHeight="1">
      <c r="A929" s="28" t="s">
        <v>295</v>
      </c>
      <c r="B929" s="59" t="s">
        <v>69</v>
      </c>
      <c r="C929" s="59" t="s">
        <v>75</v>
      </c>
      <c r="D929" s="59" t="s">
        <v>407</v>
      </c>
      <c r="E929" s="59" t="s">
        <v>297</v>
      </c>
      <c r="F929" s="58">
        <f>F930+F931+F932</f>
        <v>10051.6</v>
      </c>
      <c r="N929" s="102"/>
      <c r="O929" s="102"/>
      <c r="P929" s="102"/>
      <c r="Q929" s="102"/>
      <c r="R929" s="105"/>
    </row>
    <row r="930" spans="1:18" s="30" customFormat="1" ht="17.25" customHeight="1">
      <c r="A930" s="28" t="s">
        <v>545</v>
      </c>
      <c r="B930" s="59" t="s">
        <v>69</v>
      </c>
      <c r="C930" s="59" t="s">
        <v>75</v>
      </c>
      <c r="D930" s="59" t="s">
        <v>407</v>
      </c>
      <c r="E930" s="59" t="s">
        <v>298</v>
      </c>
      <c r="F930" s="58">
        <f>'пр.4 вед.стр.'!G846</f>
        <v>7480.6</v>
      </c>
      <c r="N930" s="102"/>
      <c r="O930" s="102"/>
      <c r="P930" s="102"/>
      <c r="Q930" s="102"/>
      <c r="R930" s="105"/>
    </row>
    <row r="931" spans="1:18" s="30" customFormat="1" ht="17.25" customHeight="1">
      <c r="A931" s="28" t="s">
        <v>434</v>
      </c>
      <c r="B931" s="59" t="s">
        <v>69</v>
      </c>
      <c r="C931" s="59" t="s">
        <v>75</v>
      </c>
      <c r="D931" s="59" t="s">
        <v>407</v>
      </c>
      <c r="E931" s="59" t="s">
        <v>296</v>
      </c>
      <c r="F931" s="58">
        <f>'пр.4 вед.стр.'!G847</f>
        <v>367.4</v>
      </c>
      <c r="N931" s="102"/>
      <c r="O931" s="102"/>
      <c r="P931" s="102"/>
      <c r="Q931" s="102"/>
      <c r="R931" s="105"/>
    </row>
    <row r="932" spans="1:18" s="30" customFormat="1" ht="36" customHeight="1">
      <c r="A932" s="28" t="s">
        <v>438</v>
      </c>
      <c r="B932" s="59" t="s">
        <v>69</v>
      </c>
      <c r="C932" s="59" t="s">
        <v>75</v>
      </c>
      <c r="D932" s="59" t="s">
        <v>407</v>
      </c>
      <c r="E932" s="59" t="s">
        <v>299</v>
      </c>
      <c r="F932" s="58">
        <f>'пр.4 вед.стр.'!G848</f>
        <v>2203.6</v>
      </c>
      <c r="N932" s="102"/>
      <c r="O932" s="102"/>
      <c r="P932" s="102"/>
      <c r="Q932" s="102"/>
      <c r="R932" s="105"/>
    </row>
    <row r="933" spans="1:18" s="30" customFormat="1" ht="17.25" customHeight="1">
      <c r="A933" s="28" t="s">
        <v>610</v>
      </c>
      <c r="B933" s="59" t="s">
        <v>69</v>
      </c>
      <c r="C933" s="59" t="s">
        <v>75</v>
      </c>
      <c r="D933" s="59" t="s">
        <v>407</v>
      </c>
      <c r="E933" s="59" t="s">
        <v>104</v>
      </c>
      <c r="F933" s="58">
        <f>F934</f>
        <v>3548.6000000000004</v>
      </c>
      <c r="N933" s="102"/>
      <c r="O933" s="102"/>
      <c r="P933" s="102"/>
      <c r="Q933" s="102"/>
      <c r="R933" s="105"/>
    </row>
    <row r="934" spans="1:18" s="30" customFormat="1" ht="17.25" customHeight="1">
      <c r="A934" s="28" t="s">
        <v>98</v>
      </c>
      <c r="B934" s="59" t="s">
        <v>69</v>
      </c>
      <c r="C934" s="59" t="s">
        <v>75</v>
      </c>
      <c r="D934" s="59" t="s">
        <v>407</v>
      </c>
      <c r="E934" s="59" t="s">
        <v>99</v>
      </c>
      <c r="F934" s="58">
        <f>F935</f>
        <v>3548.6000000000004</v>
      </c>
      <c r="N934" s="102"/>
      <c r="O934" s="102"/>
      <c r="P934" s="102"/>
      <c r="Q934" s="102"/>
      <c r="R934" s="105"/>
    </row>
    <row r="935" spans="1:18" s="30" customFormat="1" ht="17.25" customHeight="1">
      <c r="A935" s="28" t="s">
        <v>100</v>
      </c>
      <c r="B935" s="59" t="s">
        <v>69</v>
      </c>
      <c r="C935" s="59" t="s">
        <v>75</v>
      </c>
      <c r="D935" s="59" t="s">
        <v>407</v>
      </c>
      <c r="E935" s="59" t="s">
        <v>101</v>
      </c>
      <c r="F935" s="58">
        <f>'пр.4 вед.стр.'!G851</f>
        <v>3548.6000000000004</v>
      </c>
      <c r="N935" s="102"/>
      <c r="O935" s="102"/>
      <c r="P935" s="102"/>
      <c r="Q935" s="102"/>
      <c r="R935" s="105"/>
    </row>
    <row r="936" spans="1:18" s="30" customFormat="1" ht="17.25" customHeight="1">
      <c r="A936" s="28" t="s">
        <v>128</v>
      </c>
      <c r="B936" s="59" t="s">
        <v>69</v>
      </c>
      <c r="C936" s="59" t="s">
        <v>75</v>
      </c>
      <c r="D936" s="59" t="s">
        <v>407</v>
      </c>
      <c r="E936" s="59" t="s">
        <v>129</v>
      </c>
      <c r="F936" s="58">
        <f>F937</f>
        <v>186.60000000000002</v>
      </c>
      <c r="N936" s="102"/>
      <c r="O936" s="102"/>
      <c r="P936" s="102"/>
      <c r="Q936" s="102"/>
      <c r="R936" s="105"/>
    </row>
    <row r="937" spans="1:18" s="30" customFormat="1" ht="17.25" customHeight="1">
      <c r="A937" s="28" t="s">
        <v>131</v>
      </c>
      <c r="B937" s="59" t="s">
        <v>69</v>
      </c>
      <c r="C937" s="59" t="s">
        <v>75</v>
      </c>
      <c r="D937" s="59" t="s">
        <v>407</v>
      </c>
      <c r="E937" s="59" t="s">
        <v>132</v>
      </c>
      <c r="F937" s="58">
        <f>F938+F939+F940</f>
        <v>186.60000000000002</v>
      </c>
      <c r="N937" s="102"/>
      <c r="O937" s="102"/>
      <c r="P937" s="102"/>
      <c r="Q937" s="102"/>
      <c r="R937" s="105"/>
    </row>
    <row r="938" spans="1:18" s="30" customFormat="1" ht="17.25" customHeight="1">
      <c r="A938" s="28" t="s">
        <v>133</v>
      </c>
      <c r="B938" s="59" t="s">
        <v>69</v>
      </c>
      <c r="C938" s="59" t="s">
        <v>75</v>
      </c>
      <c r="D938" s="59" t="s">
        <v>407</v>
      </c>
      <c r="E938" s="59" t="s">
        <v>134</v>
      </c>
      <c r="F938" s="58">
        <f>'пр.4 вед.стр.'!G854</f>
        <v>65.2</v>
      </c>
      <c r="N938" s="102"/>
      <c r="O938" s="102"/>
      <c r="P938" s="102"/>
      <c r="Q938" s="102"/>
      <c r="R938" s="105"/>
    </row>
    <row r="939" spans="1:18" s="30" customFormat="1" ht="17.25" customHeight="1">
      <c r="A939" s="28" t="s">
        <v>161</v>
      </c>
      <c r="B939" s="59" t="s">
        <v>69</v>
      </c>
      <c r="C939" s="59" t="s">
        <v>75</v>
      </c>
      <c r="D939" s="59" t="s">
        <v>407</v>
      </c>
      <c r="E939" s="59" t="s">
        <v>135</v>
      </c>
      <c r="F939" s="58">
        <f>'пр.4 вед.стр.'!G855</f>
        <v>49.2</v>
      </c>
      <c r="N939" s="102"/>
      <c r="O939" s="102"/>
      <c r="P939" s="102"/>
      <c r="Q939" s="102"/>
      <c r="R939" s="105"/>
    </row>
    <row r="940" spans="1:18" s="30" customFormat="1" ht="17.25" customHeight="1">
      <c r="A940" s="28" t="s">
        <v>162</v>
      </c>
      <c r="B940" s="59" t="s">
        <v>69</v>
      </c>
      <c r="C940" s="59" t="s">
        <v>75</v>
      </c>
      <c r="D940" s="59" t="s">
        <v>407</v>
      </c>
      <c r="E940" s="59" t="s">
        <v>163</v>
      </c>
      <c r="F940" s="58">
        <f>'пр.4 вед.стр.'!G856</f>
        <v>72.2</v>
      </c>
      <c r="N940" s="102"/>
      <c r="O940" s="102"/>
      <c r="P940" s="102"/>
      <c r="Q940" s="102"/>
      <c r="R940" s="105"/>
    </row>
    <row r="941" spans="1:18" s="30" customFormat="1" ht="24.75" customHeight="1">
      <c r="A941" s="126" t="s">
        <v>444</v>
      </c>
      <c r="B941" s="59" t="s">
        <v>69</v>
      </c>
      <c r="C941" s="59" t="s">
        <v>75</v>
      </c>
      <c r="D941" s="161" t="s">
        <v>191</v>
      </c>
      <c r="E941" s="59"/>
      <c r="F941" s="58">
        <f>F942+F953</f>
        <v>1892.9</v>
      </c>
      <c r="N941" s="102"/>
      <c r="O941" s="102"/>
      <c r="P941" s="102"/>
      <c r="Q941" s="102"/>
      <c r="R941" s="105"/>
    </row>
    <row r="942" spans="1:18" s="30" customFormat="1" ht="17.25" customHeight="1">
      <c r="A942" s="126" t="s">
        <v>255</v>
      </c>
      <c r="B942" s="59" t="s">
        <v>69</v>
      </c>
      <c r="C942" s="59" t="s">
        <v>75</v>
      </c>
      <c r="D942" s="161" t="s">
        <v>339</v>
      </c>
      <c r="E942" s="59"/>
      <c r="F942" s="58">
        <f>F947+F943</f>
        <v>140</v>
      </c>
      <c r="N942" s="102"/>
      <c r="O942" s="102"/>
      <c r="P942" s="102"/>
      <c r="Q942" s="102"/>
      <c r="R942" s="105"/>
    </row>
    <row r="943" spans="1:18" s="30" customFormat="1" ht="17.25" customHeight="1">
      <c r="A943" s="126" t="s">
        <v>546</v>
      </c>
      <c r="B943" s="59" t="s">
        <v>69</v>
      </c>
      <c r="C943" s="59" t="s">
        <v>75</v>
      </c>
      <c r="D943" s="161" t="s">
        <v>340</v>
      </c>
      <c r="E943" s="59"/>
      <c r="F943" s="58">
        <f>F944</f>
        <v>30</v>
      </c>
      <c r="N943" s="102"/>
      <c r="O943" s="102"/>
      <c r="P943" s="102"/>
      <c r="Q943" s="102"/>
      <c r="R943" s="105"/>
    </row>
    <row r="944" spans="1:18" s="30" customFormat="1" ht="17.25" customHeight="1">
      <c r="A944" s="28" t="s">
        <v>610</v>
      </c>
      <c r="B944" s="59" t="s">
        <v>69</v>
      </c>
      <c r="C944" s="59" t="s">
        <v>75</v>
      </c>
      <c r="D944" s="161" t="s">
        <v>340</v>
      </c>
      <c r="E944" s="59" t="s">
        <v>104</v>
      </c>
      <c r="F944" s="58">
        <f>F945</f>
        <v>30</v>
      </c>
      <c r="N944" s="102"/>
      <c r="O944" s="102"/>
      <c r="P944" s="102"/>
      <c r="Q944" s="102"/>
      <c r="R944" s="105"/>
    </row>
    <row r="945" spans="1:18" s="30" customFormat="1" ht="17.25" customHeight="1">
      <c r="A945" s="28" t="s">
        <v>98</v>
      </c>
      <c r="B945" s="59" t="s">
        <v>69</v>
      </c>
      <c r="C945" s="59" t="s">
        <v>75</v>
      </c>
      <c r="D945" s="161" t="s">
        <v>340</v>
      </c>
      <c r="E945" s="59" t="s">
        <v>99</v>
      </c>
      <c r="F945" s="58">
        <f>F946</f>
        <v>30</v>
      </c>
      <c r="N945" s="102"/>
      <c r="O945" s="102"/>
      <c r="P945" s="102"/>
      <c r="Q945" s="102"/>
      <c r="R945" s="105"/>
    </row>
    <row r="946" spans="1:18" s="30" customFormat="1" ht="17.25" customHeight="1">
      <c r="A946" s="28" t="s">
        <v>100</v>
      </c>
      <c r="B946" s="59" t="s">
        <v>69</v>
      </c>
      <c r="C946" s="59" t="s">
        <v>75</v>
      </c>
      <c r="D946" s="161" t="s">
        <v>340</v>
      </c>
      <c r="E946" s="59" t="s">
        <v>101</v>
      </c>
      <c r="F946" s="58">
        <f>'пр.4 вед.стр.'!G862</f>
        <v>30</v>
      </c>
      <c r="N946" s="102"/>
      <c r="O946" s="102"/>
      <c r="P946" s="102"/>
      <c r="Q946" s="102"/>
      <c r="R946" s="105"/>
    </row>
    <row r="947" spans="1:18" s="30" customFormat="1" ht="33.75" customHeight="1">
      <c r="A947" s="126" t="s">
        <v>192</v>
      </c>
      <c r="B947" s="59" t="s">
        <v>69</v>
      </c>
      <c r="C947" s="59" t="s">
        <v>75</v>
      </c>
      <c r="D947" s="161" t="s">
        <v>341</v>
      </c>
      <c r="E947" s="59"/>
      <c r="F947" s="58">
        <f>F948+F951</f>
        <v>110</v>
      </c>
      <c r="N947" s="102"/>
      <c r="O947" s="102"/>
      <c r="P947" s="102"/>
      <c r="Q947" s="102"/>
      <c r="R947" s="105"/>
    </row>
    <row r="948" spans="1:18" s="30" customFormat="1" ht="17.25" customHeight="1">
      <c r="A948" s="28" t="s">
        <v>610</v>
      </c>
      <c r="B948" s="59" t="s">
        <v>69</v>
      </c>
      <c r="C948" s="59" t="s">
        <v>75</v>
      </c>
      <c r="D948" s="161" t="s">
        <v>341</v>
      </c>
      <c r="E948" s="59" t="s">
        <v>104</v>
      </c>
      <c r="F948" s="58">
        <f>F949</f>
        <v>60</v>
      </c>
      <c r="N948" s="102"/>
      <c r="O948" s="102"/>
      <c r="P948" s="102"/>
      <c r="Q948" s="102"/>
      <c r="R948" s="105"/>
    </row>
    <row r="949" spans="1:18" s="30" customFormat="1" ht="17.25" customHeight="1">
      <c r="A949" s="28" t="s">
        <v>98</v>
      </c>
      <c r="B949" s="59" t="s">
        <v>69</v>
      </c>
      <c r="C949" s="59" t="s">
        <v>75</v>
      </c>
      <c r="D949" s="161" t="s">
        <v>341</v>
      </c>
      <c r="E949" s="59" t="s">
        <v>99</v>
      </c>
      <c r="F949" s="58">
        <f>F950</f>
        <v>60</v>
      </c>
      <c r="N949" s="102"/>
      <c r="O949" s="102"/>
      <c r="P949" s="102"/>
      <c r="Q949" s="102"/>
      <c r="R949" s="105"/>
    </row>
    <row r="950" spans="1:18" s="30" customFormat="1" ht="17.25" customHeight="1">
      <c r="A950" s="28" t="s">
        <v>100</v>
      </c>
      <c r="B950" s="59" t="s">
        <v>69</v>
      </c>
      <c r="C950" s="59" t="s">
        <v>75</v>
      </c>
      <c r="D950" s="161" t="s">
        <v>341</v>
      </c>
      <c r="E950" s="59" t="s">
        <v>101</v>
      </c>
      <c r="F950" s="58">
        <f>'пр.4 вед.стр.'!G866</f>
        <v>60</v>
      </c>
      <c r="N950" s="102"/>
      <c r="O950" s="102"/>
      <c r="P950" s="102"/>
      <c r="Q950" s="102"/>
      <c r="R950" s="105"/>
    </row>
    <row r="951" spans="1:18" s="30" customFormat="1" ht="17.25" customHeight="1">
      <c r="A951" s="28" t="s">
        <v>117</v>
      </c>
      <c r="B951" s="59" t="s">
        <v>69</v>
      </c>
      <c r="C951" s="59" t="s">
        <v>75</v>
      </c>
      <c r="D951" s="161" t="s">
        <v>341</v>
      </c>
      <c r="E951" s="59" t="s">
        <v>118</v>
      </c>
      <c r="F951" s="58">
        <f>F952</f>
        <v>50</v>
      </c>
      <c r="N951" s="102"/>
      <c r="O951" s="102"/>
      <c r="P951" s="102"/>
      <c r="Q951" s="102"/>
      <c r="R951" s="105"/>
    </row>
    <row r="952" spans="1:18" s="30" customFormat="1" ht="17.25" customHeight="1">
      <c r="A952" s="28" t="s">
        <v>149</v>
      </c>
      <c r="B952" s="59" t="s">
        <v>69</v>
      </c>
      <c r="C952" s="59" t="s">
        <v>75</v>
      </c>
      <c r="D952" s="161" t="s">
        <v>341</v>
      </c>
      <c r="E952" s="59" t="s">
        <v>148</v>
      </c>
      <c r="F952" s="58">
        <f>'пр.4 вед.стр.'!G868</f>
        <v>50</v>
      </c>
      <c r="N952" s="102"/>
      <c r="O952" s="102"/>
      <c r="P952" s="102"/>
      <c r="Q952" s="102"/>
      <c r="R952" s="105"/>
    </row>
    <row r="953" spans="1:18" s="30" customFormat="1" ht="27.75" customHeight="1">
      <c r="A953" s="28" t="s">
        <v>446</v>
      </c>
      <c r="B953" s="59" t="s">
        <v>69</v>
      </c>
      <c r="C953" s="59" t="s">
        <v>75</v>
      </c>
      <c r="D953" s="59" t="s">
        <v>502</v>
      </c>
      <c r="E953" s="59"/>
      <c r="F953" s="58">
        <f>F954</f>
        <v>1752.9</v>
      </c>
      <c r="N953" s="102"/>
      <c r="O953" s="102"/>
      <c r="P953" s="102"/>
      <c r="Q953" s="102"/>
      <c r="R953" s="105"/>
    </row>
    <row r="954" spans="1:18" s="30" customFormat="1" ht="30" customHeight="1">
      <c r="A954" s="28" t="s">
        <v>447</v>
      </c>
      <c r="B954" s="59" t="s">
        <v>69</v>
      </c>
      <c r="C954" s="59" t="s">
        <v>75</v>
      </c>
      <c r="D954" s="59" t="s">
        <v>614</v>
      </c>
      <c r="E954" s="59"/>
      <c r="F954" s="58">
        <f>F955</f>
        <v>1752.9</v>
      </c>
      <c r="N954" s="102"/>
      <c r="O954" s="102"/>
      <c r="P954" s="102"/>
      <c r="Q954" s="102"/>
      <c r="R954" s="105"/>
    </row>
    <row r="955" spans="1:18" s="30" customFormat="1" ht="24.75" customHeight="1">
      <c r="A955" s="28" t="s">
        <v>102</v>
      </c>
      <c r="B955" s="59" t="s">
        <v>69</v>
      </c>
      <c r="C955" s="59" t="s">
        <v>75</v>
      </c>
      <c r="D955" s="59" t="s">
        <v>614</v>
      </c>
      <c r="E955" s="59" t="s">
        <v>103</v>
      </c>
      <c r="F955" s="58">
        <f>F956</f>
        <v>1752.9</v>
      </c>
      <c r="N955" s="102"/>
      <c r="O955" s="102"/>
      <c r="P955" s="102"/>
      <c r="Q955" s="102"/>
      <c r="R955" s="105"/>
    </row>
    <row r="956" spans="1:18" s="30" customFormat="1" ht="17.25" customHeight="1">
      <c r="A956" s="28" t="s">
        <v>93</v>
      </c>
      <c r="B956" s="59" t="s">
        <v>69</v>
      </c>
      <c r="C956" s="59" t="s">
        <v>75</v>
      </c>
      <c r="D956" s="59" t="s">
        <v>614</v>
      </c>
      <c r="E956" s="59" t="s">
        <v>94</v>
      </c>
      <c r="F956" s="58">
        <f>F957+F958</f>
        <v>1752.9</v>
      </c>
      <c r="N956" s="102"/>
      <c r="O956" s="102"/>
      <c r="P956" s="102"/>
      <c r="Q956" s="102"/>
      <c r="R956" s="105"/>
    </row>
    <row r="957" spans="1:18" s="30" customFormat="1" ht="17.25" customHeight="1">
      <c r="A957" s="28" t="s">
        <v>158</v>
      </c>
      <c r="B957" s="59" t="s">
        <v>69</v>
      </c>
      <c r="C957" s="59" t="s">
        <v>75</v>
      </c>
      <c r="D957" s="59" t="s">
        <v>614</v>
      </c>
      <c r="E957" s="59" t="s">
        <v>95</v>
      </c>
      <c r="F957" s="58">
        <f>'пр.4 вед.стр.'!G238</f>
        <v>1346.3</v>
      </c>
      <c r="N957" s="102"/>
      <c r="O957" s="102"/>
      <c r="P957" s="102"/>
      <c r="Q957" s="102"/>
      <c r="R957" s="105"/>
    </row>
    <row r="958" spans="1:18" s="30" customFormat="1" ht="33" customHeight="1">
      <c r="A958" s="28" t="s">
        <v>160</v>
      </c>
      <c r="B958" s="59" t="s">
        <v>69</v>
      </c>
      <c r="C958" s="59" t="s">
        <v>75</v>
      </c>
      <c r="D958" s="59" t="s">
        <v>614</v>
      </c>
      <c r="E958" s="59" t="s">
        <v>159</v>
      </c>
      <c r="F958" s="58">
        <f>'пр.4 вед.стр.'!G239</f>
        <v>406.6</v>
      </c>
      <c r="N958" s="102"/>
      <c r="O958" s="102"/>
      <c r="P958" s="102"/>
      <c r="Q958" s="102"/>
      <c r="R958" s="105"/>
    </row>
    <row r="959" spans="1:18" s="30" customFormat="1" ht="17.25" customHeight="1">
      <c r="A959" s="61" t="s">
        <v>145</v>
      </c>
      <c r="B959" s="63" t="s">
        <v>73</v>
      </c>
      <c r="C959" s="63" t="s">
        <v>36</v>
      </c>
      <c r="D959" s="63"/>
      <c r="E959" s="63"/>
      <c r="F959" s="64">
        <f>F960+F1068</f>
        <v>52385.9</v>
      </c>
      <c r="N959" s="102"/>
      <c r="O959" s="102"/>
      <c r="P959" s="102"/>
      <c r="Q959" s="102"/>
      <c r="R959" s="105"/>
    </row>
    <row r="960" spans="1:18" s="30" customFormat="1" ht="17.25" customHeight="1">
      <c r="A960" s="61" t="s">
        <v>12</v>
      </c>
      <c r="B960" s="63" t="s">
        <v>73</v>
      </c>
      <c r="C960" s="63" t="s">
        <v>66</v>
      </c>
      <c r="D960" s="63"/>
      <c r="E960" s="63"/>
      <c r="F960" s="64">
        <f>F961+F967+F985+F1029+F1041+F1048+F1062+F1022</f>
        <v>39547.9</v>
      </c>
      <c r="N960" s="102"/>
      <c r="O960" s="102"/>
      <c r="P960" s="102"/>
      <c r="Q960" s="102"/>
      <c r="R960" s="105"/>
    </row>
    <row r="961" spans="1:18" s="30" customFormat="1" ht="30.75" customHeight="1">
      <c r="A961" s="126" t="s">
        <v>423</v>
      </c>
      <c r="B961" s="59" t="s">
        <v>73</v>
      </c>
      <c r="C961" s="59" t="s">
        <v>66</v>
      </c>
      <c r="D961" s="161" t="s">
        <v>189</v>
      </c>
      <c r="E961" s="59"/>
      <c r="F961" s="58">
        <f>F962</f>
        <v>300</v>
      </c>
      <c r="N961" s="102"/>
      <c r="O961" s="102"/>
      <c r="P961" s="102"/>
      <c r="Q961" s="102"/>
      <c r="R961" s="105"/>
    </row>
    <row r="962" spans="1:18" s="30" customFormat="1" ht="29.25" customHeight="1">
      <c r="A962" s="126" t="s">
        <v>258</v>
      </c>
      <c r="B962" s="59" t="s">
        <v>73</v>
      </c>
      <c r="C962" s="59" t="s">
        <v>66</v>
      </c>
      <c r="D962" s="161" t="s">
        <v>550</v>
      </c>
      <c r="E962" s="59"/>
      <c r="F962" s="58">
        <f>F963</f>
        <v>300</v>
      </c>
      <c r="N962" s="102"/>
      <c r="O962" s="102"/>
      <c r="P962" s="102"/>
      <c r="Q962" s="102"/>
      <c r="R962" s="105"/>
    </row>
    <row r="963" spans="1:18" s="30" customFormat="1" ht="17.25" customHeight="1">
      <c r="A963" s="126" t="s">
        <v>199</v>
      </c>
      <c r="B963" s="59" t="s">
        <v>73</v>
      </c>
      <c r="C963" s="59" t="s">
        <v>66</v>
      </c>
      <c r="D963" s="161" t="s">
        <v>551</v>
      </c>
      <c r="E963" s="59"/>
      <c r="F963" s="58">
        <f>F964</f>
        <v>300</v>
      </c>
      <c r="N963" s="102"/>
      <c r="O963" s="102"/>
      <c r="P963" s="102"/>
      <c r="Q963" s="102"/>
      <c r="R963" s="105"/>
    </row>
    <row r="964" spans="1:18" s="30" customFormat="1" ht="28.5" customHeight="1">
      <c r="A964" s="28" t="s">
        <v>105</v>
      </c>
      <c r="B964" s="59" t="s">
        <v>73</v>
      </c>
      <c r="C964" s="59" t="s">
        <v>66</v>
      </c>
      <c r="D964" s="161" t="s">
        <v>551</v>
      </c>
      <c r="E964" s="59" t="s">
        <v>106</v>
      </c>
      <c r="F964" s="58">
        <f>F965</f>
        <v>300</v>
      </c>
      <c r="N964" s="102"/>
      <c r="O964" s="102"/>
      <c r="P964" s="102"/>
      <c r="Q964" s="102"/>
      <c r="R964" s="105"/>
    </row>
    <row r="965" spans="1:18" s="30" customFormat="1" ht="17.25" customHeight="1">
      <c r="A965" s="28" t="s">
        <v>111</v>
      </c>
      <c r="B965" s="59" t="s">
        <v>73</v>
      </c>
      <c r="C965" s="59" t="s">
        <v>66</v>
      </c>
      <c r="D965" s="161" t="s">
        <v>551</v>
      </c>
      <c r="E965" s="59" t="s">
        <v>112</v>
      </c>
      <c r="F965" s="58">
        <f>F966</f>
        <v>300</v>
      </c>
      <c r="N965" s="102"/>
      <c r="O965" s="102"/>
      <c r="P965" s="102"/>
      <c r="Q965" s="102"/>
      <c r="R965" s="105"/>
    </row>
    <row r="966" spans="1:18" s="30" customFormat="1" ht="17.25" customHeight="1">
      <c r="A966" s="28" t="s">
        <v>115</v>
      </c>
      <c r="B966" s="59" t="s">
        <v>73</v>
      </c>
      <c r="C966" s="59" t="s">
        <v>66</v>
      </c>
      <c r="D966" s="161" t="s">
        <v>551</v>
      </c>
      <c r="E966" s="59" t="s">
        <v>116</v>
      </c>
      <c r="F966" s="58">
        <f>'пр.4 вед.стр.'!G973</f>
        <v>300</v>
      </c>
      <c r="N966" s="102"/>
      <c r="O966" s="102"/>
      <c r="P966" s="102"/>
      <c r="Q966" s="102"/>
      <c r="R966" s="105"/>
    </row>
    <row r="967" spans="1:18" s="30" customFormat="1" ht="25.5" customHeight="1">
      <c r="A967" s="126" t="s">
        <v>513</v>
      </c>
      <c r="B967" s="59" t="s">
        <v>73</v>
      </c>
      <c r="C967" s="59" t="s">
        <v>66</v>
      </c>
      <c r="D967" s="161" t="s">
        <v>180</v>
      </c>
      <c r="E967" s="59"/>
      <c r="F967" s="58">
        <f>F968</f>
        <v>365.3</v>
      </c>
      <c r="N967" s="102"/>
      <c r="O967" s="102"/>
      <c r="P967" s="102"/>
      <c r="Q967" s="102"/>
      <c r="R967" s="105"/>
    </row>
    <row r="968" spans="1:18" s="30" customFormat="1" ht="25.5" customHeight="1">
      <c r="A968" s="126" t="s">
        <v>251</v>
      </c>
      <c r="B968" s="59" t="s">
        <v>73</v>
      </c>
      <c r="C968" s="59" t="s">
        <v>66</v>
      </c>
      <c r="D968" s="161" t="s">
        <v>325</v>
      </c>
      <c r="E968" s="59"/>
      <c r="F968" s="58">
        <f>F969+F973+F977+F981</f>
        <v>365.3</v>
      </c>
      <c r="N968" s="102"/>
      <c r="O968" s="102"/>
      <c r="P968" s="102"/>
      <c r="Q968" s="102"/>
      <c r="R968" s="105"/>
    </row>
    <row r="969" spans="1:18" s="30" customFormat="1" ht="17.25" customHeight="1">
      <c r="A969" s="126" t="s">
        <v>179</v>
      </c>
      <c r="B969" s="59" t="s">
        <v>73</v>
      </c>
      <c r="C969" s="59" t="s">
        <v>66</v>
      </c>
      <c r="D969" s="161" t="s">
        <v>326</v>
      </c>
      <c r="E969" s="59"/>
      <c r="F969" s="58">
        <f>F970</f>
        <v>206.3</v>
      </c>
      <c r="N969" s="102"/>
      <c r="O969" s="102"/>
      <c r="P969" s="102"/>
      <c r="Q969" s="102"/>
      <c r="R969" s="105"/>
    </row>
    <row r="970" spans="1:18" s="30" customFormat="1" ht="30" customHeight="1">
      <c r="A970" s="28" t="s">
        <v>105</v>
      </c>
      <c r="B970" s="59" t="s">
        <v>73</v>
      </c>
      <c r="C970" s="59" t="s">
        <v>66</v>
      </c>
      <c r="D970" s="161" t="s">
        <v>326</v>
      </c>
      <c r="E970" s="59" t="s">
        <v>106</v>
      </c>
      <c r="F970" s="58">
        <f>F971</f>
        <v>206.3</v>
      </c>
      <c r="N970" s="102"/>
      <c r="O970" s="102"/>
      <c r="P970" s="102"/>
      <c r="Q970" s="102"/>
      <c r="R970" s="105"/>
    </row>
    <row r="971" spans="1:18" s="30" customFormat="1" ht="17.25" customHeight="1">
      <c r="A971" s="28" t="s">
        <v>111</v>
      </c>
      <c r="B971" s="59" t="s">
        <v>73</v>
      </c>
      <c r="C971" s="59" t="s">
        <v>66</v>
      </c>
      <c r="D971" s="161" t="s">
        <v>326</v>
      </c>
      <c r="E971" s="59" t="s">
        <v>112</v>
      </c>
      <c r="F971" s="58">
        <f>F972</f>
        <v>206.3</v>
      </c>
      <c r="N971" s="102"/>
      <c r="O971" s="102"/>
      <c r="P971" s="102"/>
      <c r="Q971" s="102"/>
      <c r="R971" s="105"/>
    </row>
    <row r="972" spans="1:18" s="30" customFormat="1" ht="17.25" customHeight="1">
      <c r="A972" s="28" t="s">
        <v>115</v>
      </c>
      <c r="B972" s="59" t="s">
        <v>73</v>
      </c>
      <c r="C972" s="59" t="s">
        <v>66</v>
      </c>
      <c r="D972" s="161" t="s">
        <v>326</v>
      </c>
      <c r="E972" s="59" t="s">
        <v>116</v>
      </c>
      <c r="F972" s="58">
        <f>'пр.4 вед.стр.'!G979</f>
        <v>206.3</v>
      </c>
      <c r="N972" s="102"/>
      <c r="O972" s="102"/>
      <c r="P972" s="102"/>
      <c r="Q972" s="102"/>
      <c r="R972" s="105"/>
    </row>
    <row r="973" spans="1:18" s="30" customFormat="1" ht="17.25" customHeight="1">
      <c r="A973" s="126" t="s">
        <v>182</v>
      </c>
      <c r="B973" s="59" t="s">
        <v>73</v>
      </c>
      <c r="C973" s="59" t="s">
        <v>66</v>
      </c>
      <c r="D973" s="161" t="s">
        <v>330</v>
      </c>
      <c r="E973" s="59"/>
      <c r="F973" s="58">
        <f>F974</f>
        <v>80</v>
      </c>
      <c r="N973" s="102"/>
      <c r="O973" s="102"/>
      <c r="P973" s="102"/>
      <c r="Q973" s="102"/>
      <c r="R973" s="105"/>
    </row>
    <row r="974" spans="1:18" s="30" customFormat="1" ht="27" customHeight="1">
      <c r="A974" s="28" t="s">
        <v>105</v>
      </c>
      <c r="B974" s="59" t="s">
        <v>73</v>
      </c>
      <c r="C974" s="59" t="s">
        <v>66</v>
      </c>
      <c r="D974" s="161" t="s">
        <v>330</v>
      </c>
      <c r="E974" s="59" t="s">
        <v>106</v>
      </c>
      <c r="F974" s="58">
        <f>F975</f>
        <v>80</v>
      </c>
      <c r="N974" s="102"/>
      <c r="O974" s="102"/>
      <c r="P974" s="102"/>
      <c r="Q974" s="102"/>
      <c r="R974" s="105"/>
    </row>
    <row r="975" spans="1:18" s="30" customFormat="1" ht="17.25" customHeight="1">
      <c r="A975" s="28" t="s">
        <v>111</v>
      </c>
      <c r="B975" s="59" t="s">
        <v>73</v>
      </c>
      <c r="C975" s="59" t="s">
        <v>66</v>
      </c>
      <c r="D975" s="161" t="s">
        <v>330</v>
      </c>
      <c r="E975" s="59" t="s">
        <v>112</v>
      </c>
      <c r="F975" s="58">
        <f>F976</f>
        <v>80</v>
      </c>
      <c r="N975" s="102"/>
      <c r="O975" s="102"/>
      <c r="P975" s="102"/>
      <c r="Q975" s="102"/>
      <c r="R975" s="105"/>
    </row>
    <row r="976" spans="1:18" s="30" customFormat="1" ht="17.25" customHeight="1">
      <c r="A976" s="28" t="s">
        <v>115</v>
      </c>
      <c r="B976" s="59" t="s">
        <v>73</v>
      </c>
      <c r="C976" s="59" t="s">
        <v>66</v>
      </c>
      <c r="D976" s="161" t="s">
        <v>330</v>
      </c>
      <c r="E976" s="59" t="s">
        <v>116</v>
      </c>
      <c r="F976" s="58">
        <f>'пр.4 вед.стр.'!G983</f>
        <v>80</v>
      </c>
      <c r="N976" s="102"/>
      <c r="O976" s="102"/>
      <c r="P976" s="102"/>
      <c r="Q976" s="102"/>
      <c r="R976" s="105"/>
    </row>
    <row r="977" spans="1:18" s="30" customFormat="1" ht="17.25" customHeight="1">
      <c r="A977" s="126" t="s">
        <v>193</v>
      </c>
      <c r="B977" s="59" t="s">
        <v>73</v>
      </c>
      <c r="C977" s="59" t="s">
        <v>66</v>
      </c>
      <c r="D977" s="161" t="s">
        <v>342</v>
      </c>
      <c r="E977" s="59"/>
      <c r="F977" s="58">
        <f>F978</f>
        <v>59</v>
      </c>
      <c r="N977" s="102"/>
      <c r="O977" s="102"/>
      <c r="P977" s="102"/>
      <c r="Q977" s="102"/>
      <c r="R977" s="105"/>
    </row>
    <row r="978" spans="1:18" s="30" customFormat="1" ht="27" customHeight="1">
      <c r="A978" s="28" t="s">
        <v>105</v>
      </c>
      <c r="B978" s="59" t="s">
        <v>73</v>
      </c>
      <c r="C978" s="59" t="s">
        <v>66</v>
      </c>
      <c r="D978" s="161" t="s">
        <v>342</v>
      </c>
      <c r="E978" s="59" t="s">
        <v>106</v>
      </c>
      <c r="F978" s="58">
        <f>F979</f>
        <v>59</v>
      </c>
      <c r="N978" s="102"/>
      <c r="O978" s="102"/>
      <c r="P978" s="102"/>
      <c r="Q978" s="102"/>
      <c r="R978" s="105"/>
    </row>
    <row r="979" spans="1:18" s="30" customFormat="1" ht="17.25" customHeight="1">
      <c r="A979" s="28" t="s">
        <v>111</v>
      </c>
      <c r="B979" s="59" t="s">
        <v>73</v>
      </c>
      <c r="C979" s="59" t="s">
        <v>66</v>
      </c>
      <c r="D979" s="161" t="s">
        <v>342</v>
      </c>
      <c r="E979" s="59" t="s">
        <v>112</v>
      </c>
      <c r="F979" s="58">
        <f>F980</f>
        <v>59</v>
      </c>
      <c r="N979" s="102"/>
      <c r="O979" s="102"/>
      <c r="P979" s="102"/>
      <c r="Q979" s="102"/>
      <c r="R979" s="105"/>
    </row>
    <row r="980" spans="1:18" s="30" customFormat="1" ht="17.25" customHeight="1">
      <c r="A980" s="28" t="s">
        <v>115</v>
      </c>
      <c r="B980" s="59" t="s">
        <v>73</v>
      </c>
      <c r="C980" s="59" t="s">
        <v>66</v>
      </c>
      <c r="D980" s="161" t="s">
        <v>342</v>
      </c>
      <c r="E980" s="59" t="s">
        <v>116</v>
      </c>
      <c r="F980" s="58">
        <f>'пр.4 вед.стр.'!G987</f>
        <v>59</v>
      </c>
      <c r="N980" s="102"/>
      <c r="O980" s="102"/>
      <c r="P980" s="102"/>
      <c r="Q980" s="102"/>
      <c r="R980" s="105"/>
    </row>
    <row r="981" spans="1:18" s="30" customFormat="1" ht="30.75" customHeight="1">
      <c r="A981" s="126" t="s">
        <v>611</v>
      </c>
      <c r="B981" s="59" t="s">
        <v>73</v>
      </c>
      <c r="C981" s="59" t="s">
        <v>66</v>
      </c>
      <c r="D981" s="161" t="s">
        <v>328</v>
      </c>
      <c r="E981" s="59"/>
      <c r="F981" s="58">
        <f>F982</f>
        <v>20</v>
      </c>
      <c r="N981" s="102"/>
      <c r="O981" s="102"/>
      <c r="P981" s="102"/>
      <c r="Q981" s="102"/>
      <c r="R981" s="105"/>
    </row>
    <row r="982" spans="1:18" s="30" customFormat="1" ht="30" customHeight="1">
      <c r="A982" s="28" t="s">
        <v>105</v>
      </c>
      <c r="B982" s="59" t="s">
        <v>73</v>
      </c>
      <c r="C982" s="59" t="s">
        <v>66</v>
      </c>
      <c r="D982" s="161" t="s">
        <v>328</v>
      </c>
      <c r="E982" s="59" t="s">
        <v>106</v>
      </c>
      <c r="F982" s="58">
        <f>F983</f>
        <v>20</v>
      </c>
      <c r="N982" s="102"/>
      <c r="O982" s="102"/>
      <c r="P982" s="102"/>
      <c r="Q982" s="102"/>
      <c r="R982" s="105"/>
    </row>
    <row r="983" spans="1:18" s="30" customFormat="1" ht="17.25" customHeight="1">
      <c r="A983" s="28" t="s">
        <v>111</v>
      </c>
      <c r="B983" s="59" t="s">
        <v>73</v>
      </c>
      <c r="C983" s="59" t="s">
        <v>66</v>
      </c>
      <c r="D983" s="161" t="s">
        <v>328</v>
      </c>
      <c r="E983" s="59" t="s">
        <v>112</v>
      </c>
      <c r="F983" s="58">
        <f>F984</f>
        <v>20</v>
      </c>
      <c r="N983" s="102"/>
      <c r="O983" s="102"/>
      <c r="P983" s="102"/>
      <c r="Q983" s="102"/>
      <c r="R983" s="105"/>
    </row>
    <row r="984" spans="1:18" s="30" customFormat="1" ht="17.25" customHeight="1">
      <c r="A984" s="28" t="s">
        <v>115</v>
      </c>
      <c r="B984" s="59" t="s">
        <v>73</v>
      </c>
      <c r="C984" s="59" t="s">
        <v>66</v>
      </c>
      <c r="D984" s="161" t="s">
        <v>328</v>
      </c>
      <c r="E984" s="59" t="s">
        <v>116</v>
      </c>
      <c r="F984" s="58">
        <f>'пр.4 вед.стр.'!G991</f>
        <v>20</v>
      </c>
      <c r="N984" s="102"/>
      <c r="O984" s="102"/>
      <c r="P984" s="102"/>
      <c r="Q984" s="102"/>
      <c r="R984" s="105"/>
    </row>
    <row r="985" spans="1:18" s="30" customFormat="1" ht="17.25" customHeight="1">
      <c r="A985" s="126" t="s">
        <v>552</v>
      </c>
      <c r="B985" s="59" t="s">
        <v>73</v>
      </c>
      <c r="C985" s="59" t="s">
        <v>66</v>
      </c>
      <c r="D985" s="161" t="s">
        <v>200</v>
      </c>
      <c r="E985" s="59"/>
      <c r="F985" s="58">
        <f>F986+F1008+F1013+F1003</f>
        <v>2394.6000000000004</v>
      </c>
      <c r="N985" s="102"/>
      <c r="O985" s="102"/>
      <c r="P985" s="102"/>
      <c r="Q985" s="102"/>
      <c r="R985" s="105"/>
    </row>
    <row r="986" spans="1:18" s="30" customFormat="1" ht="28.5" customHeight="1">
      <c r="A986" s="28" t="s">
        <v>553</v>
      </c>
      <c r="B986" s="59" t="s">
        <v>73</v>
      </c>
      <c r="C986" s="59" t="s">
        <v>66</v>
      </c>
      <c r="D986" s="161" t="s">
        <v>350</v>
      </c>
      <c r="E986" s="59"/>
      <c r="F986" s="58">
        <f>F995+F999+F987+F991</f>
        <v>116.19999999999999</v>
      </c>
      <c r="N986" s="102"/>
      <c r="O986" s="102"/>
      <c r="P986" s="102"/>
      <c r="Q986" s="102"/>
      <c r="R986" s="105"/>
    </row>
    <row r="987" spans="1:18" s="30" customFormat="1" ht="28.5" customHeight="1">
      <c r="A987" s="28" t="str">
        <f>'МП пр.5'!A719</f>
        <v>Обеспечение гарантированного комплектования фондов библиотек</v>
      </c>
      <c r="B987" s="59" t="s">
        <v>73</v>
      </c>
      <c r="C987" s="59" t="s">
        <v>66</v>
      </c>
      <c r="D987" s="164" t="s">
        <v>670</v>
      </c>
      <c r="E987" s="59"/>
      <c r="F987" s="58">
        <f>F988</f>
        <v>2.6</v>
      </c>
      <c r="N987" s="102"/>
      <c r="O987" s="102"/>
      <c r="P987" s="102"/>
      <c r="Q987" s="102"/>
      <c r="R987" s="105"/>
    </row>
    <row r="988" spans="1:18" s="30" customFormat="1" ht="28.5" customHeight="1">
      <c r="A988" s="28" t="s">
        <v>105</v>
      </c>
      <c r="B988" s="59" t="s">
        <v>73</v>
      </c>
      <c r="C988" s="59" t="s">
        <v>66</v>
      </c>
      <c r="D988" s="164" t="s">
        <v>670</v>
      </c>
      <c r="E988" s="59" t="s">
        <v>106</v>
      </c>
      <c r="F988" s="58">
        <f>F989</f>
        <v>2.6</v>
      </c>
      <c r="N988" s="102"/>
      <c r="O988" s="102"/>
      <c r="P988" s="102"/>
      <c r="Q988" s="102"/>
      <c r="R988" s="105"/>
    </row>
    <row r="989" spans="1:18" s="30" customFormat="1" ht="28.5" customHeight="1">
      <c r="A989" s="28" t="s">
        <v>111</v>
      </c>
      <c r="B989" s="59" t="s">
        <v>73</v>
      </c>
      <c r="C989" s="59" t="s">
        <v>66</v>
      </c>
      <c r="D989" s="164" t="s">
        <v>670</v>
      </c>
      <c r="E989" s="59" t="s">
        <v>112</v>
      </c>
      <c r="F989" s="58">
        <f>F990</f>
        <v>2.6</v>
      </c>
      <c r="N989" s="102"/>
      <c r="O989" s="102"/>
      <c r="P989" s="102"/>
      <c r="Q989" s="102"/>
      <c r="R989" s="105"/>
    </row>
    <row r="990" spans="1:18" s="30" customFormat="1" ht="28.5" customHeight="1">
      <c r="A990" s="28" t="s">
        <v>115</v>
      </c>
      <c r="B990" s="59" t="s">
        <v>73</v>
      </c>
      <c r="C990" s="59" t="s">
        <v>66</v>
      </c>
      <c r="D990" s="164" t="s">
        <v>670</v>
      </c>
      <c r="E990" s="59" t="s">
        <v>116</v>
      </c>
      <c r="F990" s="58">
        <f>'пр.4 вед.стр.'!G997</f>
        <v>2.6</v>
      </c>
      <c r="N990" s="102"/>
      <c r="O990" s="102"/>
      <c r="P990" s="102"/>
      <c r="Q990" s="102"/>
      <c r="R990" s="105"/>
    </row>
    <row r="991" spans="1:18" s="30" customFormat="1" ht="28.5" customHeight="1">
      <c r="A991" s="126" t="str">
        <f>'МП пр.5'!A726</f>
        <v>Обеспечение гарантированного комплектования фондов библиотек за счет средств местного бюджета</v>
      </c>
      <c r="B991" s="59" t="s">
        <v>73</v>
      </c>
      <c r="C991" s="59" t="s">
        <v>66</v>
      </c>
      <c r="D991" s="164" t="s">
        <v>810</v>
      </c>
      <c r="E991" s="59"/>
      <c r="F991" s="58">
        <f>F992</f>
        <v>0.4</v>
      </c>
      <c r="N991" s="102"/>
      <c r="O991" s="102"/>
      <c r="P991" s="102"/>
      <c r="Q991" s="102"/>
      <c r="R991" s="105"/>
    </row>
    <row r="992" spans="1:18" s="30" customFormat="1" ht="28.5" customHeight="1">
      <c r="A992" s="28" t="s">
        <v>105</v>
      </c>
      <c r="B992" s="59" t="s">
        <v>73</v>
      </c>
      <c r="C992" s="59" t="s">
        <v>66</v>
      </c>
      <c r="D992" s="164" t="s">
        <v>810</v>
      </c>
      <c r="E992" s="59" t="s">
        <v>106</v>
      </c>
      <c r="F992" s="58">
        <f>F993</f>
        <v>0.4</v>
      </c>
      <c r="N992" s="102"/>
      <c r="O992" s="102"/>
      <c r="P992" s="102"/>
      <c r="Q992" s="102"/>
      <c r="R992" s="105"/>
    </row>
    <row r="993" spans="1:18" s="30" customFormat="1" ht="28.5" customHeight="1">
      <c r="A993" s="28" t="s">
        <v>111</v>
      </c>
      <c r="B993" s="59" t="s">
        <v>73</v>
      </c>
      <c r="C993" s="59" t="s">
        <v>66</v>
      </c>
      <c r="D993" s="164" t="s">
        <v>810</v>
      </c>
      <c r="E993" s="59" t="s">
        <v>112</v>
      </c>
      <c r="F993" s="58">
        <f>F994</f>
        <v>0.4</v>
      </c>
      <c r="N993" s="102"/>
      <c r="O993" s="102"/>
      <c r="P993" s="102"/>
      <c r="Q993" s="102"/>
      <c r="R993" s="105"/>
    </row>
    <row r="994" spans="1:18" s="30" customFormat="1" ht="28.5" customHeight="1">
      <c r="A994" s="28" t="s">
        <v>115</v>
      </c>
      <c r="B994" s="59" t="s">
        <v>73</v>
      </c>
      <c r="C994" s="59" t="s">
        <v>66</v>
      </c>
      <c r="D994" s="164" t="s">
        <v>810</v>
      </c>
      <c r="E994" s="59" t="s">
        <v>116</v>
      </c>
      <c r="F994" s="58">
        <f>'МП пр.5'!G731</f>
        <v>0.4</v>
      </c>
      <c r="N994" s="102"/>
      <c r="O994" s="102"/>
      <c r="P994" s="102"/>
      <c r="Q994" s="102"/>
      <c r="R994" s="105"/>
    </row>
    <row r="995" spans="1:18" s="30" customFormat="1" ht="23.25" customHeight="1">
      <c r="A995" s="28" t="str">
        <f>'МП пр.5'!A732</f>
        <v>Приобретение литературно-художественных изданий</v>
      </c>
      <c r="B995" s="59" t="s">
        <v>73</v>
      </c>
      <c r="C995" s="59" t="s">
        <v>66</v>
      </c>
      <c r="D995" s="59" t="s">
        <v>554</v>
      </c>
      <c r="E995" s="59"/>
      <c r="F995" s="58">
        <f>F996</f>
        <v>103.6</v>
      </c>
      <c r="N995" s="102"/>
      <c r="O995" s="102"/>
      <c r="P995" s="102"/>
      <c r="Q995" s="102"/>
      <c r="R995" s="105"/>
    </row>
    <row r="996" spans="1:18" s="30" customFormat="1" ht="23.25" customHeight="1">
      <c r="A996" s="28" t="s">
        <v>105</v>
      </c>
      <c r="B996" s="59" t="s">
        <v>73</v>
      </c>
      <c r="C996" s="59" t="s">
        <v>66</v>
      </c>
      <c r="D996" s="59" t="s">
        <v>554</v>
      </c>
      <c r="E996" s="59" t="s">
        <v>106</v>
      </c>
      <c r="F996" s="58">
        <f>F997</f>
        <v>103.6</v>
      </c>
      <c r="N996" s="102"/>
      <c r="O996" s="102"/>
      <c r="P996" s="102"/>
      <c r="Q996" s="102"/>
      <c r="R996" s="105"/>
    </row>
    <row r="997" spans="1:18" s="30" customFormat="1" ht="17.25" customHeight="1">
      <c r="A997" s="28" t="s">
        <v>111</v>
      </c>
      <c r="B997" s="59" t="s">
        <v>73</v>
      </c>
      <c r="C997" s="59" t="s">
        <v>66</v>
      </c>
      <c r="D997" s="59" t="s">
        <v>554</v>
      </c>
      <c r="E997" s="59" t="s">
        <v>112</v>
      </c>
      <c r="F997" s="58">
        <f>F998</f>
        <v>103.6</v>
      </c>
      <c r="N997" s="102"/>
      <c r="O997" s="102"/>
      <c r="P997" s="102"/>
      <c r="Q997" s="102"/>
      <c r="R997" s="105"/>
    </row>
    <row r="998" spans="1:18" s="30" customFormat="1" ht="17.25" customHeight="1">
      <c r="A998" s="28" t="s">
        <v>115</v>
      </c>
      <c r="B998" s="59" t="s">
        <v>73</v>
      </c>
      <c r="C998" s="59" t="s">
        <v>66</v>
      </c>
      <c r="D998" s="59" t="s">
        <v>554</v>
      </c>
      <c r="E998" s="59" t="s">
        <v>116</v>
      </c>
      <c r="F998" s="58">
        <f>'пр.4 вед.стр.'!G1008</f>
        <v>103.6</v>
      </c>
      <c r="N998" s="102"/>
      <c r="O998" s="102"/>
      <c r="P998" s="102"/>
      <c r="Q998" s="102"/>
      <c r="R998" s="105"/>
    </row>
    <row r="999" spans="1:18" s="30" customFormat="1" ht="29.25" customHeight="1">
      <c r="A999" s="28" t="str">
        <f>'МП пр.5'!A739</f>
        <v>Приобретение литературно-художественных изданий за счет средств местного бюджета</v>
      </c>
      <c r="B999" s="59" t="s">
        <v>73</v>
      </c>
      <c r="C999" s="59" t="s">
        <v>66</v>
      </c>
      <c r="D999" s="59" t="s">
        <v>555</v>
      </c>
      <c r="E999" s="59"/>
      <c r="F999" s="58">
        <f>F1000</f>
        <v>9.6</v>
      </c>
      <c r="N999" s="102"/>
      <c r="O999" s="102"/>
      <c r="P999" s="102"/>
      <c r="Q999" s="102"/>
      <c r="R999" s="105"/>
    </row>
    <row r="1000" spans="1:18" s="30" customFormat="1" ht="31.5" customHeight="1">
      <c r="A1000" s="28" t="s">
        <v>105</v>
      </c>
      <c r="B1000" s="59" t="s">
        <v>73</v>
      </c>
      <c r="C1000" s="59" t="s">
        <v>66</v>
      </c>
      <c r="D1000" s="59" t="s">
        <v>555</v>
      </c>
      <c r="E1000" s="59" t="s">
        <v>106</v>
      </c>
      <c r="F1000" s="58">
        <f>F1001</f>
        <v>9.6</v>
      </c>
      <c r="N1000" s="102"/>
      <c r="O1000" s="102"/>
      <c r="P1000" s="102"/>
      <c r="Q1000" s="102"/>
      <c r="R1000" s="105"/>
    </row>
    <row r="1001" spans="1:18" s="30" customFormat="1" ht="17.25" customHeight="1">
      <c r="A1001" s="28" t="s">
        <v>111</v>
      </c>
      <c r="B1001" s="59" t="s">
        <v>73</v>
      </c>
      <c r="C1001" s="59" t="s">
        <v>66</v>
      </c>
      <c r="D1001" s="59" t="s">
        <v>555</v>
      </c>
      <c r="E1001" s="59" t="s">
        <v>112</v>
      </c>
      <c r="F1001" s="58">
        <f>F1002</f>
        <v>9.6</v>
      </c>
      <c r="N1001" s="102"/>
      <c r="O1001" s="102"/>
      <c r="P1001" s="102"/>
      <c r="Q1001" s="102"/>
      <c r="R1001" s="105"/>
    </row>
    <row r="1002" spans="1:18" s="30" customFormat="1" ht="17.25" customHeight="1">
      <c r="A1002" s="28" t="s">
        <v>115</v>
      </c>
      <c r="B1002" s="59" t="s">
        <v>73</v>
      </c>
      <c r="C1002" s="59" t="s">
        <v>66</v>
      </c>
      <c r="D1002" s="59" t="s">
        <v>555</v>
      </c>
      <c r="E1002" s="59" t="s">
        <v>116</v>
      </c>
      <c r="F1002" s="58">
        <f>'пр.4 вед.стр.'!G1012</f>
        <v>9.6</v>
      </c>
      <c r="N1002" s="102"/>
      <c r="O1002" s="102"/>
      <c r="P1002" s="102"/>
      <c r="Q1002" s="102"/>
      <c r="R1002" s="105"/>
    </row>
    <row r="1003" spans="1:18" s="30" customFormat="1" ht="17.25" customHeight="1">
      <c r="A1003" s="28" t="str">
        <f>'пр.4 вед.стр.'!A1013</f>
        <v>Основное мероприятие "Сохранение культурного наследия и творческого потенциала"</v>
      </c>
      <c r="B1003" s="59" t="s">
        <v>73</v>
      </c>
      <c r="C1003" s="59" t="s">
        <v>66</v>
      </c>
      <c r="D1003" s="149" t="str">
        <f>'пр.4 вед.стр.'!E1013</f>
        <v>7Е 0 02 00000 </v>
      </c>
      <c r="E1003" s="149"/>
      <c r="F1003" s="146">
        <f>F1004</f>
        <v>96</v>
      </c>
      <c r="N1003" s="102"/>
      <c r="O1003" s="102"/>
      <c r="P1003" s="102"/>
      <c r="Q1003" s="102"/>
      <c r="R1003" s="105"/>
    </row>
    <row r="1004" spans="1:18" s="30" customFormat="1" ht="17.25" customHeight="1">
      <c r="A1004" s="28" t="str">
        <f>'МП пр.5'!A747</f>
        <v>Укрепление материально- технической базы учреждений культуры</v>
      </c>
      <c r="B1004" s="59" t="s">
        <v>73</v>
      </c>
      <c r="C1004" s="59" t="s">
        <v>66</v>
      </c>
      <c r="D1004" s="149" t="str">
        <f>'пр.4 вед.стр.'!E1014</f>
        <v>7Е 0 02 92510 </v>
      </c>
      <c r="E1004" s="149"/>
      <c r="F1004" s="146">
        <f>F1005</f>
        <v>96</v>
      </c>
      <c r="N1004" s="102"/>
      <c r="O1004" s="102"/>
      <c r="P1004" s="102"/>
      <c r="Q1004" s="102"/>
      <c r="R1004" s="105"/>
    </row>
    <row r="1005" spans="1:18" s="30" customFormat="1" ht="33.75" customHeight="1">
      <c r="A1005" s="28" t="str">
        <f>'пр.4 вед.стр.'!A1015</f>
        <v>Предоставление субсидий бюджетным, автономным учреждениям и иным некоммерческим организациям</v>
      </c>
      <c r="B1005" s="59" t="s">
        <v>73</v>
      </c>
      <c r="C1005" s="59" t="s">
        <v>66</v>
      </c>
      <c r="D1005" s="149" t="str">
        <f>'пр.4 вед.стр.'!E1015</f>
        <v>7Е 0 02 92510 </v>
      </c>
      <c r="E1005" s="59" t="s">
        <v>106</v>
      </c>
      <c r="F1005" s="146">
        <f>F1006</f>
        <v>96</v>
      </c>
      <c r="N1005" s="102"/>
      <c r="O1005" s="102"/>
      <c r="P1005" s="102"/>
      <c r="Q1005" s="102"/>
      <c r="R1005" s="105"/>
    </row>
    <row r="1006" spans="1:18" s="30" customFormat="1" ht="17.25" customHeight="1">
      <c r="A1006" s="28" t="str">
        <f>'пр.4 вед.стр.'!A1016</f>
        <v>Субсидии бюджетным учреждениям</v>
      </c>
      <c r="B1006" s="59" t="s">
        <v>73</v>
      </c>
      <c r="C1006" s="59" t="s">
        <v>66</v>
      </c>
      <c r="D1006" s="149" t="str">
        <f>'пр.4 вед.стр.'!E1016</f>
        <v>7Е 0 02 92510 </v>
      </c>
      <c r="E1006" s="59" t="s">
        <v>112</v>
      </c>
      <c r="F1006" s="146">
        <f>F1007</f>
        <v>96</v>
      </c>
      <c r="N1006" s="102"/>
      <c r="O1006" s="102"/>
      <c r="P1006" s="102"/>
      <c r="Q1006" s="102"/>
      <c r="R1006" s="105"/>
    </row>
    <row r="1007" spans="1:18" s="30" customFormat="1" ht="17.25" customHeight="1">
      <c r="A1007" s="28" t="str">
        <f>'пр.4 вед.стр.'!A1017</f>
        <v>Субсидии  бюджетным учреждениям на иные цели</v>
      </c>
      <c r="B1007" s="59" t="s">
        <v>73</v>
      </c>
      <c r="C1007" s="59" t="s">
        <v>66</v>
      </c>
      <c r="D1007" s="149" t="str">
        <f>'пр.4 вед.стр.'!E1017</f>
        <v>7Е 0 02 92510 </v>
      </c>
      <c r="E1007" s="59" t="s">
        <v>116</v>
      </c>
      <c r="F1007" s="146">
        <f>'пр.4 вед.стр.'!G1017</f>
        <v>96</v>
      </c>
      <c r="N1007" s="102"/>
      <c r="O1007" s="102"/>
      <c r="P1007" s="102"/>
      <c r="Q1007" s="102"/>
      <c r="R1007" s="105"/>
    </row>
    <row r="1008" spans="1:18" s="30" customFormat="1" ht="27" customHeight="1">
      <c r="A1008" s="28" t="s">
        <v>473</v>
      </c>
      <c r="B1008" s="59" t="s">
        <v>73</v>
      </c>
      <c r="C1008" s="59" t="s">
        <v>66</v>
      </c>
      <c r="D1008" s="161" t="s">
        <v>556</v>
      </c>
      <c r="E1008" s="59"/>
      <c r="F1008" s="58">
        <f>F1009</f>
        <v>1032.4</v>
      </c>
      <c r="N1008" s="102"/>
      <c r="O1008" s="102"/>
      <c r="P1008" s="102"/>
      <c r="Q1008" s="102"/>
      <c r="R1008" s="105"/>
    </row>
    <row r="1009" spans="1:18" s="30" customFormat="1" ht="42.75" customHeight="1">
      <c r="A1009" s="28" t="s">
        <v>506</v>
      </c>
      <c r="B1009" s="59" t="s">
        <v>73</v>
      </c>
      <c r="C1009" s="59" t="s">
        <v>66</v>
      </c>
      <c r="D1009" s="161" t="s">
        <v>557</v>
      </c>
      <c r="E1009" s="59"/>
      <c r="F1009" s="58">
        <f>F1010</f>
        <v>1032.4</v>
      </c>
      <c r="N1009" s="102"/>
      <c r="O1009" s="102"/>
      <c r="P1009" s="102"/>
      <c r="Q1009" s="102"/>
      <c r="R1009" s="105"/>
    </row>
    <row r="1010" spans="1:18" s="30" customFormat="1" ht="27.75" customHeight="1">
      <c r="A1010" s="28" t="s">
        <v>105</v>
      </c>
      <c r="B1010" s="59" t="s">
        <v>73</v>
      </c>
      <c r="C1010" s="59" t="s">
        <v>66</v>
      </c>
      <c r="D1010" s="161" t="s">
        <v>557</v>
      </c>
      <c r="E1010" s="59" t="s">
        <v>106</v>
      </c>
      <c r="F1010" s="58">
        <f>F1011</f>
        <v>1032.4</v>
      </c>
      <c r="N1010" s="102"/>
      <c r="O1010" s="102"/>
      <c r="P1010" s="102"/>
      <c r="Q1010" s="102"/>
      <c r="R1010" s="105"/>
    </row>
    <row r="1011" spans="1:18" s="30" customFormat="1" ht="17.25" customHeight="1">
      <c r="A1011" s="28" t="s">
        <v>111</v>
      </c>
      <c r="B1011" s="59" t="s">
        <v>73</v>
      </c>
      <c r="C1011" s="59" t="s">
        <v>66</v>
      </c>
      <c r="D1011" s="161" t="s">
        <v>557</v>
      </c>
      <c r="E1011" s="59" t="s">
        <v>112</v>
      </c>
      <c r="F1011" s="58">
        <f>F1012</f>
        <v>1032.4</v>
      </c>
      <c r="N1011" s="102"/>
      <c r="O1011" s="102"/>
      <c r="P1011" s="102"/>
      <c r="Q1011" s="102"/>
      <c r="R1011" s="105"/>
    </row>
    <row r="1012" spans="1:18" s="30" customFormat="1" ht="17.25" customHeight="1">
      <c r="A1012" s="28" t="s">
        <v>115</v>
      </c>
      <c r="B1012" s="59" t="s">
        <v>73</v>
      </c>
      <c r="C1012" s="59" t="s">
        <v>66</v>
      </c>
      <c r="D1012" s="161" t="s">
        <v>557</v>
      </c>
      <c r="E1012" s="59" t="s">
        <v>116</v>
      </c>
      <c r="F1012" s="58">
        <f>'пр.4 вед.стр.'!G1022</f>
        <v>1032.4</v>
      </c>
      <c r="N1012" s="102"/>
      <c r="O1012" s="102"/>
      <c r="P1012" s="102"/>
      <c r="Q1012" s="102"/>
      <c r="R1012" s="105"/>
    </row>
    <row r="1013" spans="1:18" s="30" customFormat="1" ht="17.25" customHeight="1">
      <c r="A1013" s="28" t="s">
        <v>798</v>
      </c>
      <c r="B1013" s="59" t="s">
        <v>73</v>
      </c>
      <c r="C1013" s="59" t="s">
        <v>66</v>
      </c>
      <c r="D1013" s="161" t="s">
        <v>674</v>
      </c>
      <c r="E1013" s="59"/>
      <c r="F1013" s="58">
        <f>F1014+F1018</f>
        <v>1150</v>
      </c>
      <c r="N1013" s="102"/>
      <c r="O1013" s="102"/>
      <c r="P1013" s="102"/>
      <c r="Q1013" s="102"/>
      <c r="R1013" s="105"/>
    </row>
    <row r="1014" spans="1:18" s="30" customFormat="1" ht="31.5" customHeight="1">
      <c r="A1014" s="28" t="s">
        <v>672</v>
      </c>
      <c r="B1014" s="59" t="s">
        <v>73</v>
      </c>
      <c r="C1014" s="59" t="s">
        <v>66</v>
      </c>
      <c r="D1014" s="161" t="s">
        <v>675</v>
      </c>
      <c r="E1014" s="59"/>
      <c r="F1014" s="58">
        <f>F1015</f>
        <v>1000</v>
      </c>
      <c r="N1014" s="102"/>
      <c r="O1014" s="102"/>
      <c r="P1014" s="102"/>
      <c r="Q1014" s="102"/>
      <c r="R1014" s="105"/>
    </row>
    <row r="1015" spans="1:18" s="30" customFormat="1" ht="33" customHeight="1">
      <c r="A1015" s="28" t="s">
        <v>105</v>
      </c>
      <c r="B1015" s="59" t="s">
        <v>73</v>
      </c>
      <c r="C1015" s="59" t="s">
        <v>66</v>
      </c>
      <c r="D1015" s="161" t="s">
        <v>675</v>
      </c>
      <c r="E1015" s="59" t="s">
        <v>106</v>
      </c>
      <c r="F1015" s="58">
        <f>F1016</f>
        <v>1000</v>
      </c>
      <c r="N1015" s="102"/>
      <c r="O1015" s="102"/>
      <c r="P1015" s="102"/>
      <c r="Q1015" s="102"/>
      <c r="R1015" s="105"/>
    </row>
    <row r="1016" spans="1:18" s="30" customFormat="1" ht="17.25" customHeight="1">
      <c r="A1016" s="28" t="s">
        <v>111</v>
      </c>
      <c r="B1016" s="59" t="s">
        <v>73</v>
      </c>
      <c r="C1016" s="59" t="s">
        <v>66</v>
      </c>
      <c r="D1016" s="161" t="s">
        <v>675</v>
      </c>
      <c r="E1016" s="59" t="s">
        <v>112</v>
      </c>
      <c r="F1016" s="58">
        <f>F1017</f>
        <v>1000</v>
      </c>
      <c r="N1016" s="102"/>
      <c r="O1016" s="102"/>
      <c r="P1016" s="102"/>
      <c r="Q1016" s="102"/>
      <c r="R1016" s="105"/>
    </row>
    <row r="1017" spans="1:18" s="30" customFormat="1" ht="17.25" customHeight="1">
      <c r="A1017" s="28" t="s">
        <v>115</v>
      </c>
      <c r="B1017" s="59" t="s">
        <v>73</v>
      </c>
      <c r="C1017" s="59" t="s">
        <v>66</v>
      </c>
      <c r="D1017" s="161" t="s">
        <v>675</v>
      </c>
      <c r="E1017" s="59" t="s">
        <v>116</v>
      </c>
      <c r="F1017" s="58">
        <v>1000</v>
      </c>
      <c r="N1017" s="102"/>
      <c r="O1017" s="102"/>
      <c r="P1017" s="102"/>
      <c r="Q1017" s="102"/>
      <c r="R1017" s="105"/>
    </row>
    <row r="1018" spans="1:18" s="30" customFormat="1" ht="29.25" customHeight="1">
      <c r="A1018" s="28" t="s">
        <v>673</v>
      </c>
      <c r="B1018" s="59" t="s">
        <v>73</v>
      </c>
      <c r="C1018" s="59" t="s">
        <v>66</v>
      </c>
      <c r="D1018" s="161" t="s">
        <v>676</v>
      </c>
      <c r="E1018" s="59"/>
      <c r="F1018" s="58">
        <f>F1019</f>
        <v>150</v>
      </c>
      <c r="N1018" s="102"/>
      <c r="O1018" s="102"/>
      <c r="P1018" s="102"/>
      <c r="Q1018" s="102"/>
      <c r="R1018" s="105"/>
    </row>
    <row r="1019" spans="1:18" s="30" customFormat="1" ht="33" customHeight="1">
      <c r="A1019" s="28" t="s">
        <v>105</v>
      </c>
      <c r="B1019" s="59" t="s">
        <v>73</v>
      </c>
      <c r="C1019" s="59" t="s">
        <v>66</v>
      </c>
      <c r="D1019" s="161" t="s">
        <v>676</v>
      </c>
      <c r="E1019" s="59" t="s">
        <v>106</v>
      </c>
      <c r="F1019" s="58">
        <f>F1020</f>
        <v>150</v>
      </c>
      <c r="N1019" s="102"/>
      <c r="O1019" s="102"/>
      <c r="P1019" s="102"/>
      <c r="Q1019" s="102"/>
      <c r="R1019" s="105"/>
    </row>
    <row r="1020" spans="1:18" s="30" customFormat="1" ht="17.25" customHeight="1">
      <c r="A1020" s="28" t="s">
        <v>111</v>
      </c>
      <c r="B1020" s="59" t="s">
        <v>73</v>
      </c>
      <c r="C1020" s="59" t="s">
        <v>66</v>
      </c>
      <c r="D1020" s="161" t="s">
        <v>676</v>
      </c>
      <c r="E1020" s="59" t="s">
        <v>112</v>
      </c>
      <c r="F1020" s="58">
        <f>F1021</f>
        <v>150</v>
      </c>
      <c r="N1020" s="102"/>
      <c r="O1020" s="102"/>
      <c r="P1020" s="102"/>
      <c r="Q1020" s="102"/>
      <c r="R1020" s="105"/>
    </row>
    <row r="1021" spans="1:18" s="30" customFormat="1" ht="17.25" customHeight="1">
      <c r="A1021" s="28" t="s">
        <v>115</v>
      </c>
      <c r="B1021" s="59" t="s">
        <v>73</v>
      </c>
      <c r="C1021" s="59" t="s">
        <v>66</v>
      </c>
      <c r="D1021" s="161" t="s">
        <v>676</v>
      </c>
      <c r="E1021" s="59" t="s">
        <v>116</v>
      </c>
      <c r="F1021" s="58">
        <v>150</v>
      </c>
      <c r="N1021" s="102"/>
      <c r="O1021" s="102"/>
      <c r="P1021" s="102"/>
      <c r="Q1021" s="102"/>
      <c r="R1021" s="105"/>
    </row>
    <row r="1022" spans="1:18" s="30" customFormat="1" ht="28.5" customHeight="1">
      <c r="A1022" s="28" t="s">
        <v>449</v>
      </c>
      <c r="B1022" s="59" t="s">
        <v>73</v>
      </c>
      <c r="C1022" s="59" t="s">
        <v>66</v>
      </c>
      <c r="D1022" s="59" t="s">
        <v>450</v>
      </c>
      <c r="E1022" s="59"/>
      <c r="F1022" s="58">
        <f>F1023</f>
        <v>100</v>
      </c>
      <c r="N1022" s="102"/>
      <c r="O1022" s="102"/>
      <c r="P1022" s="102"/>
      <c r="Q1022" s="102"/>
      <c r="R1022" s="105"/>
    </row>
    <row r="1023" spans="1:18" s="30" customFormat="1" ht="17.25" customHeight="1">
      <c r="A1023" s="28" t="s">
        <v>461</v>
      </c>
      <c r="B1023" s="59" t="s">
        <v>73</v>
      </c>
      <c r="C1023" s="59" t="s">
        <v>66</v>
      </c>
      <c r="D1023" s="59" t="s">
        <v>462</v>
      </c>
      <c r="E1023" s="59"/>
      <c r="F1023" s="143">
        <f>F1024</f>
        <v>100</v>
      </c>
      <c r="N1023" s="102"/>
      <c r="O1023" s="102"/>
      <c r="P1023" s="102"/>
      <c r="Q1023" s="102"/>
      <c r="R1023" s="105"/>
    </row>
    <row r="1024" spans="1:18" s="30" customFormat="1" ht="28.5" customHeight="1">
      <c r="A1024" s="28" t="s">
        <v>463</v>
      </c>
      <c r="B1024" s="59" t="s">
        <v>73</v>
      </c>
      <c r="C1024" s="59" t="s">
        <v>66</v>
      </c>
      <c r="D1024" s="59" t="s">
        <v>464</v>
      </c>
      <c r="E1024" s="59"/>
      <c r="F1024" s="58">
        <f>F1025</f>
        <v>100</v>
      </c>
      <c r="N1024" s="102"/>
      <c r="O1024" s="102"/>
      <c r="P1024" s="102"/>
      <c r="Q1024" s="102"/>
      <c r="R1024" s="105"/>
    </row>
    <row r="1025" spans="1:18" s="30" customFormat="1" ht="30" customHeight="1">
      <c r="A1025" s="28" t="s">
        <v>105</v>
      </c>
      <c r="B1025" s="59" t="s">
        <v>73</v>
      </c>
      <c r="C1025" s="59" t="s">
        <v>66</v>
      </c>
      <c r="D1025" s="59" t="s">
        <v>464</v>
      </c>
      <c r="E1025" s="59" t="s">
        <v>106</v>
      </c>
      <c r="F1025" s="58">
        <f>F1026</f>
        <v>100</v>
      </c>
      <c r="N1025" s="102"/>
      <c r="O1025" s="102"/>
      <c r="P1025" s="102"/>
      <c r="Q1025" s="102"/>
      <c r="R1025" s="105"/>
    </row>
    <row r="1026" spans="1:18" s="30" customFormat="1" ht="17.25" customHeight="1">
      <c r="A1026" s="28" t="s">
        <v>111</v>
      </c>
      <c r="B1026" s="59" t="s">
        <v>73</v>
      </c>
      <c r="C1026" s="59" t="s">
        <v>66</v>
      </c>
      <c r="D1026" s="59" t="s">
        <v>464</v>
      </c>
      <c r="E1026" s="59" t="s">
        <v>112</v>
      </c>
      <c r="F1026" s="58">
        <f>F1027</f>
        <v>100</v>
      </c>
      <c r="N1026" s="102"/>
      <c r="O1026" s="102"/>
      <c r="P1026" s="102"/>
      <c r="Q1026" s="102"/>
      <c r="R1026" s="105"/>
    </row>
    <row r="1027" spans="1:18" s="30" customFormat="1" ht="17.25" customHeight="1">
      <c r="A1027" s="28" t="s">
        <v>115</v>
      </c>
      <c r="B1027" s="59" t="s">
        <v>73</v>
      </c>
      <c r="C1027" s="59" t="s">
        <v>66</v>
      </c>
      <c r="D1027" s="59" t="s">
        <v>464</v>
      </c>
      <c r="E1027" s="59" t="s">
        <v>116</v>
      </c>
      <c r="F1027" s="58">
        <f>'пр.4 вед.стр.'!G1037</f>
        <v>100</v>
      </c>
      <c r="N1027" s="102"/>
      <c r="O1027" s="102"/>
      <c r="P1027" s="102"/>
      <c r="Q1027" s="102"/>
      <c r="R1027" s="105"/>
    </row>
    <row r="1028" spans="1:18" s="30" customFormat="1" ht="17.25" customHeight="1">
      <c r="A1028" s="28" t="s">
        <v>360</v>
      </c>
      <c r="B1028" s="59" t="s">
        <v>73</v>
      </c>
      <c r="C1028" s="59" t="s">
        <v>66</v>
      </c>
      <c r="D1028" s="59" t="s">
        <v>215</v>
      </c>
      <c r="E1028" s="59"/>
      <c r="F1028" s="58">
        <f>F1029</f>
        <v>787.4</v>
      </c>
      <c r="N1028" s="102"/>
      <c r="O1028" s="102"/>
      <c r="P1028" s="102"/>
      <c r="Q1028" s="102"/>
      <c r="R1028" s="105"/>
    </row>
    <row r="1029" spans="1:18" s="30" customFormat="1" ht="17.25" customHeight="1">
      <c r="A1029" s="28" t="s">
        <v>363</v>
      </c>
      <c r="B1029" s="59" t="s">
        <v>73</v>
      </c>
      <c r="C1029" s="59" t="s">
        <v>66</v>
      </c>
      <c r="D1029" s="59" t="s">
        <v>358</v>
      </c>
      <c r="E1029" s="59"/>
      <c r="F1029" s="58">
        <f>F1030+F1037</f>
        <v>787.4</v>
      </c>
      <c r="N1029" s="102"/>
      <c r="O1029" s="102"/>
      <c r="P1029" s="102"/>
      <c r="Q1029" s="102"/>
      <c r="R1029" s="105"/>
    </row>
    <row r="1030" spans="1:18" s="30" customFormat="1" ht="42" customHeight="1">
      <c r="A1030" s="28" t="s">
        <v>287</v>
      </c>
      <c r="B1030" s="59" t="s">
        <v>73</v>
      </c>
      <c r="C1030" s="59" t="s">
        <v>66</v>
      </c>
      <c r="D1030" s="59" t="s">
        <v>359</v>
      </c>
      <c r="E1030" s="59"/>
      <c r="F1030" s="58">
        <f>F1034+F1031</f>
        <v>754.9</v>
      </c>
      <c r="N1030" s="102"/>
      <c r="O1030" s="102"/>
      <c r="P1030" s="102"/>
      <c r="Q1030" s="102"/>
      <c r="R1030" s="105"/>
    </row>
    <row r="1031" spans="1:18" s="30" customFormat="1" ht="45" customHeight="1">
      <c r="A1031" s="28" t="s">
        <v>102</v>
      </c>
      <c r="B1031" s="59" t="s">
        <v>73</v>
      </c>
      <c r="C1031" s="59" t="s">
        <v>66</v>
      </c>
      <c r="D1031" s="59" t="s">
        <v>359</v>
      </c>
      <c r="E1031" s="59" t="s">
        <v>103</v>
      </c>
      <c r="F1031" s="58">
        <f>F1032</f>
        <v>44.6</v>
      </c>
      <c r="N1031" s="102"/>
      <c r="O1031" s="102"/>
      <c r="P1031" s="102"/>
      <c r="Q1031" s="102"/>
      <c r="R1031" s="105"/>
    </row>
    <row r="1032" spans="1:18" s="30" customFormat="1" ht="18" customHeight="1">
      <c r="A1032" s="28" t="s">
        <v>295</v>
      </c>
      <c r="B1032" s="59" t="s">
        <v>73</v>
      </c>
      <c r="C1032" s="59" t="s">
        <v>66</v>
      </c>
      <c r="D1032" s="59" t="s">
        <v>359</v>
      </c>
      <c r="E1032" s="59" t="s">
        <v>297</v>
      </c>
      <c r="F1032" s="58">
        <f>F1033</f>
        <v>44.6</v>
      </c>
      <c r="N1032" s="102"/>
      <c r="O1032" s="102"/>
      <c r="P1032" s="102"/>
      <c r="Q1032" s="102"/>
      <c r="R1032" s="105"/>
    </row>
    <row r="1033" spans="1:18" s="30" customFormat="1" ht="18.75" customHeight="1">
      <c r="A1033" s="28" t="s">
        <v>434</v>
      </c>
      <c r="B1033" s="59" t="s">
        <v>73</v>
      </c>
      <c r="C1033" s="59" t="s">
        <v>66</v>
      </c>
      <c r="D1033" s="59" t="s">
        <v>359</v>
      </c>
      <c r="E1033" s="59" t="s">
        <v>296</v>
      </c>
      <c r="F1033" s="58">
        <f>'пр.4 вед.стр.'!G1043</f>
        <v>44.6</v>
      </c>
      <c r="N1033" s="102"/>
      <c r="O1033" s="102"/>
      <c r="P1033" s="102"/>
      <c r="Q1033" s="102"/>
      <c r="R1033" s="105"/>
    </row>
    <row r="1034" spans="1:18" s="30" customFormat="1" ht="30" customHeight="1">
      <c r="A1034" s="28" t="s">
        <v>105</v>
      </c>
      <c r="B1034" s="59" t="s">
        <v>73</v>
      </c>
      <c r="C1034" s="59" t="s">
        <v>66</v>
      </c>
      <c r="D1034" s="59" t="s">
        <v>359</v>
      </c>
      <c r="E1034" s="59" t="s">
        <v>106</v>
      </c>
      <c r="F1034" s="58">
        <f>F1035</f>
        <v>710.3</v>
      </c>
      <c r="N1034" s="102"/>
      <c r="O1034" s="102"/>
      <c r="P1034" s="102"/>
      <c r="Q1034" s="102"/>
      <c r="R1034" s="105"/>
    </row>
    <row r="1035" spans="1:18" s="30" customFormat="1" ht="17.25" customHeight="1">
      <c r="A1035" s="28" t="s">
        <v>111</v>
      </c>
      <c r="B1035" s="59" t="s">
        <v>73</v>
      </c>
      <c r="C1035" s="59" t="s">
        <v>66</v>
      </c>
      <c r="D1035" s="59" t="s">
        <v>359</v>
      </c>
      <c r="E1035" s="59" t="s">
        <v>112</v>
      </c>
      <c r="F1035" s="58">
        <f>F1036</f>
        <v>710.3</v>
      </c>
      <c r="N1035" s="102"/>
      <c r="O1035" s="102"/>
      <c r="P1035" s="102"/>
      <c r="Q1035" s="102"/>
      <c r="R1035" s="105"/>
    </row>
    <row r="1036" spans="1:18" s="30" customFormat="1" ht="17.25" customHeight="1">
      <c r="A1036" s="28" t="s">
        <v>115</v>
      </c>
      <c r="B1036" s="59" t="s">
        <v>73</v>
      </c>
      <c r="C1036" s="59" t="s">
        <v>66</v>
      </c>
      <c r="D1036" s="59" t="s">
        <v>359</v>
      </c>
      <c r="E1036" s="59" t="s">
        <v>116</v>
      </c>
      <c r="F1036" s="58">
        <f>'пр.4 вед.стр.'!G1046</f>
        <v>710.3</v>
      </c>
      <c r="N1036" s="102"/>
      <c r="O1036" s="102"/>
      <c r="P1036" s="102"/>
      <c r="Q1036" s="102"/>
      <c r="R1036" s="105"/>
    </row>
    <row r="1037" spans="1:18" s="30" customFormat="1" ht="17.25" customHeight="1">
      <c r="A1037" s="28" t="s">
        <v>235</v>
      </c>
      <c r="B1037" s="59" t="s">
        <v>73</v>
      </c>
      <c r="C1037" s="59" t="s">
        <v>66</v>
      </c>
      <c r="D1037" s="59" t="s">
        <v>362</v>
      </c>
      <c r="E1037" s="59"/>
      <c r="F1037" s="58">
        <f>F1038</f>
        <v>32.5</v>
      </c>
      <c r="N1037" s="102"/>
      <c r="O1037" s="102"/>
      <c r="P1037" s="102"/>
      <c r="Q1037" s="102"/>
      <c r="R1037" s="105"/>
    </row>
    <row r="1038" spans="1:18" s="30" customFormat="1" ht="30" customHeight="1">
      <c r="A1038" s="28" t="s">
        <v>105</v>
      </c>
      <c r="B1038" s="59" t="s">
        <v>73</v>
      </c>
      <c r="C1038" s="59" t="s">
        <v>66</v>
      </c>
      <c r="D1038" s="59" t="s">
        <v>362</v>
      </c>
      <c r="E1038" s="59" t="s">
        <v>106</v>
      </c>
      <c r="F1038" s="58">
        <f>F1039</f>
        <v>32.5</v>
      </c>
      <c r="N1038" s="102"/>
      <c r="O1038" s="102"/>
      <c r="P1038" s="102"/>
      <c r="Q1038" s="102"/>
      <c r="R1038" s="105"/>
    </row>
    <row r="1039" spans="1:18" s="30" customFormat="1" ht="17.25" customHeight="1">
      <c r="A1039" s="28" t="s">
        <v>111</v>
      </c>
      <c r="B1039" s="59" t="s">
        <v>73</v>
      </c>
      <c r="C1039" s="59" t="s">
        <v>66</v>
      </c>
      <c r="D1039" s="59" t="s">
        <v>362</v>
      </c>
      <c r="E1039" s="59" t="s">
        <v>112</v>
      </c>
      <c r="F1039" s="58">
        <f>F1040</f>
        <v>32.5</v>
      </c>
      <c r="N1039" s="102"/>
      <c r="O1039" s="102"/>
      <c r="P1039" s="102"/>
      <c r="Q1039" s="102"/>
      <c r="R1039" s="105"/>
    </row>
    <row r="1040" spans="1:18" s="30" customFormat="1" ht="17.25" customHeight="1">
      <c r="A1040" s="28" t="s">
        <v>115</v>
      </c>
      <c r="B1040" s="59" t="s">
        <v>73</v>
      </c>
      <c r="C1040" s="59" t="s">
        <v>66</v>
      </c>
      <c r="D1040" s="59" t="s">
        <v>362</v>
      </c>
      <c r="E1040" s="59" t="s">
        <v>116</v>
      </c>
      <c r="F1040" s="58">
        <f>'пр.4 вед.стр.'!G1050</f>
        <v>32.5</v>
      </c>
      <c r="N1040" s="102"/>
      <c r="O1040" s="102"/>
      <c r="P1040" s="102"/>
      <c r="Q1040" s="102"/>
      <c r="R1040" s="105"/>
    </row>
    <row r="1041" spans="1:18" s="30" customFormat="1" ht="17.25" customHeight="1">
      <c r="A1041" s="28" t="s">
        <v>271</v>
      </c>
      <c r="B1041" s="59" t="s">
        <v>73</v>
      </c>
      <c r="C1041" s="59" t="s">
        <v>66</v>
      </c>
      <c r="D1041" s="59" t="s">
        <v>212</v>
      </c>
      <c r="E1041" s="59"/>
      <c r="F1041" s="58">
        <f>F1042</f>
        <v>21759.100000000002</v>
      </c>
      <c r="N1041" s="102"/>
      <c r="O1041" s="102"/>
      <c r="P1041" s="102"/>
      <c r="Q1041" s="102"/>
      <c r="R1041" s="105"/>
    </row>
    <row r="1042" spans="1:18" s="30" customFormat="1" ht="30" customHeight="1">
      <c r="A1042" s="28" t="s">
        <v>473</v>
      </c>
      <c r="B1042" s="59" t="s">
        <v>73</v>
      </c>
      <c r="C1042" s="59" t="s">
        <v>66</v>
      </c>
      <c r="D1042" s="59" t="s">
        <v>378</v>
      </c>
      <c r="E1042" s="59"/>
      <c r="F1042" s="58">
        <f>F1044</f>
        <v>21759.100000000002</v>
      </c>
      <c r="N1042" s="102"/>
      <c r="O1042" s="102"/>
      <c r="P1042" s="102"/>
      <c r="Q1042" s="102"/>
      <c r="R1042" s="105"/>
    </row>
    <row r="1043" spans="1:18" s="30" customFormat="1" ht="17.25" customHeight="1">
      <c r="A1043" s="28" t="s">
        <v>249</v>
      </c>
      <c r="B1043" s="59" t="s">
        <v>73</v>
      </c>
      <c r="C1043" s="59" t="s">
        <v>66</v>
      </c>
      <c r="D1043" s="59" t="s">
        <v>379</v>
      </c>
      <c r="E1043" s="59"/>
      <c r="F1043" s="58">
        <f>F1044</f>
        <v>21759.100000000002</v>
      </c>
      <c r="N1043" s="102"/>
      <c r="O1043" s="102"/>
      <c r="P1043" s="102"/>
      <c r="Q1043" s="102"/>
      <c r="R1043" s="105"/>
    </row>
    <row r="1044" spans="1:18" s="30" customFormat="1" ht="27" customHeight="1">
      <c r="A1044" s="28" t="s">
        <v>105</v>
      </c>
      <c r="B1044" s="59" t="s">
        <v>73</v>
      </c>
      <c r="C1044" s="59" t="s">
        <v>66</v>
      </c>
      <c r="D1044" s="59" t="s">
        <v>379</v>
      </c>
      <c r="E1044" s="59" t="s">
        <v>106</v>
      </c>
      <c r="F1044" s="58">
        <f>F1045</f>
        <v>21759.100000000002</v>
      </c>
      <c r="N1044" s="102"/>
      <c r="O1044" s="102"/>
      <c r="P1044" s="102"/>
      <c r="Q1044" s="102"/>
      <c r="R1044" s="105"/>
    </row>
    <row r="1045" spans="1:18" s="30" customFormat="1" ht="17.25" customHeight="1">
      <c r="A1045" s="28" t="s">
        <v>111</v>
      </c>
      <c r="B1045" s="59" t="s">
        <v>73</v>
      </c>
      <c r="C1045" s="59" t="s">
        <v>66</v>
      </c>
      <c r="D1045" s="59" t="s">
        <v>379</v>
      </c>
      <c r="E1045" s="59" t="s">
        <v>112</v>
      </c>
      <c r="F1045" s="58">
        <f>F1046+F1047</f>
        <v>21759.100000000002</v>
      </c>
      <c r="N1045" s="102"/>
      <c r="O1045" s="102"/>
      <c r="P1045" s="102"/>
      <c r="Q1045" s="102"/>
      <c r="R1045" s="105"/>
    </row>
    <row r="1046" spans="1:18" s="30" customFormat="1" ht="39.75" customHeight="1">
      <c r="A1046" s="28" t="s">
        <v>113</v>
      </c>
      <c r="B1046" s="59" t="s">
        <v>73</v>
      </c>
      <c r="C1046" s="59" t="s">
        <v>66</v>
      </c>
      <c r="D1046" s="59" t="s">
        <v>379</v>
      </c>
      <c r="E1046" s="59" t="s">
        <v>114</v>
      </c>
      <c r="F1046" s="58">
        <f>'пр.4 вед.стр.'!G1056</f>
        <v>20950.100000000002</v>
      </c>
      <c r="N1046" s="102"/>
      <c r="O1046" s="102"/>
      <c r="P1046" s="102"/>
      <c r="Q1046" s="102"/>
      <c r="R1046" s="105"/>
    </row>
    <row r="1047" spans="1:18" s="30" customFormat="1" ht="17.25" customHeight="1">
      <c r="A1047" s="28" t="s">
        <v>115</v>
      </c>
      <c r="B1047" s="59" t="s">
        <v>73</v>
      </c>
      <c r="C1047" s="59" t="s">
        <v>66</v>
      </c>
      <c r="D1047" s="59" t="s">
        <v>379</v>
      </c>
      <c r="E1047" s="59" t="s">
        <v>116</v>
      </c>
      <c r="F1047" s="58">
        <f>'пр.4 вед.стр.'!G1057</f>
        <v>809</v>
      </c>
      <c r="N1047" s="102"/>
      <c r="O1047" s="102"/>
      <c r="P1047" s="102"/>
      <c r="Q1047" s="102"/>
      <c r="R1047" s="105"/>
    </row>
    <row r="1048" spans="1:18" s="30" customFormat="1" ht="17.25" customHeight="1">
      <c r="A1048" s="28" t="s">
        <v>81</v>
      </c>
      <c r="B1048" s="59" t="s">
        <v>73</v>
      </c>
      <c r="C1048" s="59" t="s">
        <v>66</v>
      </c>
      <c r="D1048" s="59" t="s">
        <v>225</v>
      </c>
      <c r="E1048" s="59"/>
      <c r="F1048" s="58">
        <f>F1049</f>
        <v>2119.6000000000004</v>
      </c>
      <c r="N1048" s="102"/>
      <c r="O1048" s="102"/>
      <c r="P1048" s="102"/>
      <c r="Q1048" s="102"/>
      <c r="R1048" s="105"/>
    </row>
    <row r="1049" spans="1:18" s="30" customFormat="1" ht="30.75" customHeight="1">
      <c r="A1049" s="28" t="s">
        <v>250</v>
      </c>
      <c r="B1049" s="59" t="s">
        <v>73</v>
      </c>
      <c r="C1049" s="59" t="s">
        <v>66</v>
      </c>
      <c r="D1049" s="59" t="s">
        <v>380</v>
      </c>
      <c r="E1049" s="59"/>
      <c r="F1049" s="58">
        <f>F1050</f>
        <v>2119.6000000000004</v>
      </c>
      <c r="N1049" s="102"/>
      <c r="O1049" s="102"/>
      <c r="P1049" s="102"/>
      <c r="Q1049" s="102"/>
      <c r="R1049" s="105"/>
    </row>
    <row r="1050" spans="1:18" s="30" customFormat="1" ht="17.25" customHeight="1">
      <c r="A1050" s="28" t="s">
        <v>381</v>
      </c>
      <c r="B1050" s="59" t="s">
        <v>73</v>
      </c>
      <c r="C1050" s="59" t="s">
        <v>66</v>
      </c>
      <c r="D1050" s="59" t="s">
        <v>405</v>
      </c>
      <c r="E1050" s="59"/>
      <c r="F1050" s="58">
        <f>F1051+F1056+F1059</f>
        <v>2119.6000000000004</v>
      </c>
      <c r="N1050" s="102"/>
      <c r="O1050" s="102"/>
      <c r="P1050" s="102"/>
      <c r="Q1050" s="102"/>
      <c r="R1050" s="105"/>
    </row>
    <row r="1051" spans="1:18" s="30" customFormat="1" ht="39" customHeight="1">
      <c r="A1051" s="28" t="s">
        <v>102</v>
      </c>
      <c r="B1051" s="59" t="s">
        <v>73</v>
      </c>
      <c r="C1051" s="59" t="s">
        <v>66</v>
      </c>
      <c r="D1051" s="59" t="s">
        <v>405</v>
      </c>
      <c r="E1051" s="59" t="s">
        <v>103</v>
      </c>
      <c r="F1051" s="58">
        <f>F1052</f>
        <v>1771.8</v>
      </c>
      <c r="N1051" s="102"/>
      <c r="O1051" s="102"/>
      <c r="P1051" s="102"/>
      <c r="Q1051" s="102"/>
      <c r="R1051" s="105"/>
    </row>
    <row r="1052" spans="1:18" s="30" customFormat="1" ht="17.25" customHeight="1">
      <c r="A1052" s="28" t="s">
        <v>295</v>
      </c>
      <c r="B1052" s="59" t="s">
        <v>73</v>
      </c>
      <c r="C1052" s="59" t="s">
        <v>66</v>
      </c>
      <c r="D1052" s="59" t="s">
        <v>405</v>
      </c>
      <c r="E1052" s="59" t="s">
        <v>297</v>
      </c>
      <c r="F1052" s="58">
        <f>F1053+F1054+F1055</f>
        <v>1771.8</v>
      </c>
      <c r="N1052" s="102"/>
      <c r="O1052" s="102"/>
      <c r="P1052" s="102"/>
      <c r="Q1052" s="102"/>
      <c r="R1052" s="105"/>
    </row>
    <row r="1053" spans="1:18" s="30" customFormat="1" ht="17.25" customHeight="1">
      <c r="A1053" s="28" t="s">
        <v>545</v>
      </c>
      <c r="B1053" s="59" t="s">
        <v>73</v>
      </c>
      <c r="C1053" s="59" t="s">
        <v>66</v>
      </c>
      <c r="D1053" s="59" t="s">
        <v>405</v>
      </c>
      <c r="E1053" s="59" t="s">
        <v>298</v>
      </c>
      <c r="F1053" s="58">
        <f>'пр.4 вед.стр.'!G1063</f>
        <v>1396.1</v>
      </c>
      <c r="N1053" s="102"/>
      <c r="O1053" s="102"/>
      <c r="P1053" s="102"/>
      <c r="Q1053" s="102"/>
      <c r="R1053" s="105"/>
    </row>
    <row r="1054" spans="1:18" s="30" customFormat="1" ht="17.25" customHeight="1">
      <c r="A1054" s="28" t="s">
        <v>434</v>
      </c>
      <c r="B1054" s="59" t="s">
        <v>73</v>
      </c>
      <c r="C1054" s="59" t="s">
        <v>66</v>
      </c>
      <c r="D1054" s="59" t="s">
        <v>405</v>
      </c>
      <c r="E1054" s="59" t="s">
        <v>296</v>
      </c>
      <c r="F1054" s="58">
        <f>'пр.4 вед.стр.'!G1064</f>
        <v>0</v>
      </c>
      <c r="N1054" s="102"/>
      <c r="O1054" s="102"/>
      <c r="P1054" s="102"/>
      <c r="Q1054" s="102"/>
      <c r="R1054" s="105"/>
    </row>
    <row r="1055" spans="1:18" s="30" customFormat="1" ht="31.5" customHeight="1">
      <c r="A1055" s="28" t="s">
        <v>438</v>
      </c>
      <c r="B1055" s="59" t="s">
        <v>73</v>
      </c>
      <c r="C1055" s="59" t="s">
        <v>66</v>
      </c>
      <c r="D1055" s="59" t="s">
        <v>405</v>
      </c>
      <c r="E1055" s="59" t="s">
        <v>299</v>
      </c>
      <c r="F1055" s="58">
        <f>'пр.4 вед.стр.'!G1065</f>
        <v>375.7</v>
      </c>
      <c r="N1055" s="102"/>
      <c r="O1055" s="102"/>
      <c r="P1055" s="102"/>
      <c r="Q1055" s="102"/>
      <c r="R1055" s="105"/>
    </row>
    <row r="1056" spans="1:18" s="30" customFormat="1" ht="17.25" customHeight="1">
      <c r="A1056" s="28" t="s">
        <v>610</v>
      </c>
      <c r="B1056" s="59" t="s">
        <v>73</v>
      </c>
      <c r="C1056" s="59" t="s">
        <v>66</v>
      </c>
      <c r="D1056" s="59" t="s">
        <v>405</v>
      </c>
      <c r="E1056" s="59" t="s">
        <v>104</v>
      </c>
      <c r="F1056" s="58">
        <f>F1057</f>
        <v>347</v>
      </c>
      <c r="N1056" s="102"/>
      <c r="O1056" s="102"/>
      <c r="P1056" s="102"/>
      <c r="Q1056" s="102"/>
      <c r="R1056" s="105"/>
    </row>
    <row r="1057" spans="1:18" s="30" customFormat="1" ht="17.25" customHeight="1">
      <c r="A1057" s="28" t="s">
        <v>98</v>
      </c>
      <c r="B1057" s="59" t="s">
        <v>73</v>
      </c>
      <c r="C1057" s="59" t="s">
        <v>66</v>
      </c>
      <c r="D1057" s="59" t="s">
        <v>405</v>
      </c>
      <c r="E1057" s="59" t="s">
        <v>99</v>
      </c>
      <c r="F1057" s="58">
        <f>F1058</f>
        <v>347</v>
      </c>
      <c r="N1057" s="102"/>
      <c r="O1057" s="102"/>
      <c r="P1057" s="102"/>
      <c r="Q1057" s="102"/>
      <c r="R1057" s="105"/>
    </row>
    <row r="1058" spans="1:18" s="30" customFormat="1" ht="17.25" customHeight="1">
      <c r="A1058" s="28" t="s">
        <v>100</v>
      </c>
      <c r="B1058" s="59" t="s">
        <v>73</v>
      </c>
      <c r="C1058" s="59" t="s">
        <v>66</v>
      </c>
      <c r="D1058" s="59" t="s">
        <v>405</v>
      </c>
      <c r="E1058" s="59" t="s">
        <v>101</v>
      </c>
      <c r="F1058" s="58">
        <f>'пр.4 вед.стр.'!G1068</f>
        <v>347</v>
      </c>
      <c r="N1058" s="102"/>
      <c r="O1058" s="102"/>
      <c r="P1058" s="102"/>
      <c r="Q1058" s="102"/>
      <c r="R1058" s="105"/>
    </row>
    <row r="1059" spans="1:18" s="30" customFormat="1" ht="17.25" customHeight="1">
      <c r="A1059" s="28" t="s">
        <v>128</v>
      </c>
      <c r="B1059" s="59" t="s">
        <v>73</v>
      </c>
      <c r="C1059" s="59" t="s">
        <v>66</v>
      </c>
      <c r="D1059" s="59" t="s">
        <v>405</v>
      </c>
      <c r="E1059" s="59" t="s">
        <v>129</v>
      </c>
      <c r="F1059" s="58">
        <f>F1060</f>
        <v>0.7999999999999998</v>
      </c>
      <c r="N1059" s="102"/>
      <c r="O1059" s="102"/>
      <c r="P1059" s="102"/>
      <c r="Q1059" s="102"/>
      <c r="R1059" s="105"/>
    </row>
    <row r="1060" spans="1:18" s="30" customFormat="1" ht="17.25" customHeight="1">
      <c r="A1060" s="28" t="s">
        <v>131</v>
      </c>
      <c r="B1060" s="59" t="s">
        <v>73</v>
      </c>
      <c r="C1060" s="59" t="s">
        <v>66</v>
      </c>
      <c r="D1060" s="59" t="s">
        <v>405</v>
      </c>
      <c r="E1060" s="59" t="s">
        <v>132</v>
      </c>
      <c r="F1060" s="58">
        <f>F1061</f>
        <v>0.7999999999999998</v>
      </c>
      <c r="N1060" s="102"/>
      <c r="O1060" s="102"/>
      <c r="P1060" s="102"/>
      <c r="Q1060" s="102"/>
      <c r="R1060" s="105"/>
    </row>
    <row r="1061" spans="1:18" s="30" customFormat="1" ht="17.25" customHeight="1">
      <c r="A1061" s="28" t="s">
        <v>133</v>
      </c>
      <c r="B1061" s="59" t="s">
        <v>73</v>
      </c>
      <c r="C1061" s="59" t="s">
        <v>66</v>
      </c>
      <c r="D1061" s="59" t="s">
        <v>405</v>
      </c>
      <c r="E1061" s="59" t="s">
        <v>134</v>
      </c>
      <c r="F1061" s="58">
        <f>'пр.4 вед.стр.'!G1071</f>
        <v>0.7999999999999998</v>
      </c>
      <c r="N1061" s="102"/>
      <c r="O1061" s="102"/>
      <c r="P1061" s="102"/>
      <c r="Q1061" s="102"/>
      <c r="R1061" s="105"/>
    </row>
    <row r="1062" spans="1:18" s="30" customFormat="1" ht="17.25" customHeight="1">
      <c r="A1062" s="28" t="s">
        <v>165</v>
      </c>
      <c r="B1062" s="59" t="s">
        <v>73</v>
      </c>
      <c r="C1062" s="59" t="s">
        <v>66</v>
      </c>
      <c r="D1062" s="59" t="s">
        <v>230</v>
      </c>
      <c r="E1062" s="59"/>
      <c r="F1062" s="58">
        <f>F1063</f>
        <v>11721.9</v>
      </c>
      <c r="N1062" s="102"/>
      <c r="O1062" s="102"/>
      <c r="P1062" s="102"/>
      <c r="Q1062" s="102"/>
      <c r="R1062" s="105"/>
    </row>
    <row r="1063" spans="1:18" s="30" customFormat="1" ht="29.25" customHeight="1">
      <c r="A1063" s="28" t="s">
        <v>473</v>
      </c>
      <c r="B1063" s="59" t="s">
        <v>73</v>
      </c>
      <c r="C1063" s="59" t="s">
        <v>66</v>
      </c>
      <c r="D1063" s="59" t="s">
        <v>382</v>
      </c>
      <c r="E1063" s="59"/>
      <c r="F1063" s="58">
        <f>F1064</f>
        <v>11721.9</v>
      </c>
      <c r="N1063" s="102"/>
      <c r="O1063" s="102"/>
      <c r="P1063" s="102"/>
      <c r="Q1063" s="102"/>
      <c r="R1063" s="105"/>
    </row>
    <row r="1064" spans="1:18" s="30" customFormat="1" ht="17.25" customHeight="1">
      <c r="A1064" s="28" t="s">
        <v>249</v>
      </c>
      <c r="B1064" s="59" t="s">
        <v>73</v>
      </c>
      <c r="C1064" s="59" t="s">
        <v>66</v>
      </c>
      <c r="D1064" s="59" t="s">
        <v>383</v>
      </c>
      <c r="E1064" s="59"/>
      <c r="F1064" s="58">
        <f>F1065</f>
        <v>11721.9</v>
      </c>
      <c r="N1064" s="102"/>
      <c r="O1064" s="102"/>
      <c r="P1064" s="102"/>
      <c r="Q1064" s="102"/>
      <c r="R1064" s="105"/>
    </row>
    <row r="1065" spans="1:18" s="30" customFormat="1" ht="31.5" customHeight="1">
      <c r="A1065" s="28" t="s">
        <v>105</v>
      </c>
      <c r="B1065" s="59" t="s">
        <v>73</v>
      </c>
      <c r="C1065" s="59" t="s">
        <v>66</v>
      </c>
      <c r="D1065" s="59" t="s">
        <v>383</v>
      </c>
      <c r="E1065" s="59" t="s">
        <v>106</v>
      </c>
      <c r="F1065" s="58">
        <f>F1066</f>
        <v>11721.9</v>
      </c>
      <c r="N1065" s="102"/>
      <c r="O1065" s="102"/>
      <c r="P1065" s="102"/>
      <c r="Q1065" s="102"/>
      <c r="R1065" s="105"/>
    </row>
    <row r="1066" spans="1:18" s="30" customFormat="1" ht="17.25" customHeight="1">
      <c r="A1066" s="28" t="s">
        <v>111</v>
      </c>
      <c r="B1066" s="59" t="s">
        <v>73</v>
      </c>
      <c r="C1066" s="59" t="s">
        <v>66</v>
      </c>
      <c r="D1066" s="59" t="s">
        <v>383</v>
      </c>
      <c r="E1066" s="59" t="s">
        <v>112</v>
      </c>
      <c r="F1066" s="58">
        <f>F1067</f>
        <v>11721.9</v>
      </c>
      <c r="N1066" s="102"/>
      <c r="O1066" s="102"/>
      <c r="P1066" s="102"/>
      <c r="Q1066" s="102"/>
      <c r="R1066" s="105"/>
    </row>
    <row r="1067" spans="1:18" s="30" customFormat="1" ht="45" customHeight="1">
      <c r="A1067" s="28" t="s">
        <v>113</v>
      </c>
      <c r="B1067" s="59" t="s">
        <v>73</v>
      </c>
      <c r="C1067" s="59" t="s">
        <v>66</v>
      </c>
      <c r="D1067" s="59" t="s">
        <v>383</v>
      </c>
      <c r="E1067" s="59" t="s">
        <v>114</v>
      </c>
      <c r="F1067" s="58">
        <f>'пр.4 вед.стр.'!G1077</f>
        <v>11721.9</v>
      </c>
      <c r="N1067" s="102"/>
      <c r="O1067" s="102"/>
      <c r="P1067" s="102"/>
      <c r="Q1067" s="102"/>
      <c r="R1067" s="105"/>
    </row>
    <row r="1068" spans="1:18" s="30" customFormat="1" ht="17.25" customHeight="1">
      <c r="A1068" s="61" t="s">
        <v>86</v>
      </c>
      <c r="B1068" s="63" t="s">
        <v>73</v>
      </c>
      <c r="C1068" s="63" t="s">
        <v>68</v>
      </c>
      <c r="D1068" s="63"/>
      <c r="E1068" s="63"/>
      <c r="F1068" s="64">
        <f>F1069+F1075+F1084+F1098+F1114</f>
        <v>12838</v>
      </c>
      <c r="N1068" s="102"/>
      <c r="O1068" s="102"/>
      <c r="P1068" s="102"/>
      <c r="Q1068" s="102"/>
      <c r="R1068" s="105"/>
    </row>
    <row r="1069" spans="1:18" s="30" customFormat="1" ht="29.25" customHeight="1">
      <c r="A1069" s="126" t="s">
        <v>513</v>
      </c>
      <c r="B1069" s="59" t="s">
        <v>73</v>
      </c>
      <c r="C1069" s="59" t="s">
        <v>68</v>
      </c>
      <c r="D1069" s="161" t="s">
        <v>180</v>
      </c>
      <c r="E1069" s="59"/>
      <c r="F1069" s="58">
        <f>F1070</f>
        <v>39</v>
      </c>
      <c r="N1069" s="102"/>
      <c r="O1069" s="102"/>
      <c r="P1069" s="102"/>
      <c r="Q1069" s="102"/>
      <c r="R1069" s="105"/>
    </row>
    <row r="1070" spans="1:18" s="30" customFormat="1" ht="29.25" customHeight="1">
      <c r="A1070" s="126" t="s">
        <v>251</v>
      </c>
      <c r="B1070" s="59" t="s">
        <v>73</v>
      </c>
      <c r="C1070" s="59" t="s">
        <v>68</v>
      </c>
      <c r="D1070" s="161" t="s">
        <v>325</v>
      </c>
      <c r="E1070" s="59"/>
      <c r="F1070" s="58">
        <f>F1071</f>
        <v>39</v>
      </c>
      <c r="N1070" s="102"/>
      <c r="O1070" s="102"/>
      <c r="P1070" s="102"/>
      <c r="Q1070" s="102"/>
      <c r="R1070" s="105"/>
    </row>
    <row r="1071" spans="1:18" s="30" customFormat="1" ht="17.25" customHeight="1">
      <c r="A1071" s="126" t="s">
        <v>193</v>
      </c>
      <c r="B1071" s="59" t="s">
        <v>73</v>
      </c>
      <c r="C1071" s="59" t="s">
        <v>68</v>
      </c>
      <c r="D1071" s="161" t="s">
        <v>342</v>
      </c>
      <c r="E1071" s="59"/>
      <c r="F1071" s="58">
        <f>F1072</f>
        <v>39</v>
      </c>
      <c r="N1071" s="102"/>
      <c r="O1071" s="102"/>
      <c r="P1071" s="102"/>
      <c r="Q1071" s="102"/>
      <c r="R1071" s="105"/>
    </row>
    <row r="1072" spans="1:18" s="30" customFormat="1" ht="17.25" customHeight="1">
      <c r="A1072" s="28" t="s">
        <v>610</v>
      </c>
      <c r="B1072" s="59" t="s">
        <v>73</v>
      </c>
      <c r="C1072" s="59" t="s">
        <v>68</v>
      </c>
      <c r="D1072" s="161" t="s">
        <v>342</v>
      </c>
      <c r="E1072" s="59" t="s">
        <v>104</v>
      </c>
      <c r="F1072" s="58">
        <f>F1073</f>
        <v>39</v>
      </c>
      <c r="N1072" s="102"/>
      <c r="O1072" s="102"/>
      <c r="P1072" s="102"/>
      <c r="Q1072" s="102"/>
      <c r="R1072" s="105"/>
    </row>
    <row r="1073" spans="1:18" s="30" customFormat="1" ht="17.25" customHeight="1">
      <c r="A1073" s="28" t="s">
        <v>98</v>
      </c>
      <c r="B1073" s="59" t="s">
        <v>73</v>
      </c>
      <c r="C1073" s="59" t="s">
        <v>68</v>
      </c>
      <c r="D1073" s="161" t="s">
        <v>342</v>
      </c>
      <c r="E1073" s="59" t="s">
        <v>99</v>
      </c>
      <c r="F1073" s="58">
        <f>F1074</f>
        <v>39</v>
      </c>
      <c r="N1073" s="102"/>
      <c r="O1073" s="102"/>
      <c r="P1073" s="102"/>
      <c r="Q1073" s="102"/>
      <c r="R1073" s="105"/>
    </row>
    <row r="1074" spans="1:18" s="30" customFormat="1" ht="17.25" customHeight="1">
      <c r="A1074" s="28" t="s">
        <v>100</v>
      </c>
      <c r="B1074" s="59" t="s">
        <v>73</v>
      </c>
      <c r="C1074" s="59" t="s">
        <v>68</v>
      </c>
      <c r="D1074" s="161" t="s">
        <v>342</v>
      </c>
      <c r="E1074" s="59" t="s">
        <v>101</v>
      </c>
      <c r="F1074" s="58">
        <f>'пр.4 вед.стр.'!G1084</f>
        <v>39</v>
      </c>
      <c r="N1074" s="102"/>
      <c r="O1074" s="102"/>
      <c r="P1074" s="102"/>
      <c r="Q1074" s="102"/>
      <c r="R1074" s="105"/>
    </row>
    <row r="1075" spans="1:18" s="30" customFormat="1" ht="17.25" customHeight="1">
      <c r="A1075" s="126" t="s">
        <v>552</v>
      </c>
      <c r="B1075" s="59" t="s">
        <v>73</v>
      </c>
      <c r="C1075" s="59" t="s">
        <v>68</v>
      </c>
      <c r="D1075" s="161" t="s">
        <v>200</v>
      </c>
      <c r="E1075" s="59"/>
      <c r="F1075" s="58">
        <f>F1076</f>
        <v>240.1</v>
      </c>
      <c r="N1075" s="102"/>
      <c r="O1075" s="102"/>
      <c r="P1075" s="102"/>
      <c r="Q1075" s="102"/>
      <c r="R1075" s="105"/>
    </row>
    <row r="1076" spans="1:18" s="30" customFormat="1" ht="17.25" customHeight="1">
      <c r="A1076" s="126" t="s">
        <v>259</v>
      </c>
      <c r="B1076" s="59" t="s">
        <v>73</v>
      </c>
      <c r="C1076" s="59" t="s">
        <v>68</v>
      </c>
      <c r="D1076" s="161" t="s">
        <v>558</v>
      </c>
      <c r="E1076" s="59"/>
      <c r="F1076" s="58">
        <f>F1077</f>
        <v>240.1</v>
      </c>
      <c r="N1076" s="102"/>
      <c r="O1076" s="102"/>
      <c r="P1076" s="102"/>
      <c r="Q1076" s="102"/>
      <c r="R1076" s="105"/>
    </row>
    <row r="1077" spans="1:18" s="30" customFormat="1" ht="17.25" customHeight="1">
      <c r="A1077" s="28" t="s">
        <v>627</v>
      </c>
      <c r="B1077" s="59" t="s">
        <v>73</v>
      </c>
      <c r="C1077" s="59" t="s">
        <v>68</v>
      </c>
      <c r="D1077" s="161" t="s">
        <v>628</v>
      </c>
      <c r="E1077" s="63"/>
      <c r="F1077" s="58">
        <f>F1078+F1081</f>
        <v>240.1</v>
      </c>
      <c r="N1077" s="102"/>
      <c r="O1077" s="102"/>
      <c r="P1077" s="102"/>
      <c r="Q1077" s="102"/>
      <c r="R1077" s="105"/>
    </row>
    <row r="1078" spans="1:18" s="30" customFormat="1" ht="43.5" customHeight="1">
      <c r="A1078" s="28" t="s">
        <v>102</v>
      </c>
      <c r="B1078" s="59" t="s">
        <v>73</v>
      </c>
      <c r="C1078" s="59" t="s">
        <v>68</v>
      </c>
      <c r="D1078" s="161" t="s">
        <v>628</v>
      </c>
      <c r="E1078" s="59" t="s">
        <v>103</v>
      </c>
      <c r="F1078" s="58">
        <f>F1079</f>
        <v>84</v>
      </c>
      <c r="N1078" s="102"/>
      <c r="O1078" s="102"/>
      <c r="P1078" s="102"/>
      <c r="Q1078" s="102"/>
      <c r="R1078" s="105"/>
    </row>
    <row r="1079" spans="1:18" s="30" customFormat="1" ht="17.25" customHeight="1">
      <c r="A1079" s="28" t="s">
        <v>295</v>
      </c>
      <c r="B1079" s="59" t="s">
        <v>73</v>
      </c>
      <c r="C1079" s="59" t="s">
        <v>68</v>
      </c>
      <c r="D1079" s="161" t="s">
        <v>628</v>
      </c>
      <c r="E1079" s="59" t="s">
        <v>297</v>
      </c>
      <c r="F1079" s="58">
        <f>F1080</f>
        <v>84</v>
      </c>
      <c r="N1079" s="102"/>
      <c r="O1079" s="102"/>
      <c r="P1079" s="102"/>
      <c r="Q1079" s="102"/>
      <c r="R1079" s="105"/>
    </row>
    <row r="1080" spans="1:18" s="30" customFormat="1" ht="33" customHeight="1">
      <c r="A1080" s="28" t="s">
        <v>548</v>
      </c>
      <c r="B1080" s="59" t="s">
        <v>73</v>
      </c>
      <c r="C1080" s="59" t="s">
        <v>68</v>
      </c>
      <c r="D1080" s="161" t="s">
        <v>628</v>
      </c>
      <c r="E1080" s="59" t="s">
        <v>549</v>
      </c>
      <c r="F1080" s="58">
        <f>'пр.4 вед.стр.'!G1090</f>
        <v>84</v>
      </c>
      <c r="N1080" s="102"/>
      <c r="O1080" s="102"/>
      <c r="P1080" s="102"/>
      <c r="Q1080" s="102"/>
      <c r="R1080" s="105"/>
    </row>
    <row r="1081" spans="1:18" s="30" customFormat="1" ht="17.25" customHeight="1">
      <c r="A1081" s="28" t="s">
        <v>610</v>
      </c>
      <c r="B1081" s="59" t="s">
        <v>73</v>
      </c>
      <c r="C1081" s="59" t="s">
        <v>68</v>
      </c>
      <c r="D1081" s="161" t="s">
        <v>628</v>
      </c>
      <c r="E1081" s="59" t="s">
        <v>104</v>
      </c>
      <c r="F1081" s="58">
        <f>F1082</f>
        <v>156.1</v>
      </c>
      <c r="N1081" s="102"/>
      <c r="O1081" s="102"/>
      <c r="P1081" s="102"/>
      <c r="Q1081" s="102"/>
      <c r="R1081" s="105"/>
    </row>
    <row r="1082" spans="1:18" s="30" customFormat="1" ht="17.25" customHeight="1">
      <c r="A1082" s="28" t="s">
        <v>98</v>
      </c>
      <c r="B1082" s="59" t="s">
        <v>73</v>
      </c>
      <c r="C1082" s="59" t="s">
        <v>68</v>
      </c>
      <c r="D1082" s="161" t="s">
        <v>628</v>
      </c>
      <c r="E1082" s="59" t="s">
        <v>99</v>
      </c>
      <c r="F1082" s="58">
        <f>F1083</f>
        <v>156.1</v>
      </c>
      <c r="N1082" s="102"/>
      <c r="O1082" s="102"/>
      <c r="P1082" s="102"/>
      <c r="Q1082" s="102"/>
      <c r="R1082" s="105"/>
    </row>
    <row r="1083" spans="1:18" s="30" customFormat="1" ht="17.25" customHeight="1">
      <c r="A1083" s="28" t="s">
        <v>100</v>
      </c>
      <c r="B1083" s="59" t="s">
        <v>73</v>
      </c>
      <c r="C1083" s="59" t="s">
        <v>68</v>
      </c>
      <c r="D1083" s="161" t="s">
        <v>628</v>
      </c>
      <c r="E1083" s="59" t="s">
        <v>101</v>
      </c>
      <c r="F1083" s="58">
        <f>'пр.4 вед.стр.'!G1093</f>
        <v>156.1</v>
      </c>
      <c r="N1083" s="102"/>
      <c r="O1083" s="102"/>
      <c r="P1083" s="102"/>
      <c r="Q1083" s="102"/>
      <c r="R1083" s="105"/>
    </row>
    <row r="1084" spans="1:18" s="30" customFormat="1" ht="17.25" customHeight="1">
      <c r="A1084" s="28" t="s">
        <v>360</v>
      </c>
      <c r="B1084" s="59" t="s">
        <v>73</v>
      </c>
      <c r="C1084" s="59" t="s">
        <v>68</v>
      </c>
      <c r="D1084" s="59" t="s">
        <v>215</v>
      </c>
      <c r="E1084" s="59"/>
      <c r="F1084" s="58">
        <f>F1085</f>
        <v>584.7</v>
      </c>
      <c r="N1084" s="102"/>
      <c r="O1084" s="102"/>
      <c r="P1084" s="102"/>
      <c r="Q1084" s="102"/>
      <c r="R1084" s="105"/>
    </row>
    <row r="1085" spans="1:18" s="30" customFormat="1" ht="17.25" customHeight="1">
      <c r="A1085" s="28" t="s">
        <v>361</v>
      </c>
      <c r="B1085" s="59" t="s">
        <v>73</v>
      </c>
      <c r="C1085" s="59" t="s">
        <v>68</v>
      </c>
      <c r="D1085" s="59" t="s">
        <v>358</v>
      </c>
      <c r="E1085" s="59"/>
      <c r="F1085" s="58">
        <f>F1086+F1093</f>
        <v>584.7</v>
      </c>
      <c r="N1085" s="102"/>
      <c r="O1085" s="102"/>
      <c r="P1085" s="102"/>
      <c r="Q1085" s="102"/>
      <c r="R1085" s="105"/>
    </row>
    <row r="1086" spans="1:18" s="30" customFormat="1" ht="41.25" customHeight="1">
      <c r="A1086" s="28" t="s">
        <v>287</v>
      </c>
      <c r="B1086" s="59" t="s">
        <v>73</v>
      </c>
      <c r="C1086" s="59" t="s">
        <v>68</v>
      </c>
      <c r="D1086" s="59" t="s">
        <v>359</v>
      </c>
      <c r="E1086" s="59"/>
      <c r="F1086" s="58">
        <f>F1087</f>
        <v>576.2</v>
      </c>
      <c r="N1086" s="102"/>
      <c r="O1086" s="102"/>
      <c r="P1086" s="102"/>
      <c r="Q1086" s="102"/>
      <c r="R1086" s="105"/>
    </row>
    <row r="1087" spans="1:18" s="30" customFormat="1" ht="42" customHeight="1">
      <c r="A1087" s="28" t="s">
        <v>102</v>
      </c>
      <c r="B1087" s="59" t="s">
        <v>73</v>
      </c>
      <c r="C1087" s="59" t="s">
        <v>68</v>
      </c>
      <c r="D1087" s="59" t="s">
        <v>359</v>
      </c>
      <c r="E1087" s="59" t="s">
        <v>103</v>
      </c>
      <c r="F1087" s="58">
        <f>F1088+F1090</f>
        <v>576.2</v>
      </c>
      <c r="N1087" s="102"/>
      <c r="O1087" s="102"/>
      <c r="P1087" s="102"/>
      <c r="Q1087" s="102"/>
      <c r="R1087" s="105"/>
    </row>
    <row r="1088" spans="1:18" s="30" customFormat="1" ht="17.25" customHeight="1">
      <c r="A1088" s="28" t="s">
        <v>295</v>
      </c>
      <c r="B1088" s="59" t="s">
        <v>73</v>
      </c>
      <c r="C1088" s="59" t="s">
        <v>68</v>
      </c>
      <c r="D1088" s="59" t="s">
        <v>359</v>
      </c>
      <c r="E1088" s="59" t="s">
        <v>297</v>
      </c>
      <c r="F1088" s="58">
        <f>F1089</f>
        <v>502.7</v>
      </c>
      <c r="N1088" s="102"/>
      <c r="O1088" s="102"/>
      <c r="P1088" s="102"/>
      <c r="Q1088" s="102"/>
      <c r="R1088" s="105"/>
    </row>
    <row r="1089" spans="1:18" s="30" customFormat="1" ht="17.25" customHeight="1">
      <c r="A1089" s="28" t="s">
        <v>434</v>
      </c>
      <c r="B1089" s="59" t="s">
        <v>73</v>
      </c>
      <c r="C1089" s="59" t="s">
        <v>68</v>
      </c>
      <c r="D1089" s="59" t="s">
        <v>359</v>
      </c>
      <c r="E1089" s="59" t="s">
        <v>296</v>
      </c>
      <c r="F1089" s="58">
        <f>'пр.4 вед.стр.'!G1099</f>
        <v>502.7</v>
      </c>
      <c r="N1089" s="102"/>
      <c r="O1089" s="102"/>
      <c r="P1089" s="102"/>
      <c r="Q1089" s="102"/>
      <c r="R1089" s="105"/>
    </row>
    <row r="1090" spans="1:18" s="30" customFormat="1" ht="17.25" customHeight="1">
      <c r="A1090" s="28" t="s">
        <v>93</v>
      </c>
      <c r="B1090" s="59" t="s">
        <v>73</v>
      </c>
      <c r="C1090" s="59" t="s">
        <v>68</v>
      </c>
      <c r="D1090" s="59" t="s">
        <v>359</v>
      </c>
      <c r="E1090" s="59" t="s">
        <v>94</v>
      </c>
      <c r="F1090" s="58">
        <f>F1091</f>
        <v>73.5</v>
      </c>
      <c r="N1090" s="102"/>
      <c r="O1090" s="102"/>
      <c r="P1090" s="102"/>
      <c r="Q1090" s="102"/>
      <c r="R1090" s="105"/>
    </row>
    <row r="1091" spans="1:18" s="30" customFormat="1" ht="33" customHeight="1">
      <c r="A1091" s="28" t="s">
        <v>96</v>
      </c>
      <c r="B1091" s="59" t="s">
        <v>73</v>
      </c>
      <c r="C1091" s="59" t="s">
        <v>68</v>
      </c>
      <c r="D1091" s="59" t="s">
        <v>359</v>
      </c>
      <c r="E1091" s="59" t="s">
        <v>97</v>
      </c>
      <c r="F1091" s="58">
        <f>'пр.4 вед.стр.'!G1101</f>
        <v>73.5</v>
      </c>
      <c r="N1091" s="102"/>
      <c r="O1091" s="102"/>
      <c r="P1091" s="102"/>
      <c r="Q1091" s="102"/>
      <c r="R1091" s="105"/>
    </row>
    <row r="1092" spans="1:18" s="30" customFormat="1" ht="17.25" customHeight="1">
      <c r="A1092" s="28" t="s">
        <v>235</v>
      </c>
      <c r="B1092" s="59" t="s">
        <v>73</v>
      </c>
      <c r="C1092" s="59" t="s">
        <v>68</v>
      </c>
      <c r="D1092" s="59" t="s">
        <v>362</v>
      </c>
      <c r="E1092" s="59"/>
      <c r="F1092" s="58">
        <f>F1093</f>
        <v>8.5</v>
      </c>
      <c r="N1092" s="102"/>
      <c r="O1092" s="102"/>
      <c r="P1092" s="102"/>
      <c r="Q1092" s="102"/>
      <c r="R1092" s="105"/>
    </row>
    <row r="1093" spans="1:18" s="30" customFormat="1" ht="42" customHeight="1">
      <c r="A1093" s="28" t="s">
        <v>102</v>
      </c>
      <c r="B1093" s="59" t="s">
        <v>73</v>
      </c>
      <c r="C1093" s="59" t="s">
        <v>68</v>
      </c>
      <c r="D1093" s="59" t="s">
        <v>362</v>
      </c>
      <c r="E1093" s="59" t="s">
        <v>103</v>
      </c>
      <c r="F1093" s="58">
        <f>F1094+F1097</f>
        <v>8.5</v>
      </c>
      <c r="N1093" s="102"/>
      <c r="O1093" s="102"/>
      <c r="P1093" s="102"/>
      <c r="Q1093" s="102"/>
      <c r="R1093" s="105"/>
    </row>
    <row r="1094" spans="1:18" s="30" customFormat="1" ht="17.25" customHeight="1">
      <c r="A1094" s="28" t="s">
        <v>295</v>
      </c>
      <c r="B1094" s="59" t="s">
        <v>73</v>
      </c>
      <c r="C1094" s="59" t="s">
        <v>68</v>
      </c>
      <c r="D1094" s="59" t="s">
        <v>362</v>
      </c>
      <c r="E1094" s="59" t="s">
        <v>297</v>
      </c>
      <c r="F1094" s="58">
        <f>F1095</f>
        <v>0</v>
      </c>
      <c r="N1094" s="102"/>
      <c r="O1094" s="102"/>
      <c r="P1094" s="102"/>
      <c r="Q1094" s="102"/>
      <c r="R1094" s="105"/>
    </row>
    <row r="1095" spans="1:18" s="30" customFormat="1" ht="17.25" customHeight="1">
      <c r="A1095" s="28" t="s">
        <v>434</v>
      </c>
      <c r="B1095" s="59" t="s">
        <v>73</v>
      </c>
      <c r="C1095" s="59" t="s">
        <v>68</v>
      </c>
      <c r="D1095" s="59" t="s">
        <v>362</v>
      </c>
      <c r="E1095" s="59" t="s">
        <v>296</v>
      </c>
      <c r="F1095" s="58">
        <f>'пр.4 вед.стр.'!G1105</f>
        <v>0</v>
      </c>
      <c r="N1095" s="102"/>
      <c r="O1095" s="102"/>
      <c r="P1095" s="102"/>
      <c r="Q1095" s="102"/>
      <c r="R1095" s="105"/>
    </row>
    <row r="1096" spans="1:18" s="30" customFormat="1" ht="17.25" customHeight="1">
      <c r="A1096" s="28" t="s">
        <v>93</v>
      </c>
      <c r="B1096" s="59" t="s">
        <v>73</v>
      </c>
      <c r="C1096" s="59" t="s">
        <v>68</v>
      </c>
      <c r="D1096" s="59" t="s">
        <v>362</v>
      </c>
      <c r="E1096" s="59" t="s">
        <v>94</v>
      </c>
      <c r="F1096" s="58">
        <f>F1097</f>
        <v>8.5</v>
      </c>
      <c r="N1096" s="102"/>
      <c r="O1096" s="102"/>
      <c r="P1096" s="102"/>
      <c r="Q1096" s="102"/>
      <c r="R1096" s="105"/>
    </row>
    <row r="1097" spans="1:18" s="30" customFormat="1" ht="27" customHeight="1">
      <c r="A1097" s="28" t="s">
        <v>96</v>
      </c>
      <c r="B1097" s="59" t="s">
        <v>73</v>
      </c>
      <c r="C1097" s="59" t="s">
        <v>68</v>
      </c>
      <c r="D1097" s="59" t="s">
        <v>362</v>
      </c>
      <c r="E1097" s="59" t="s">
        <v>97</v>
      </c>
      <c r="F1097" s="58">
        <f>'пр.4 вед.стр.'!G1107</f>
        <v>8.5</v>
      </c>
      <c r="N1097" s="102"/>
      <c r="O1097" s="102"/>
      <c r="P1097" s="102"/>
      <c r="Q1097" s="102"/>
      <c r="R1097" s="105"/>
    </row>
    <row r="1098" spans="1:18" s="30" customFormat="1" ht="30.75" customHeight="1">
      <c r="A1098" s="28" t="s">
        <v>416</v>
      </c>
      <c r="B1098" s="59" t="s">
        <v>73</v>
      </c>
      <c r="C1098" s="59" t="s">
        <v>68</v>
      </c>
      <c r="D1098" s="59" t="s">
        <v>214</v>
      </c>
      <c r="E1098" s="59"/>
      <c r="F1098" s="58">
        <f>F1099</f>
        <v>5874.700000000001</v>
      </c>
      <c r="N1098" s="102"/>
      <c r="O1098" s="102"/>
      <c r="P1098" s="102"/>
      <c r="Q1098" s="102"/>
      <c r="R1098" s="105"/>
    </row>
    <row r="1099" spans="1:18" s="30" customFormat="1" ht="17.25" customHeight="1">
      <c r="A1099" s="28" t="s">
        <v>50</v>
      </c>
      <c r="B1099" s="59" t="s">
        <v>73</v>
      </c>
      <c r="C1099" s="59" t="s">
        <v>68</v>
      </c>
      <c r="D1099" s="59" t="s">
        <v>240</v>
      </c>
      <c r="E1099" s="59"/>
      <c r="F1099" s="58">
        <f>F1100+F1106</f>
        <v>5874.700000000001</v>
      </c>
      <c r="N1099" s="102"/>
      <c r="O1099" s="102"/>
      <c r="P1099" s="102"/>
      <c r="Q1099" s="102"/>
      <c r="R1099" s="105"/>
    </row>
    <row r="1100" spans="1:18" s="30" customFormat="1" ht="17.25" customHeight="1">
      <c r="A1100" s="28" t="s">
        <v>236</v>
      </c>
      <c r="B1100" s="59" t="s">
        <v>73</v>
      </c>
      <c r="C1100" s="59" t="s">
        <v>68</v>
      </c>
      <c r="D1100" s="59" t="s">
        <v>241</v>
      </c>
      <c r="E1100" s="59"/>
      <c r="F1100" s="58">
        <f>F1101</f>
        <v>5365.6</v>
      </c>
      <c r="N1100" s="102"/>
      <c r="O1100" s="102"/>
      <c r="P1100" s="102"/>
      <c r="Q1100" s="102"/>
      <c r="R1100" s="105"/>
    </row>
    <row r="1101" spans="1:18" s="30" customFormat="1" ht="42" customHeight="1">
      <c r="A1101" s="28" t="s">
        <v>102</v>
      </c>
      <c r="B1101" s="59" t="s">
        <v>73</v>
      </c>
      <c r="C1101" s="59" t="s">
        <v>68</v>
      </c>
      <c r="D1101" s="59" t="s">
        <v>241</v>
      </c>
      <c r="E1101" s="59" t="s">
        <v>103</v>
      </c>
      <c r="F1101" s="58">
        <f>F1102</f>
        <v>5365.6</v>
      </c>
      <c r="N1101" s="102"/>
      <c r="O1101" s="102"/>
      <c r="P1101" s="102"/>
      <c r="Q1101" s="102"/>
      <c r="R1101" s="105"/>
    </row>
    <row r="1102" spans="1:18" s="30" customFormat="1" ht="17.25" customHeight="1">
      <c r="A1102" s="28" t="s">
        <v>93</v>
      </c>
      <c r="B1102" s="59" t="s">
        <v>73</v>
      </c>
      <c r="C1102" s="59" t="s">
        <v>68</v>
      </c>
      <c r="D1102" s="59" t="s">
        <v>241</v>
      </c>
      <c r="E1102" s="59" t="s">
        <v>94</v>
      </c>
      <c r="F1102" s="58">
        <f>F1103+F1104+F1105</f>
        <v>5365.6</v>
      </c>
      <c r="N1102" s="102"/>
      <c r="O1102" s="102"/>
      <c r="P1102" s="102"/>
      <c r="Q1102" s="102"/>
      <c r="R1102" s="105"/>
    </row>
    <row r="1103" spans="1:18" s="30" customFormat="1" ht="30.75" customHeight="1">
      <c r="A1103" s="28" t="s">
        <v>559</v>
      </c>
      <c r="B1103" s="59" t="s">
        <v>73</v>
      </c>
      <c r="C1103" s="59" t="s">
        <v>68</v>
      </c>
      <c r="D1103" s="59" t="s">
        <v>241</v>
      </c>
      <c r="E1103" s="59" t="s">
        <v>95</v>
      </c>
      <c r="F1103" s="58">
        <f>'пр.4 вед.стр.'!G1113</f>
        <v>4274.2</v>
      </c>
      <c r="N1103" s="102"/>
      <c r="O1103" s="102"/>
      <c r="P1103" s="102"/>
      <c r="Q1103" s="102"/>
      <c r="R1103" s="105"/>
    </row>
    <row r="1104" spans="1:18" s="30" customFormat="1" ht="27" customHeight="1">
      <c r="A1104" s="28" t="s">
        <v>96</v>
      </c>
      <c r="B1104" s="59" t="s">
        <v>73</v>
      </c>
      <c r="C1104" s="59" t="s">
        <v>68</v>
      </c>
      <c r="D1104" s="59" t="s">
        <v>241</v>
      </c>
      <c r="E1104" s="59" t="s">
        <v>97</v>
      </c>
      <c r="F1104" s="58">
        <f>'пр.4 вед.стр.'!G1114</f>
        <v>18</v>
      </c>
      <c r="N1104" s="102"/>
      <c r="O1104" s="102"/>
      <c r="P1104" s="102"/>
      <c r="Q1104" s="102"/>
      <c r="R1104" s="105"/>
    </row>
    <row r="1105" spans="1:18" s="30" customFormat="1" ht="24.75" customHeight="1">
      <c r="A1105" s="28" t="s">
        <v>160</v>
      </c>
      <c r="B1105" s="59" t="s">
        <v>73</v>
      </c>
      <c r="C1105" s="59" t="s">
        <v>68</v>
      </c>
      <c r="D1105" s="59" t="s">
        <v>241</v>
      </c>
      <c r="E1105" s="59" t="s">
        <v>159</v>
      </c>
      <c r="F1105" s="58">
        <f>'пр.4 вед.стр.'!G1115</f>
        <v>1073.4</v>
      </c>
      <c r="N1105" s="102"/>
      <c r="O1105" s="102"/>
      <c r="P1105" s="102"/>
      <c r="Q1105" s="102"/>
      <c r="R1105" s="105"/>
    </row>
    <row r="1106" spans="1:18" s="30" customFormat="1" ht="17.25" customHeight="1">
      <c r="A1106" s="28" t="s">
        <v>237</v>
      </c>
      <c r="B1106" s="59" t="s">
        <v>73</v>
      </c>
      <c r="C1106" s="59" t="s">
        <v>68</v>
      </c>
      <c r="D1106" s="59" t="s">
        <v>242</v>
      </c>
      <c r="E1106" s="59"/>
      <c r="F1106" s="58">
        <f>F1107+F1110</f>
        <v>509.09999999999997</v>
      </c>
      <c r="N1106" s="102"/>
      <c r="O1106" s="102"/>
      <c r="P1106" s="102"/>
      <c r="Q1106" s="102"/>
      <c r="R1106" s="105"/>
    </row>
    <row r="1107" spans="1:18" s="30" customFormat="1" ht="17.25" customHeight="1">
      <c r="A1107" s="28" t="s">
        <v>610</v>
      </c>
      <c r="B1107" s="59" t="s">
        <v>73</v>
      </c>
      <c r="C1107" s="59" t="s">
        <v>68</v>
      </c>
      <c r="D1107" s="59" t="s">
        <v>242</v>
      </c>
      <c r="E1107" s="59" t="s">
        <v>104</v>
      </c>
      <c r="F1107" s="58">
        <f>F1108</f>
        <v>505.29999999999995</v>
      </c>
      <c r="N1107" s="102"/>
      <c r="O1107" s="102"/>
      <c r="P1107" s="102"/>
      <c r="Q1107" s="102"/>
      <c r="R1107" s="105"/>
    </row>
    <row r="1108" spans="1:18" s="30" customFormat="1" ht="17.25" customHeight="1">
      <c r="A1108" s="28" t="s">
        <v>98</v>
      </c>
      <c r="B1108" s="59" t="s">
        <v>73</v>
      </c>
      <c r="C1108" s="59" t="s">
        <v>68</v>
      </c>
      <c r="D1108" s="59" t="s">
        <v>242</v>
      </c>
      <c r="E1108" s="59" t="s">
        <v>99</v>
      </c>
      <c r="F1108" s="58">
        <f>F1109</f>
        <v>505.29999999999995</v>
      </c>
      <c r="N1108" s="102"/>
      <c r="O1108" s="102"/>
      <c r="P1108" s="102"/>
      <c r="Q1108" s="102"/>
      <c r="R1108" s="105"/>
    </row>
    <row r="1109" spans="1:18" s="30" customFormat="1" ht="17.25" customHeight="1">
      <c r="A1109" s="28" t="s">
        <v>100</v>
      </c>
      <c r="B1109" s="59" t="s">
        <v>73</v>
      </c>
      <c r="C1109" s="59" t="s">
        <v>68</v>
      </c>
      <c r="D1109" s="59" t="s">
        <v>242</v>
      </c>
      <c r="E1109" s="59" t="s">
        <v>101</v>
      </c>
      <c r="F1109" s="58">
        <f>'пр.4 вед.стр.'!G1119</f>
        <v>505.29999999999995</v>
      </c>
      <c r="N1109" s="102"/>
      <c r="O1109" s="102"/>
      <c r="P1109" s="102"/>
      <c r="Q1109" s="102"/>
      <c r="R1109" s="105"/>
    </row>
    <row r="1110" spans="1:18" s="30" customFormat="1" ht="17.25" customHeight="1">
      <c r="A1110" s="28" t="s">
        <v>128</v>
      </c>
      <c r="B1110" s="59" t="s">
        <v>73</v>
      </c>
      <c r="C1110" s="59" t="s">
        <v>68</v>
      </c>
      <c r="D1110" s="59" t="s">
        <v>242</v>
      </c>
      <c r="E1110" s="59" t="s">
        <v>129</v>
      </c>
      <c r="F1110" s="58">
        <f>F1111</f>
        <v>3.8</v>
      </c>
      <c r="N1110" s="102"/>
      <c r="O1110" s="102"/>
      <c r="P1110" s="102"/>
      <c r="Q1110" s="102"/>
      <c r="R1110" s="105"/>
    </row>
    <row r="1111" spans="1:18" s="30" customFormat="1" ht="17.25" customHeight="1">
      <c r="A1111" s="28" t="s">
        <v>131</v>
      </c>
      <c r="B1111" s="59" t="s">
        <v>73</v>
      </c>
      <c r="C1111" s="59" t="s">
        <v>68</v>
      </c>
      <c r="D1111" s="59" t="s">
        <v>242</v>
      </c>
      <c r="E1111" s="59" t="s">
        <v>132</v>
      </c>
      <c r="F1111" s="58">
        <f>F1112+F1113</f>
        <v>3.8</v>
      </c>
      <c r="N1111" s="102"/>
      <c r="O1111" s="102"/>
      <c r="P1111" s="102"/>
      <c r="Q1111" s="102"/>
      <c r="R1111" s="105"/>
    </row>
    <row r="1112" spans="1:18" s="30" customFormat="1" ht="17.25" customHeight="1">
      <c r="A1112" s="28" t="s">
        <v>133</v>
      </c>
      <c r="B1112" s="59" t="s">
        <v>73</v>
      </c>
      <c r="C1112" s="59" t="s">
        <v>68</v>
      </c>
      <c r="D1112" s="59" t="s">
        <v>242</v>
      </c>
      <c r="E1112" s="59" t="s">
        <v>134</v>
      </c>
      <c r="F1112" s="58">
        <f>'пр.4 вед.стр.'!G1122</f>
        <v>3.5999999999999996</v>
      </c>
      <c r="N1112" s="102"/>
      <c r="O1112" s="102"/>
      <c r="P1112" s="102"/>
      <c r="Q1112" s="102"/>
      <c r="R1112" s="105"/>
    </row>
    <row r="1113" spans="1:18" s="30" customFormat="1" ht="17.25" customHeight="1">
      <c r="A1113" s="28" t="s">
        <v>161</v>
      </c>
      <c r="B1113" s="59" t="s">
        <v>73</v>
      </c>
      <c r="C1113" s="59" t="s">
        <v>68</v>
      </c>
      <c r="D1113" s="59" t="s">
        <v>242</v>
      </c>
      <c r="E1113" s="59" t="s">
        <v>135</v>
      </c>
      <c r="F1113" s="58">
        <f>'пр.4 вед.стр.'!G1123</f>
        <v>0.19999999999999996</v>
      </c>
      <c r="N1113" s="102"/>
      <c r="O1113" s="102"/>
      <c r="P1113" s="102"/>
      <c r="Q1113" s="102"/>
      <c r="R1113" s="105"/>
    </row>
    <row r="1114" spans="1:18" s="30" customFormat="1" ht="48" customHeight="1">
      <c r="A1114" s="28" t="s">
        <v>294</v>
      </c>
      <c r="B1114" s="59" t="s">
        <v>73</v>
      </c>
      <c r="C1114" s="59" t="s">
        <v>68</v>
      </c>
      <c r="D1114" s="59" t="s">
        <v>229</v>
      </c>
      <c r="E1114" s="59"/>
      <c r="F1114" s="58">
        <f>F1115</f>
        <v>6099.5</v>
      </c>
      <c r="N1114" s="102"/>
      <c r="O1114" s="102"/>
      <c r="P1114" s="102"/>
      <c r="Q1114" s="102"/>
      <c r="R1114" s="105"/>
    </row>
    <row r="1115" spans="1:18" s="30" customFormat="1" ht="31.5" customHeight="1">
      <c r="A1115" s="28" t="s">
        <v>473</v>
      </c>
      <c r="B1115" s="59" t="s">
        <v>73</v>
      </c>
      <c r="C1115" s="59" t="s">
        <v>68</v>
      </c>
      <c r="D1115" s="59" t="s">
        <v>375</v>
      </c>
      <c r="E1115" s="59"/>
      <c r="F1115" s="58">
        <f>F1116</f>
        <v>6099.5</v>
      </c>
      <c r="N1115" s="102"/>
      <c r="O1115" s="102"/>
      <c r="P1115" s="102"/>
      <c r="Q1115" s="102"/>
      <c r="R1115" s="105"/>
    </row>
    <row r="1116" spans="1:18" s="30" customFormat="1" ht="17.25" customHeight="1">
      <c r="A1116" s="28" t="s">
        <v>376</v>
      </c>
      <c r="B1116" s="59" t="s">
        <v>73</v>
      </c>
      <c r="C1116" s="59" t="s">
        <v>68</v>
      </c>
      <c r="D1116" s="59" t="s">
        <v>406</v>
      </c>
      <c r="E1116" s="59"/>
      <c r="F1116" s="58">
        <f>F1117+F1122+F1125</f>
        <v>6099.5</v>
      </c>
      <c r="N1116" s="102"/>
      <c r="O1116" s="102"/>
      <c r="P1116" s="102"/>
      <c r="Q1116" s="102"/>
      <c r="R1116" s="105"/>
    </row>
    <row r="1117" spans="1:18" s="30" customFormat="1" ht="48.75" customHeight="1">
      <c r="A1117" s="28" t="s">
        <v>102</v>
      </c>
      <c r="B1117" s="59" t="s">
        <v>73</v>
      </c>
      <c r="C1117" s="59" t="s">
        <v>68</v>
      </c>
      <c r="D1117" s="59" t="s">
        <v>406</v>
      </c>
      <c r="E1117" s="59" t="s">
        <v>103</v>
      </c>
      <c r="F1117" s="58">
        <f>F1118</f>
        <v>5409.5</v>
      </c>
      <c r="N1117" s="102"/>
      <c r="O1117" s="102"/>
      <c r="P1117" s="102"/>
      <c r="Q1117" s="102"/>
      <c r="R1117" s="105"/>
    </row>
    <row r="1118" spans="1:18" s="30" customFormat="1" ht="17.25" customHeight="1">
      <c r="A1118" s="28" t="s">
        <v>295</v>
      </c>
      <c r="B1118" s="59" t="s">
        <v>73</v>
      </c>
      <c r="C1118" s="59" t="s">
        <v>68</v>
      </c>
      <c r="D1118" s="59" t="s">
        <v>406</v>
      </c>
      <c r="E1118" s="59" t="s">
        <v>297</v>
      </c>
      <c r="F1118" s="58">
        <f>F1119+F1120+F1121</f>
        <v>5409.5</v>
      </c>
      <c r="N1118" s="102"/>
      <c r="O1118" s="102"/>
      <c r="P1118" s="102"/>
      <c r="Q1118" s="102"/>
      <c r="R1118" s="105"/>
    </row>
    <row r="1119" spans="1:18" s="30" customFormat="1" ht="17.25" customHeight="1">
      <c r="A1119" s="28" t="s">
        <v>545</v>
      </c>
      <c r="B1119" s="59" t="s">
        <v>73</v>
      </c>
      <c r="C1119" s="59" t="s">
        <v>68</v>
      </c>
      <c r="D1119" s="59" t="s">
        <v>406</v>
      </c>
      <c r="E1119" s="59" t="s">
        <v>298</v>
      </c>
      <c r="F1119" s="58">
        <f>'пр.4 вед.стр.'!G1129</f>
        <v>4155</v>
      </c>
      <c r="N1119" s="102"/>
      <c r="O1119" s="102"/>
      <c r="P1119" s="102"/>
      <c r="Q1119" s="102"/>
      <c r="R1119" s="105"/>
    </row>
    <row r="1120" spans="1:18" s="30" customFormat="1" ht="17.25" customHeight="1">
      <c r="A1120" s="28" t="s">
        <v>434</v>
      </c>
      <c r="B1120" s="59" t="s">
        <v>73</v>
      </c>
      <c r="C1120" s="59" t="s">
        <v>68</v>
      </c>
      <c r="D1120" s="59" t="s">
        <v>406</v>
      </c>
      <c r="E1120" s="59" t="s">
        <v>296</v>
      </c>
      <c r="F1120" s="58">
        <f>'пр.4 вед.стр.'!G1130</f>
        <v>0</v>
      </c>
      <c r="N1120" s="102"/>
      <c r="O1120" s="102"/>
      <c r="P1120" s="102"/>
      <c r="Q1120" s="102"/>
      <c r="R1120" s="105"/>
    </row>
    <row r="1121" spans="1:18" s="30" customFormat="1" ht="30" customHeight="1">
      <c r="A1121" s="28" t="s">
        <v>438</v>
      </c>
      <c r="B1121" s="59" t="s">
        <v>73</v>
      </c>
      <c r="C1121" s="59" t="s">
        <v>68</v>
      </c>
      <c r="D1121" s="59" t="s">
        <v>406</v>
      </c>
      <c r="E1121" s="59" t="s">
        <v>299</v>
      </c>
      <c r="F1121" s="58">
        <f>'пр.4 вед.стр.'!G1131</f>
        <v>1254.5</v>
      </c>
      <c r="N1121" s="102"/>
      <c r="O1121" s="102"/>
      <c r="P1121" s="102"/>
      <c r="Q1121" s="102"/>
      <c r="R1121" s="105"/>
    </row>
    <row r="1122" spans="1:18" s="30" customFormat="1" ht="17.25" customHeight="1">
      <c r="A1122" s="28" t="s">
        <v>610</v>
      </c>
      <c r="B1122" s="59" t="s">
        <v>73</v>
      </c>
      <c r="C1122" s="59" t="s">
        <v>68</v>
      </c>
      <c r="D1122" s="59" t="s">
        <v>406</v>
      </c>
      <c r="E1122" s="59" t="s">
        <v>104</v>
      </c>
      <c r="F1122" s="58">
        <f>F1123</f>
        <v>688.2</v>
      </c>
      <c r="N1122" s="102"/>
      <c r="O1122" s="102"/>
      <c r="P1122" s="102"/>
      <c r="Q1122" s="102"/>
      <c r="R1122" s="105"/>
    </row>
    <row r="1123" spans="1:18" s="30" customFormat="1" ht="17.25" customHeight="1">
      <c r="A1123" s="28" t="s">
        <v>98</v>
      </c>
      <c r="B1123" s="59" t="s">
        <v>73</v>
      </c>
      <c r="C1123" s="59" t="s">
        <v>68</v>
      </c>
      <c r="D1123" s="59" t="s">
        <v>406</v>
      </c>
      <c r="E1123" s="59" t="s">
        <v>99</v>
      </c>
      <c r="F1123" s="58">
        <f>F1124</f>
        <v>688.2</v>
      </c>
      <c r="N1123" s="102"/>
      <c r="O1123" s="102"/>
      <c r="P1123" s="102"/>
      <c r="Q1123" s="102"/>
      <c r="R1123" s="105"/>
    </row>
    <row r="1124" spans="1:18" s="30" customFormat="1" ht="17.25" customHeight="1">
      <c r="A1124" s="28" t="s">
        <v>100</v>
      </c>
      <c r="B1124" s="59" t="s">
        <v>73</v>
      </c>
      <c r="C1124" s="59" t="s">
        <v>68</v>
      </c>
      <c r="D1124" s="59" t="s">
        <v>406</v>
      </c>
      <c r="E1124" s="59" t="s">
        <v>101</v>
      </c>
      <c r="F1124" s="58">
        <f>'пр.4 вед.стр.'!G1134</f>
        <v>688.2</v>
      </c>
      <c r="N1124" s="102"/>
      <c r="O1124" s="102"/>
      <c r="P1124" s="102"/>
      <c r="Q1124" s="102"/>
      <c r="R1124" s="105"/>
    </row>
    <row r="1125" spans="1:18" s="30" customFormat="1" ht="17.25" customHeight="1">
      <c r="A1125" s="28" t="s">
        <v>128</v>
      </c>
      <c r="B1125" s="59" t="s">
        <v>73</v>
      </c>
      <c r="C1125" s="59" t="s">
        <v>68</v>
      </c>
      <c r="D1125" s="59" t="s">
        <v>406</v>
      </c>
      <c r="E1125" s="59" t="s">
        <v>129</v>
      </c>
      <c r="F1125" s="58">
        <f>F1126</f>
        <v>1.8000000000000007</v>
      </c>
      <c r="N1125" s="102"/>
      <c r="O1125" s="102"/>
      <c r="P1125" s="102"/>
      <c r="Q1125" s="102"/>
      <c r="R1125" s="105"/>
    </row>
    <row r="1126" spans="1:18" s="30" customFormat="1" ht="17.25" customHeight="1">
      <c r="A1126" s="28" t="s">
        <v>131</v>
      </c>
      <c r="B1126" s="59" t="s">
        <v>73</v>
      </c>
      <c r="C1126" s="59" t="s">
        <v>68</v>
      </c>
      <c r="D1126" s="59" t="s">
        <v>406</v>
      </c>
      <c r="E1126" s="59" t="s">
        <v>132</v>
      </c>
      <c r="F1126" s="58">
        <f>F1127</f>
        <v>1.8000000000000007</v>
      </c>
      <c r="N1126" s="102"/>
      <c r="O1126" s="102"/>
      <c r="P1126" s="102"/>
      <c r="Q1126" s="102"/>
      <c r="R1126" s="105"/>
    </row>
    <row r="1127" spans="1:18" s="30" customFormat="1" ht="17.25" customHeight="1">
      <c r="A1127" s="28" t="s">
        <v>133</v>
      </c>
      <c r="B1127" s="59" t="s">
        <v>73</v>
      </c>
      <c r="C1127" s="59" t="s">
        <v>68</v>
      </c>
      <c r="D1127" s="59" t="s">
        <v>406</v>
      </c>
      <c r="E1127" s="59" t="s">
        <v>134</v>
      </c>
      <c r="F1127" s="58">
        <f>'пр.4 вед.стр.'!G1137</f>
        <v>1.8000000000000007</v>
      </c>
      <c r="N1127" s="102"/>
      <c r="O1127" s="102"/>
      <c r="P1127" s="102"/>
      <c r="Q1127" s="102"/>
      <c r="R1127" s="105"/>
    </row>
    <row r="1128" spans="1:18" s="30" customFormat="1" ht="12.75">
      <c r="A1128" s="61" t="s">
        <v>62</v>
      </c>
      <c r="B1128" s="63" t="s">
        <v>71</v>
      </c>
      <c r="C1128" s="63" t="s">
        <v>36</v>
      </c>
      <c r="D1128" s="59"/>
      <c r="E1128" s="59"/>
      <c r="F1128" s="64">
        <f>F1129+F1135+F1157+F1164</f>
        <v>9124.470000000001</v>
      </c>
      <c r="N1128" s="102"/>
      <c r="O1128" s="102"/>
      <c r="P1128" s="102"/>
      <c r="Q1128" s="102"/>
      <c r="R1128" s="105"/>
    </row>
    <row r="1129" spans="1:18" s="30" customFormat="1" ht="12.75">
      <c r="A1129" s="61" t="s">
        <v>58</v>
      </c>
      <c r="B1129" s="63" t="s">
        <v>71</v>
      </c>
      <c r="C1129" s="63" t="s">
        <v>66</v>
      </c>
      <c r="D1129" s="59"/>
      <c r="E1129" s="59"/>
      <c r="F1129" s="64">
        <f>F1130</f>
        <v>3569</v>
      </c>
      <c r="N1129" s="102"/>
      <c r="O1129" s="102"/>
      <c r="P1129" s="102"/>
      <c r="Q1129" s="102"/>
      <c r="R1129" s="105"/>
    </row>
    <row r="1130" spans="1:6" ht="12.75">
      <c r="A1130" s="28" t="s">
        <v>18</v>
      </c>
      <c r="B1130" s="59" t="s">
        <v>71</v>
      </c>
      <c r="C1130" s="59" t="s">
        <v>66</v>
      </c>
      <c r="D1130" s="59" t="s">
        <v>216</v>
      </c>
      <c r="E1130" s="59"/>
      <c r="F1130" s="58">
        <f>F1131</f>
        <v>3569</v>
      </c>
    </row>
    <row r="1131" spans="1:18" s="30" customFormat="1" ht="12.75">
      <c r="A1131" s="28" t="s">
        <v>398</v>
      </c>
      <c r="B1131" s="59" t="s">
        <v>71</v>
      </c>
      <c r="C1131" s="59" t="s">
        <v>66</v>
      </c>
      <c r="D1131" s="59" t="s">
        <v>401</v>
      </c>
      <c r="E1131" s="59"/>
      <c r="F1131" s="58">
        <f>F1132</f>
        <v>3569</v>
      </c>
      <c r="N1131" s="102"/>
      <c r="O1131" s="102"/>
      <c r="P1131" s="102"/>
      <c r="Q1131" s="102"/>
      <c r="R1131" s="105"/>
    </row>
    <row r="1132" spans="1:18" s="30" customFormat="1" ht="12.75">
      <c r="A1132" s="28" t="s">
        <v>117</v>
      </c>
      <c r="B1132" s="59" t="s">
        <v>71</v>
      </c>
      <c r="C1132" s="59" t="s">
        <v>66</v>
      </c>
      <c r="D1132" s="59" t="s">
        <v>401</v>
      </c>
      <c r="E1132" s="59" t="s">
        <v>118</v>
      </c>
      <c r="F1132" s="58">
        <f>F1133</f>
        <v>3569</v>
      </c>
      <c r="N1132" s="102"/>
      <c r="O1132" s="102"/>
      <c r="P1132" s="102"/>
      <c r="Q1132" s="102"/>
      <c r="R1132" s="105"/>
    </row>
    <row r="1133" spans="1:18" s="30" customFormat="1" ht="12.75">
      <c r="A1133" s="28" t="s">
        <v>119</v>
      </c>
      <c r="B1133" s="59" t="s">
        <v>71</v>
      </c>
      <c r="C1133" s="59" t="s">
        <v>66</v>
      </c>
      <c r="D1133" s="59" t="s">
        <v>401</v>
      </c>
      <c r="E1133" s="59" t="s">
        <v>120</v>
      </c>
      <c r="F1133" s="58">
        <f>F1134</f>
        <v>3569</v>
      </c>
      <c r="N1133" s="102"/>
      <c r="O1133" s="102"/>
      <c r="P1133" s="102"/>
      <c r="Q1133" s="102"/>
      <c r="R1133" s="105"/>
    </row>
    <row r="1134" spans="1:18" s="30" customFormat="1" ht="12.75">
      <c r="A1134" s="28" t="s">
        <v>121</v>
      </c>
      <c r="B1134" s="59" t="s">
        <v>71</v>
      </c>
      <c r="C1134" s="59" t="s">
        <v>66</v>
      </c>
      <c r="D1134" s="59" t="s">
        <v>401</v>
      </c>
      <c r="E1134" s="59" t="s">
        <v>122</v>
      </c>
      <c r="F1134" s="58">
        <f>'пр.4 вед.стр.'!G246</f>
        <v>3569</v>
      </c>
      <c r="N1134" s="102"/>
      <c r="O1134" s="102"/>
      <c r="P1134" s="102"/>
      <c r="Q1134" s="102"/>
      <c r="R1134" s="105"/>
    </row>
    <row r="1135" spans="1:6" ht="12.75">
      <c r="A1135" s="156" t="s">
        <v>61</v>
      </c>
      <c r="B1135" s="62" t="s">
        <v>71</v>
      </c>
      <c r="C1135" s="62" t="s">
        <v>70</v>
      </c>
      <c r="D1135" s="60"/>
      <c r="E1135" s="60"/>
      <c r="F1135" s="142">
        <f>F1136+F1147</f>
        <v>2031.5</v>
      </c>
    </row>
    <row r="1136" spans="1:6" ht="25.5">
      <c r="A1136" s="28" t="s">
        <v>449</v>
      </c>
      <c r="B1136" s="59" t="s">
        <v>71</v>
      </c>
      <c r="C1136" s="59" t="s">
        <v>70</v>
      </c>
      <c r="D1136" s="59" t="s">
        <v>450</v>
      </c>
      <c r="E1136" s="59"/>
      <c r="F1136" s="58">
        <f>F1137</f>
        <v>695.2</v>
      </c>
    </row>
    <row r="1137" spans="1:6" ht="12.75">
      <c r="A1137" s="126" t="s">
        <v>451</v>
      </c>
      <c r="B1137" s="59" t="s">
        <v>71</v>
      </c>
      <c r="C1137" s="59" t="s">
        <v>70</v>
      </c>
      <c r="D1137" s="59" t="s">
        <v>452</v>
      </c>
      <c r="E1137" s="59"/>
      <c r="F1137" s="58">
        <f>F1138+F1144+F1141</f>
        <v>695.2</v>
      </c>
    </row>
    <row r="1138" spans="1:6" ht="12.75">
      <c r="A1138" s="126" t="s">
        <v>168</v>
      </c>
      <c r="B1138" s="59" t="s">
        <v>71</v>
      </c>
      <c r="C1138" s="59" t="s">
        <v>70</v>
      </c>
      <c r="D1138" s="59" t="s">
        <v>453</v>
      </c>
      <c r="E1138" s="59"/>
      <c r="F1138" s="143">
        <f>F1139</f>
        <v>610.3000000000001</v>
      </c>
    </row>
    <row r="1139" spans="1:6" ht="12.75">
      <c r="A1139" s="28" t="s">
        <v>117</v>
      </c>
      <c r="B1139" s="59" t="s">
        <v>71</v>
      </c>
      <c r="C1139" s="59" t="s">
        <v>70</v>
      </c>
      <c r="D1139" s="59" t="s">
        <v>453</v>
      </c>
      <c r="E1139" s="59" t="s">
        <v>118</v>
      </c>
      <c r="F1139" s="143">
        <f>F1140</f>
        <v>610.3000000000001</v>
      </c>
    </row>
    <row r="1140" spans="1:6" ht="12.75">
      <c r="A1140" s="28" t="s">
        <v>123</v>
      </c>
      <c r="B1140" s="59" t="s">
        <v>71</v>
      </c>
      <c r="C1140" s="59" t="s">
        <v>70</v>
      </c>
      <c r="D1140" s="59" t="s">
        <v>453</v>
      </c>
      <c r="E1140" s="59" t="s">
        <v>124</v>
      </c>
      <c r="F1140" s="143">
        <f>'пр.4 вед.стр.'!G252</f>
        <v>610.3000000000001</v>
      </c>
    </row>
    <row r="1141" spans="1:6" ht="12.75">
      <c r="A1141" s="126" t="s">
        <v>454</v>
      </c>
      <c r="B1141" s="59" t="s">
        <v>71</v>
      </c>
      <c r="C1141" s="59" t="s">
        <v>70</v>
      </c>
      <c r="D1141" s="59" t="s">
        <v>455</v>
      </c>
      <c r="E1141" s="59"/>
      <c r="F1141" s="143">
        <f>F1142</f>
        <v>5.2</v>
      </c>
    </row>
    <row r="1142" spans="1:6" ht="12.75">
      <c r="A1142" s="28" t="s">
        <v>117</v>
      </c>
      <c r="B1142" s="59" t="s">
        <v>71</v>
      </c>
      <c r="C1142" s="59" t="s">
        <v>70</v>
      </c>
      <c r="D1142" s="59" t="s">
        <v>455</v>
      </c>
      <c r="E1142" s="59" t="s">
        <v>118</v>
      </c>
      <c r="F1142" s="143">
        <f>F1143</f>
        <v>5.2</v>
      </c>
    </row>
    <row r="1143" spans="1:6" ht="12.75">
      <c r="A1143" s="28" t="s">
        <v>123</v>
      </c>
      <c r="B1143" s="59" t="s">
        <v>71</v>
      </c>
      <c r="C1143" s="59" t="s">
        <v>70</v>
      </c>
      <c r="D1143" s="59" t="s">
        <v>455</v>
      </c>
      <c r="E1143" s="59" t="s">
        <v>124</v>
      </c>
      <c r="F1143" s="143">
        <f>'пр.4 вед.стр.'!G255</f>
        <v>5.2</v>
      </c>
    </row>
    <row r="1144" spans="1:6" ht="12.75">
      <c r="A1144" s="126" t="s">
        <v>456</v>
      </c>
      <c r="B1144" s="59" t="s">
        <v>71</v>
      </c>
      <c r="C1144" s="59" t="s">
        <v>70</v>
      </c>
      <c r="D1144" s="59" t="s">
        <v>457</v>
      </c>
      <c r="E1144" s="59"/>
      <c r="F1144" s="143">
        <f>F1145</f>
        <v>79.69999999999999</v>
      </c>
    </row>
    <row r="1145" spans="1:6" ht="12.75">
      <c r="A1145" s="28" t="s">
        <v>117</v>
      </c>
      <c r="B1145" s="59" t="s">
        <v>71</v>
      </c>
      <c r="C1145" s="59" t="s">
        <v>70</v>
      </c>
      <c r="D1145" s="59" t="s">
        <v>457</v>
      </c>
      <c r="E1145" s="59" t="s">
        <v>118</v>
      </c>
      <c r="F1145" s="143">
        <f>F1146</f>
        <v>79.69999999999999</v>
      </c>
    </row>
    <row r="1146" spans="1:6" ht="12.75">
      <c r="A1146" s="28" t="s">
        <v>123</v>
      </c>
      <c r="B1146" s="59" t="s">
        <v>71</v>
      </c>
      <c r="C1146" s="59" t="s">
        <v>70</v>
      </c>
      <c r="D1146" s="59" t="s">
        <v>457</v>
      </c>
      <c r="E1146" s="59" t="s">
        <v>124</v>
      </c>
      <c r="F1146" s="143">
        <f>'пр.4 вед.стр.'!G258</f>
        <v>79.69999999999999</v>
      </c>
    </row>
    <row r="1147" spans="1:6" ht="25.5">
      <c r="A1147" s="126" t="s">
        <v>560</v>
      </c>
      <c r="B1147" s="59" t="s">
        <v>71</v>
      </c>
      <c r="C1147" s="59" t="s">
        <v>70</v>
      </c>
      <c r="D1147" s="161" t="s">
        <v>203</v>
      </c>
      <c r="E1147" s="59"/>
      <c r="F1147" s="58">
        <f>F1148</f>
        <v>1336.3</v>
      </c>
    </row>
    <row r="1148" spans="1:6" ht="12.75">
      <c r="A1148" s="126" t="s">
        <v>260</v>
      </c>
      <c r="B1148" s="59" t="s">
        <v>71</v>
      </c>
      <c r="C1148" s="59" t="s">
        <v>70</v>
      </c>
      <c r="D1148" s="161" t="s">
        <v>351</v>
      </c>
      <c r="E1148" s="59"/>
      <c r="F1148" s="58">
        <f>F1153+F1149</f>
        <v>1336.3</v>
      </c>
    </row>
    <row r="1149" spans="1:6" ht="12.75">
      <c r="A1149" s="126" t="str">
        <f>'МП пр.5'!A395</f>
        <v>Социальная выплата на приобретение (строительство) жилья молодым семьям</v>
      </c>
      <c r="B1149" s="59" t="s">
        <v>71</v>
      </c>
      <c r="C1149" s="59" t="s">
        <v>70</v>
      </c>
      <c r="D1149" s="161" t="s">
        <v>801</v>
      </c>
      <c r="E1149" s="59"/>
      <c r="F1149" s="58">
        <f>F1150</f>
        <v>1131.8</v>
      </c>
    </row>
    <row r="1150" spans="1:6" ht="12.75">
      <c r="A1150" s="28" t="s">
        <v>117</v>
      </c>
      <c r="B1150" s="59" t="s">
        <v>71</v>
      </c>
      <c r="C1150" s="59" t="s">
        <v>70</v>
      </c>
      <c r="D1150" s="161" t="s">
        <v>801</v>
      </c>
      <c r="E1150" s="59" t="s">
        <v>118</v>
      </c>
      <c r="F1150" s="58">
        <f>F1152</f>
        <v>1131.8</v>
      </c>
    </row>
    <row r="1151" spans="1:6" ht="12.75">
      <c r="A1151" s="28" t="s">
        <v>137</v>
      </c>
      <c r="B1151" s="59" t="s">
        <v>71</v>
      </c>
      <c r="C1151" s="59" t="s">
        <v>70</v>
      </c>
      <c r="D1151" s="161" t="s">
        <v>801</v>
      </c>
      <c r="E1151" s="59" t="s">
        <v>136</v>
      </c>
      <c r="F1151" s="58">
        <f>F1152</f>
        <v>1131.8</v>
      </c>
    </row>
    <row r="1152" spans="1:6" ht="12.75">
      <c r="A1152" s="28" t="s">
        <v>562</v>
      </c>
      <c r="B1152" s="59" t="s">
        <v>71</v>
      </c>
      <c r="C1152" s="59" t="s">
        <v>70</v>
      </c>
      <c r="D1152" s="161" t="s">
        <v>801</v>
      </c>
      <c r="E1152" s="59" t="s">
        <v>563</v>
      </c>
      <c r="F1152" s="58">
        <f>'МП пр.5'!G395</f>
        <v>1131.8</v>
      </c>
    </row>
    <row r="1153" spans="1:6" ht="25.5">
      <c r="A1153" s="126" t="str">
        <f>'МП пр.5'!A403</f>
        <v>Социальная выплата на приобретение (строительство) жилья молодым семьям за счет средств местного бюджета</v>
      </c>
      <c r="B1153" s="59" t="s">
        <v>71</v>
      </c>
      <c r="C1153" s="59" t="s">
        <v>70</v>
      </c>
      <c r="D1153" s="161" t="s">
        <v>561</v>
      </c>
      <c r="E1153" s="59"/>
      <c r="F1153" s="58">
        <f>F1154</f>
        <v>204.5</v>
      </c>
    </row>
    <row r="1154" spans="1:6" ht="12.75">
      <c r="A1154" s="28" t="s">
        <v>117</v>
      </c>
      <c r="B1154" s="59" t="s">
        <v>71</v>
      </c>
      <c r="C1154" s="59" t="s">
        <v>70</v>
      </c>
      <c r="D1154" s="161" t="s">
        <v>561</v>
      </c>
      <c r="E1154" s="59" t="s">
        <v>118</v>
      </c>
      <c r="F1154" s="58">
        <f>F1155</f>
        <v>204.5</v>
      </c>
    </row>
    <row r="1155" spans="1:6" ht="12.75">
      <c r="A1155" s="28" t="s">
        <v>137</v>
      </c>
      <c r="B1155" s="59" t="s">
        <v>71</v>
      </c>
      <c r="C1155" s="59" t="s">
        <v>70</v>
      </c>
      <c r="D1155" s="161" t="s">
        <v>561</v>
      </c>
      <c r="E1155" s="59" t="s">
        <v>136</v>
      </c>
      <c r="F1155" s="58">
        <f>F1156</f>
        <v>204.5</v>
      </c>
    </row>
    <row r="1156" spans="1:6" ht="12.75">
      <c r="A1156" s="28" t="s">
        <v>562</v>
      </c>
      <c r="B1156" s="59" t="s">
        <v>71</v>
      </c>
      <c r="C1156" s="59" t="s">
        <v>70</v>
      </c>
      <c r="D1156" s="161" t="s">
        <v>561</v>
      </c>
      <c r="E1156" s="59" t="s">
        <v>563</v>
      </c>
      <c r="F1156" s="58">
        <f>'пр.4 вед.стр.'!G1149</f>
        <v>204.5</v>
      </c>
    </row>
    <row r="1157" spans="1:6" ht="12.75">
      <c r="A1157" s="61" t="s">
        <v>491</v>
      </c>
      <c r="B1157" s="63" t="s">
        <v>71</v>
      </c>
      <c r="C1157" s="63" t="s">
        <v>68</v>
      </c>
      <c r="D1157" s="63"/>
      <c r="E1157" s="63"/>
      <c r="F1157" s="64">
        <f aca="true" t="shared" si="0" ref="F1157:F1162">F1158</f>
        <v>454.00000000000006</v>
      </c>
    </row>
    <row r="1158" spans="1:6" ht="25.5">
      <c r="A1158" s="28" t="s">
        <v>449</v>
      </c>
      <c r="B1158" s="59" t="s">
        <v>71</v>
      </c>
      <c r="C1158" s="59" t="s">
        <v>68</v>
      </c>
      <c r="D1158" s="149" t="s">
        <v>450</v>
      </c>
      <c r="E1158" s="59"/>
      <c r="F1158" s="58">
        <f t="shared" si="0"/>
        <v>454.00000000000006</v>
      </c>
    </row>
    <row r="1159" spans="1:6" ht="24.75" customHeight="1">
      <c r="A1159" s="158" t="s">
        <v>492</v>
      </c>
      <c r="B1159" s="59" t="s">
        <v>71</v>
      </c>
      <c r="C1159" s="59" t="s">
        <v>68</v>
      </c>
      <c r="D1159" s="149" t="str">
        <f>'пр.4 вед.стр.'!E467</f>
        <v>7G 0 05 00000</v>
      </c>
      <c r="E1159" s="59"/>
      <c r="F1159" s="58">
        <f t="shared" si="0"/>
        <v>454.00000000000006</v>
      </c>
    </row>
    <row r="1160" spans="1:6" ht="42" customHeight="1">
      <c r="A1160" s="28" t="s">
        <v>494</v>
      </c>
      <c r="B1160" s="59" t="s">
        <v>71</v>
      </c>
      <c r="C1160" s="59" t="s">
        <v>68</v>
      </c>
      <c r="D1160" s="149" t="str">
        <f>'пр.4 вед.стр.'!E468</f>
        <v>7G 0 05 R0820</v>
      </c>
      <c r="E1160" s="59"/>
      <c r="F1160" s="58">
        <f t="shared" si="0"/>
        <v>454.00000000000006</v>
      </c>
    </row>
    <row r="1161" spans="1:6" ht="12.75">
      <c r="A1161" s="28" t="s">
        <v>495</v>
      </c>
      <c r="B1161" s="59" t="s">
        <v>71</v>
      </c>
      <c r="C1161" s="59" t="s">
        <v>68</v>
      </c>
      <c r="D1161" s="149" t="str">
        <f>'пр.4 вед.стр.'!E469</f>
        <v>7G 0 05 R0820</v>
      </c>
      <c r="E1161" s="59" t="s">
        <v>496</v>
      </c>
      <c r="F1161" s="58">
        <f t="shared" si="0"/>
        <v>454.00000000000006</v>
      </c>
    </row>
    <row r="1162" spans="1:6" ht="12.75">
      <c r="A1162" s="28" t="s">
        <v>497</v>
      </c>
      <c r="B1162" s="59" t="s">
        <v>71</v>
      </c>
      <c r="C1162" s="59" t="s">
        <v>68</v>
      </c>
      <c r="D1162" s="149" t="str">
        <f>'пр.4 вед.стр.'!E470</f>
        <v>7G 0 05 R0820</v>
      </c>
      <c r="E1162" s="59" t="s">
        <v>498</v>
      </c>
      <c r="F1162" s="58">
        <f t="shared" si="0"/>
        <v>454.00000000000006</v>
      </c>
    </row>
    <row r="1163" spans="1:6" ht="25.5">
      <c r="A1163" s="28" t="s">
        <v>499</v>
      </c>
      <c r="B1163" s="59" t="s">
        <v>71</v>
      </c>
      <c r="C1163" s="59" t="s">
        <v>68</v>
      </c>
      <c r="D1163" s="149" t="str">
        <f>'пр.4 вед.стр.'!E471</f>
        <v>7G 0 05 R0820</v>
      </c>
      <c r="E1163" s="59" t="s">
        <v>500</v>
      </c>
      <c r="F1163" s="58">
        <f>'пр.4 вед.стр.'!G471</f>
        <v>454.00000000000006</v>
      </c>
    </row>
    <row r="1164" spans="1:6" ht="12.75">
      <c r="A1164" s="61" t="s">
        <v>152</v>
      </c>
      <c r="B1164" s="63" t="s">
        <v>71</v>
      </c>
      <c r="C1164" s="63" t="s">
        <v>76</v>
      </c>
      <c r="D1164" s="63"/>
      <c r="E1164" s="63"/>
      <c r="F1164" s="142">
        <f>F1165+F1176</f>
        <v>3069.9700000000003</v>
      </c>
    </row>
    <row r="1165" spans="1:6" ht="12.75">
      <c r="A1165" s="126" t="s">
        <v>444</v>
      </c>
      <c r="B1165" s="59" t="s">
        <v>71</v>
      </c>
      <c r="C1165" s="59" t="s">
        <v>76</v>
      </c>
      <c r="D1165" s="59" t="s">
        <v>445</v>
      </c>
      <c r="E1165" s="59"/>
      <c r="F1165" s="58">
        <f>F1166</f>
        <v>2319.17</v>
      </c>
    </row>
    <row r="1166" spans="1:6" ht="30.75" customHeight="1">
      <c r="A1166" s="28" t="s">
        <v>446</v>
      </c>
      <c r="B1166" s="59" t="s">
        <v>71</v>
      </c>
      <c r="C1166" s="59" t="s">
        <v>76</v>
      </c>
      <c r="D1166" s="59" t="s">
        <v>502</v>
      </c>
      <c r="E1166" s="59"/>
      <c r="F1166" s="58">
        <f>F1167</f>
        <v>2319.17</v>
      </c>
    </row>
    <row r="1167" spans="1:6" ht="30" customHeight="1">
      <c r="A1167" s="28" t="s">
        <v>458</v>
      </c>
      <c r="B1167" s="59" t="s">
        <v>71</v>
      </c>
      <c r="C1167" s="59" t="s">
        <v>76</v>
      </c>
      <c r="D1167" s="59" t="s">
        <v>622</v>
      </c>
      <c r="E1167" s="59"/>
      <c r="F1167" s="58">
        <f>F1168+F1173</f>
        <v>2319.17</v>
      </c>
    </row>
    <row r="1168" spans="1:18" s="30" customFormat="1" ht="38.25">
      <c r="A1168" s="28" t="s">
        <v>102</v>
      </c>
      <c r="B1168" s="59" t="s">
        <v>71</v>
      </c>
      <c r="C1168" s="59" t="s">
        <v>76</v>
      </c>
      <c r="D1168" s="59" t="s">
        <v>622</v>
      </c>
      <c r="E1168" s="59" t="s">
        <v>103</v>
      </c>
      <c r="F1168" s="58">
        <f>F1169</f>
        <v>2122.4700000000003</v>
      </c>
      <c r="N1168" s="102"/>
      <c r="O1168" s="102"/>
      <c r="P1168" s="102"/>
      <c r="Q1168" s="102"/>
      <c r="R1168" s="105"/>
    </row>
    <row r="1169" spans="1:6" ht="12.75">
      <c r="A1169" s="28" t="s">
        <v>93</v>
      </c>
      <c r="B1169" s="59" t="s">
        <v>71</v>
      </c>
      <c r="C1169" s="59" t="s">
        <v>76</v>
      </c>
      <c r="D1169" s="59" t="s">
        <v>622</v>
      </c>
      <c r="E1169" s="59" t="s">
        <v>94</v>
      </c>
      <c r="F1169" s="58">
        <f>F1170+F1171+F1172</f>
        <v>2122.4700000000003</v>
      </c>
    </row>
    <row r="1170" spans="1:18" s="30" customFormat="1" ht="12.75">
      <c r="A1170" s="28" t="s">
        <v>158</v>
      </c>
      <c r="B1170" s="59" t="s">
        <v>71</v>
      </c>
      <c r="C1170" s="59" t="s">
        <v>76</v>
      </c>
      <c r="D1170" s="59" t="s">
        <v>622</v>
      </c>
      <c r="E1170" s="59" t="s">
        <v>95</v>
      </c>
      <c r="F1170" s="58">
        <f>'пр.4 вед.стр.'!G265</f>
        <v>1537</v>
      </c>
      <c r="N1170" s="102"/>
      <c r="O1170" s="102"/>
      <c r="P1170" s="102"/>
      <c r="Q1170" s="102"/>
      <c r="R1170" s="105"/>
    </row>
    <row r="1171" spans="1:18" s="30" customFormat="1" ht="25.5">
      <c r="A1171" s="28" t="s">
        <v>96</v>
      </c>
      <c r="B1171" s="59" t="s">
        <v>71</v>
      </c>
      <c r="C1171" s="59" t="s">
        <v>76</v>
      </c>
      <c r="D1171" s="59" t="s">
        <v>622</v>
      </c>
      <c r="E1171" s="59" t="s">
        <v>97</v>
      </c>
      <c r="F1171" s="58">
        <f>'пр.4 вед.стр.'!G266</f>
        <v>130.67000000000002</v>
      </c>
      <c r="N1171" s="102"/>
      <c r="O1171" s="102"/>
      <c r="P1171" s="102"/>
      <c r="Q1171" s="102"/>
      <c r="R1171" s="105"/>
    </row>
    <row r="1172" spans="1:18" s="30" customFormat="1" ht="25.5">
      <c r="A1172" s="28" t="s">
        <v>160</v>
      </c>
      <c r="B1172" s="59" t="s">
        <v>71</v>
      </c>
      <c r="C1172" s="59" t="s">
        <v>76</v>
      </c>
      <c r="D1172" s="59" t="s">
        <v>622</v>
      </c>
      <c r="E1172" s="59" t="s">
        <v>159</v>
      </c>
      <c r="F1172" s="58">
        <f>'пр.4 вед.стр.'!G267</f>
        <v>454.8</v>
      </c>
      <c r="N1172" s="102"/>
      <c r="O1172" s="102"/>
      <c r="P1172" s="102"/>
      <c r="Q1172" s="102"/>
      <c r="R1172" s="105"/>
    </row>
    <row r="1173" spans="1:6" ht="12.75">
      <c r="A1173" s="28" t="s">
        <v>610</v>
      </c>
      <c r="B1173" s="59" t="s">
        <v>71</v>
      </c>
      <c r="C1173" s="59" t="s">
        <v>76</v>
      </c>
      <c r="D1173" s="59" t="s">
        <v>622</v>
      </c>
      <c r="E1173" s="59" t="s">
        <v>104</v>
      </c>
      <c r="F1173" s="58">
        <f>F1174</f>
        <v>196.7</v>
      </c>
    </row>
    <row r="1174" spans="1:6" ht="13.5" customHeight="1">
      <c r="A1174" s="28" t="s">
        <v>98</v>
      </c>
      <c r="B1174" s="59" t="s">
        <v>71</v>
      </c>
      <c r="C1174" s="59" t="s">
        <v>76</v>
      </c>
      <c r="D1174" s="59" t="s">
        <v>622</v>
      </c>
      <c r="E1174" s="59" t="s">
        <v>99</v>
      </c>
      <c r="F1174" s="58">
        <f>F1175</f>
        <v>196.7</v>
      </c>
    </row>
    <row r="1175" spans="1:6" ht="15" customHeight="1">
      <c r="A1175" s="28" t="s">
        <v>100</v>
      </c>
      <c r="B1175" s="59" t="s">
        <v>71</v>
      </c>
      <c r="C1175" s="59" t="s">
        <v>76</v>
      </c>
      <c r="D1175" s="59" t="s">
        <v>622</v>
      </c>
      <c r="E1175" s="59" t="s">
        <v>101</v>
      </c>
      <c r="F1175" s="58">
        <f>'пр.4 вед.стр.'!G270</f>
        <v>196.7</v>
      </c>
    </row>
    <row r="1176" spans="1:6" ht="25.5" customHeight="1">
      <c r="A1176" s="28" t="s">
        <v>449</v>
      </c>
      <c r="B1176" s="59" t="s">
        <v>71</v>
      </c>
      <c r="C1176" s="59" t="s">
        <v>76</v>
      </c>
      <c r="D1176" s="59" t="s">
        <v>450</v>
      </c>
      <c r="E1176" s="59"/>
      <c r="F1176" s="143">
        <f>F1177+F1186+F1191</f>
        <v>750.8</v>
      </c>
    </row>
    <row r="1177" spans="1:6" ht="25.5">
      <c r="A1177" s="28" t="s">
        <v>446</v>
      </c>
      <c r="B1177" s="59" t="s">
        <v>71</v>
      </c>
      <c r="C1177" s="59" t="s">
        <v>76</v>
      </c>
      <c r="D1177" s="59" t="s">
        <v>459</v>
      </c>
      <c r="E1177" s="59"/>
      <c r="F1177" s="143">
        <f>F1178</f>
        <v>660.8</v>
      </c>
    </row>
    <row r="1178" spans="1:6" ht="25.5">
      <c r="A1178" s="28" t="s">
        <v>458</v>
      </c>
      <c r="B1178" s="59" t="s">
        <v>71</v>
      </c>
      <c r="C1178" s="59" t="s">
        <v>76</v>
      </c>
      <c r="D1178" s="59" t="s">
        <v>460</v>
      </c>
      <c r="E1178" s="59"/>
      <c r="F1178" s="143">
        <f>F1179+F1183</f>
        <v>660.8</v>
      </c>
    </row>
    <row r="1179" spans="1:6" ht="38.25">
      <c r="A1179" s="28" t="s">
        <v>102</v>
      </c>
      <c r="B1179" s="59" t="s">
        <v>71</v>
      </c>
      <c r="C1179" s="59" t="s">
        <v>76</v>
      </c>
      <c r="D1179" s="59" t="s">
        <v>460</v>
      </c>
      <c r="E1179" s="59" t="s">
        <v>103</v>
      </c>
      <c r="F1179" s="58">
        <f>F1180</f>
        <v>537.9</v>
      </c>
    </row>
    <row r="1180" spans="1:6" ht="12.75">
      <c r="A1180" s="28" t="s">
        <v>93</v>
      </c>
      <c r="B1180" s="59" t="s">
        <v>71</v>
      </c>
      <c r="C1180" s="59" t="s">
        <v>76</v>
      </c>
      <c r="D1180" s="59" t="s">
        <v>460</v>
      </c>
      <c r="E1180" s="59" t="s">
        <v>94</v>
      </c>
      <c r="F1180" s="58">
        <f>F1181+F1182</f>
        <v>537.9</v>
      </c>
    </row>
    <row r="1181" spans="1:18" s="30" customFormat="1" ht="12.75">
      <c r="A1181" s="28" t="s">
        <v>158</v>
      </c>
      <c r="B1181" s="59" t="s">
        <v>71</v>
      </c>
      <c r="C1181" s="59" t="s">
        <v>76</v>
      </c>
      <c r="D1181" s="59" t="s">
        <v>460</v>
      </c>
      <c r="E1181" s="59" t="s">
        <v>95</v>
      </c>
      <c r="F1181" s="58">
        <f>'пр.4 вед.стр.'!G276</f>
        <v>413.1</v>
      </c>
      <c r="N1181" s="102"/>
      <c r="O1181" s="102"/>
      <c r="P1181" s="102"/>
      <c r="Q1181" s="102"/>
      <c r="R1181" s="105"/>
    </row>
    <row r="1182" spans="1:18" s="30" customFormat="1" ht="30" customHeight="1">
      <c r="A1182" s="28" t="s">
        <v>160</v>
      </c>
      <c r="B1182" s="59" t="s">
        <v>71</v>
      </c>
      <c r="C1182" s="59" t="s">
        <v>76</v>
      </c>
      <c r="D1182" s="59" t="s">
        <v>460</v>
      </c>
      <c r="E1182" s="59" t="s">
        <v>159</v>
      </c>
      <c r="F1182" s="58">
        <f>'пр.4 вед.стр.'!G277</f>
        <v>124.8</v>
      </c>
      <c r="N1182" s="102"/>
      <c r="O1182" s="102"/>
      <c r="P1182" s="102"/>
      <c r="Q1182" s="102"/>
      <c r="R1182" s="105"/>
    </row>
    <row r="1183" spans="1:18" s="30" customFormat="1" ht="18" customHeight="1">
      <c r="A1183" s="28" t="s">
        <v>610</v>
      </c>
      <c r="B1183" s="59" t="s">
        <v>71</v>
      </c>
      <c r="C1183" s="59" t="s">
        <v>76</v>
      </c>
      <c r="D1183" s="59" t="s">
        <v>460</v>
      </c>
      <c r="E1183" s="59" t="s">
        <v>104</v>
      </c>
      <c r="F1183" s="58">
        <f>F1184</f>
        <v>122.9</v>
      </c>
      <c r="N1183" s="102"/>
      <c r="O1183" s="102"/>
      <c r="P1183" s="102"/>
      <c r="Q1183" s="102"/>
      <c r="R1183" s="105"/>
    </row>
    <row r="1184" spans="1:18" s="30" customFormat="1" ht="15" customHeight="1">
      <c r="A1184" s="28" t="s">
        <v>98</v>
      </c>
      <c r="B1184" s="59" t="s">
        <v>71</v>
      </c>
      <c r="C1184" s="59" t="s">
        <v>76</v>
      </c>
      <c r="D1184" s="59" t="s">
        <v>460</v>
      </c>
      <c r="E1184" s="59" t="s">
        <v>99</v>
      </c>
      <c r="F1184" s="58">
        <f>F1185</f>
        <v>122.9</v>
      </c>
      <c r="N1184" s="102"/>
      <c r="O1184" s="102"/>
      <c r="P1184" s="102"/>
      <c r="Q1184" s="102"/>
      <c r="R1184" s="105"/>
    </row>
    <row r="1185" spans="1:18" s="30" customFormat="1" ht="15.75" customHeight="1">
      <c r="A1185" s="28" t="s">
        <v>100</v>
      </c>
      <c r="B1185" s="59" t="s">
        <v>71</v>
      </c>
      <c r="C1185" s="59" t="s">
        <v>76</v>
      </c>
      <c r="D1185" s="59" t="s">
        <v>460</v>
      </c>
      <c r="E1185" s="59" t="s">
        <v>101</v>
      </c>
      <c r="F1185" s="58">
        <f>'пр.4 вед.стр.'!G280</f>
        <v>122.9</v>
      </c>
      <c r="N1185" s="102"/>
      <c r="O1185" s="102"/>
      <c r="P1185" s="102"/>
      <c r="Q1185" s="102"/>
      <c r="R1185" s="105"/>
    </row>
    <row r="1186" spans="1:18" s="30" customFormat="1" ht="20.25" customHeight="1">
      <c r="A1186" s="28" t="str">
        <f>'пр.4 вед.стр.'!A474</f>
        <v>Основное мероприятие "Формирование доступной среды в Сусуманском городском округе"</v>
      </c>
      <c r="B1186" s="59" t="s">
        <v>71</v>
      </c>
      <c r="C1186" s="59" t="s">
        <v>76</v>
      </c>
      <c r="D1186" s="59" t="s">
        <v>462</v>
      </c>
      <c r="E1186" s="59"/>
      <c r="F1186" s="143">
        <f>F1187</f>
        <v>10</v>
      </c>
      <c r="N1186" s="102"/>
      <c r="O1186" s="102"/>
      <c r="P1186" s="102"/>
      <c r="Q1186" s="102"/>
      <c r="R1186" s="105"/>
    </row>
    <row r="1187" spans="1:6" ht="25.5">
      <c r="A1187" s="28" t="str">
        <f>'пр.4 вед.стр.'!A475</f>
        <v>Софинансирование мероприятий, направленных на адаптацию социально-значимых объектов для инвалидов и маломобильных групп населения </v>
      </c>
      <c r="B1187" s="59" t="s">
        <v>71</v>
      </c>
      <c r="C1187" s="59" t="s">
        <v>76</v>
      </c>
      <c r="D1187" s="59" t="s">
        <v>464</v>
      </c>
      <c r="E1187" s="59"/>
      <c r="F1187" s="58">
        <f>F1188</f>
        <v>10</v>
      </c>
    </row>
    <row r="1188" spans="1:6" ht="12.75">
      <c r="A1188" s="28" t="s">
        <v>610</v>
      </c>
      <c r="B1188" s="59" t="s">
        <v>71</v>
      </c>
      <c r="C1188" s="59" t="s">
        <v>76</v>
      </c>
      <c r="D1188" s="59" t="s">
        <v>464</v>
      </c>
      <c r="E1188" s="59" t="s">
        <v>104</v>
      </c>
      <c r="F1188" s="58">
        <f>F1189</f>
        <v>10</v>
      </c>
    </row>
    <row r="1189" spans="1:6" ht="16.5" customHeight="1">
      <c r="A1189" s="28" t="s">
        <v>98</v>
      </c>
      <c r="B1189" s="59" t="s">
        <v>71</v>
      </c>
      <c r="C1189" s="59" t="s">
        <v>76</v>
      </c>
      <c r="D1189" s="59" t="s">
        <v>464</v>
      </c>
      <c r="E1189" s="59" t="s">
        <v>99</v>
      </c>
      <c r="F1189" s="58">
        <f>F1190</f>
        <v>10</v>
      </c>
    </row>
    <row r="1190" spans="1:6" ht="15" customHeight="1">
      <c r="A1190" s="28" t="s">
        <v>100</v>
      </c>
      <c r="B1190" s="59" t="s">
        <v>71</v>
      </c>
      <c r="C1190" s="59" t="s">
        <v>76</v>
      </c>
      <c r="D1190" s="59" t="s">
        <v>464</v>
      </c>
      <c r="E1190" s="59" t="s">
        <v>101</v>
      </c>
      <c r="F1190" s="58">
        <f>'пр.4 вед.стр.'!G472</f>
        <v>10</v>
      </c>
    </row>
    <row r="1191" spans="1:18" s="30" customFormat="1" ht="25.5">
      <c r="A1191" s="126" t="s">
        <v>465</v>
      </c>
      <c r="B1191" s="59" t="s">
        <v>71</v>
      </c>
      <c r="C1191" s="59" t="s">
        <v>76</v>
      </c>
      <c r="D1191" s="59" t="s">
        <v>466</v>
      </c>
      <c r="E1191" s="59"/>
      <c r="F1191" s="58">
        <f>F1192+F1196</f>
        <v>80</v>
      </c>
      <c r="N1191" s="102"/>
      <c r="O1191" s="102"/>
      <c r="P1191" s="102"/>
      <c r="Q1191" s="102"/>
      <c r="R1191" s="105"/>
    </row>
    <row r="1192" spans="1:18" s="30" customFormat="1" ht="12.75">
      <c r="A1192" s="27" t="s">
        <v>829</v>
      </c>
      <c r="B1192" s="59" t="s">
        <v>71</v>
      </c>
      <c r="C1192" s="59" t="s">
        <v>76</v>
      </c>
      <c r="D1192" s="59" t="s">
        <v>830</v>
      </c>
      <c r="E1192" s="59"/>
      <c r="F1192" s="58">
        <f>'МП пр.5'!G84</f>
        <v>50</v>
      </c>
      <c r="N1192" s="102"/>
      <c r="O1192" s="102"/>
      <c r="P1192" s="102"/>
      <c r="Q1192" s="102"/>
      <c r="R1192" s="105"/>
    </row>
    <row r="1193" spans="1:18" s="30" customFormat="1" ht="25.5">
      <c r="A1193" s="28" t="s">
        <v>105</v>
      </c>
      <c r="B1193" s="59" t="s">
        <v>71</v>
      </c>
      <c r="C1193" s="59" t="s">
        <v>76</v>
      </c>
      <c r="D1193" s="59" t="s">
        <v>830</v>
      </c>
      <c r="E1193" s="149" t="str">
        <f>'пр.4 вед.стр.'!F283</f>
        <v>600</v>
      </c>
      <c r="F1193" s="58">
        <f>'МП пр.5'!G85</f>
        <v>50</v>
      </c>
      <c r="N1193" s="102"/>
      <c r="O1193" s="102"/>
      <c r="P1193" s="102"/>
      <c r="Q1193" s="102"/>
      <c r="R1193" s="105"/>
    </row>
    <row r="1194" spans="1:18" s="30" customFormat="1" ht="25.5">
      <c r="A1194" s="28" t="s">
        <v>469</v>
      </c>
      <c r="B1194" s="59" t="s">
        <v>71</v>
      </c>
      <c r="C1194" s="59" t="s">
        <v>76</v>
      </c>
      <c r="D1194" s="59" t="s">
        <v>830</v>
      </c>
      <c r="E1194" s="149" t="str">
        <f>'пр.4 вед.стр.'!F284</f>
        <v>630</v>
      </c>
      <c r="F1194" s="58">
        <f>'МП пр.5'!G86</f>
        <v>50</v>
      </c>
      <c r="N1194" s="102"/>
      <c r="O1194" s="102"/>
      <c r="P1194" s="102"/>
      <c r="Q1194" s="102"/>
      <c r="R1194" s="105"/>
    </row>
    <row r="1195" spans="1:18" s="30" customFormat="1" ht="25.5">
      <c r="A1195" s="28" t="s">
        <v>630</v>
      </c>
      <c r="B1195" s="59" t="s">
        <v>71</v>
      </c>
      <c r="C1195" s="59" t="s">
        <v>76</v>
      </c>
      <c r="D1195" s="59" t="s">
        <v>830</v>
      </c>
      <c r="E1195" s="149" t="str">
        <f>'пр.4 вед.стр.'!F285</f>
        <v>634</v>
      </c>
      <c r="F1195" s="58">
        <f>'МП пр.5'!G87</f>
        <v>50</v>
      </c>
      <c r="N1195" s="102"/>
      <c r="O1195" s="102"/>
      <c r="P1195" s="102"/>
      <c r="Q1195" s="102"/>
      <c r="R1195" s="105"/>
    </row>
    <row r="1196" spans="1:18" s="30" customFormat="1" ht="25.5">
      <c r="A1196" s="28" t="s">
        <v>467</v>
      </c>
      <c r="B1196" s="59" t="s">
        <v>71</v>
      </c>
      <c r="C1196" s="59" t="s">
        <v>76</v>
      </c>
      <c r="D1196" s="59" t="s">
        <v>468</v>
      </c>
      <c r="E1196" s="59"/>
      <c r="F1196" s="58">
        <f>F1197</f>
        <v>30</v>
      </c>
      <c r="N1196" s="102"/>
      <c r="O1196" s="102"/>
      <c r="P1196" s="102"/>
      <c r="Q1196" s="102"/>
      <c r="R1196" s="105"/>
    </row>
    <row r="1197" spans="1:18" s="30" customFormat="1" ht="25.5">
      <c r="A1197" s="28" t="s">
        <v>105</v>
      </c>
      <c r="B1197" s="59" t="s">
        <v>71</v>
      </c>
      <c r="C1197" s="59" t="s">
        <v>76</v>
      </c>
      <c r="D1197" s="59" t="s">
        <v>468</v>
      </c>
      <c r="E1197" s="59" t="s">
        <v>106</v>
      </c>
      <c r="F1197" s="58">
        <f>F1198</f>
        <v>30</v>
      </c>
      <c r="N1197" s="102"/>
      <c r="O1197" s="102"/>
      <c r="P1197" s="102"/>
      <c r="Q1197" s="102"/>
      <c r="R1197" s="105"/>
    </row>
    <row r="1198" spans="1:18" s="30" customFormat="1" ht="30.75" customHeight="1">
      <c r="A1198" s="28" t="s">
        <v>469</v>
      </c>
      <c r="B1198" s="59" t="s">
        <v>71</v>
      </c>
      <c r="C1198" s="59" t="s">
        <v>76</v>
      </c>
      <c r="D1198" s="59" t="s">
        <v>468</v>
      </c>
      <c r="E1198" s="59" t="s">
        <v>470</v>
      </c>
      <c r="F1198" s="58">
        <f>'пр.4 вед.стр.'!G288</f>
        <v>30</v>
      </c>
      <c r="N1198" s="102"/>
      <c r="O1198" s="102"/>
      <c r="P1198" s="102"/>
      <c r="Q1198" s="102"/>
      <c r="R1198" s="105"/>
    </row>
    <row r="1199" spans="1:18" s="30" customFormat="1" ht="30.75" customHeight="1">
      <c r="A1199" s="28" t="s">
        <v>630</v>
      </c>
      <c r="B1199" s="59" t="s">
        <v>71</v>
      </c>
      <c r="C1199" s="59" t="s">
        <v>76</v>
      </c>
      <c r="D1199" s="59" t="s">
        <v>468</v>
      </c>
      <c r="E1199" s="59" t="s">
        <v>629</v>
      </c>
      <c r="F1199" s="58">
        <f>'пр.4 вед.стр.'!G289</f>
        <v>30</v>
      </c>
      <c r="N1199" s="102"/>
      <c r="O1199" s="102"/>
      <c r="P1199" s="102"/>
      <c r="Q1199" s="102"/>
      <c r="R1199" s="105"/>
    </row>
    <row r="1200" spans="1:18" s="30" customFormat="1" ht="15" customHeight="1">
      <c r="A1200" s="61" t="s">
        <v>83</v>
      </c>
      <c r="B1200" s="63" t="s">
        <v>74</v>
      </c>
      <c r="C1200" s="63" t="s">
        <v>36</v>
      </c>
      <c r="D1200" s="59"/>
      <c r="E1200" s="59"/>
      <c r="F1200" s="64">
        <f>F1201</f>
        <v>19123.6</v>
      </c>
      <c r="N1200" s="102"/>
      <c r="O1200" s="102"/>
      <c r="P1200" s="102"/>
      <c r="Q1200" s="102"/>
      <c r="R1200" s="105"/>
    </row>
    <row r="1201" spans="1:18" s="30" customFormat="1" ht="18" customHeight="1">
      <c r="A1201" s="61" t="s">
        <v>84</v>
      </c>
      <c r="B1201" s="63" t="s">
        <v>74</v>
      </c>
      <c r="C1201" s="63" t="s">
        <v>66</v>
      </c>
      <c r="D1201" s="63"/>
      <c r="E1201" s="63"/>
      <c r="F1201" s="64">
        <f>F1202+F1224+F1238+F1248+F1255</f>
        <v>19123.6</v>
      </c>
      <c r="N1201" s="102"/>
      <c r="O1201" s="102"/>
      <c r="P1201" s="102"/>
      <c r="Q1201" s="102"/>
      <c r="R1201" s="105"/>
    </row>
    <row r="1202" spans="1:18" s="30" customFormat="1" ht="30.75" customHeight="1">
      <c r="A1202" s="126" t="s">
        <v>564</v>
      </c>
      <c r="B1202" s="59" t="s">
        <v>74</v>
      </c>
      <c r="C1202" s="59" t="s">
        <v>66</v>
      </c>
      <c r="D1202" s="161" t="s">
        <v>202</v>
      </c>
      <c r="E1202" s="165"/>
      <c r="F1202" s="58">
        <f>F1203</f>
        <v>2139.9</v>
      </c>
      <c r="N1202" s="102"/>
      <c r="O1202" s="102"/>
      <c r="P1202" s="102"/>
      <c r="Q1202" s="102"/>
      <c r="R1202" s="105"/>
    </row>
    <row r="1203" spans="1:18" s="30" customFormat="1" ht="30.75" customHeight="1">
      <c r="A1203" s="126" t="s">
        <v>261</v>
      </c>
      <c r="B1203" s="59" t="s">
        <v>74</v>
      </c>
      <c r="C1203" s="59" t="s">
        <v>66</v>
      </c>
      <c r="D1203" s="161" t="s">
        <v>352</v>
      </c>
      <c r="E1203" s="165"/>
      <c r="F1203" s="58">
        <f>F1204+F1208+F1212+F1216+F1220</f>
        <v>2139.9</v>
      </c>
      <c r="N1203" s="102"/>
      <c r="O1203" s="102"/>
      <c r="P1203" s="102"/>
      <c r="Q1203" s="102"/>
      <c r="R1203" s="105"/>
    </row>
    <row r="1204" spans="1:18" s="30" customFormat="1" ht="18" customHeight="1">
      <c r="A1204" s="126" t="s">
        <v>565</v>
      </c>
      <c r="B1204" s="59" t="s">
        <v>74</v>
      </c>
      <c r="C1204" s="59" t="s">
        <v>66</v>
      </c>
      <c r="D1204" s="161" t="s">
        <v>353</v>
      </c>
      <c r="E1204" s="165"/>
      <c r="F1204" s="58">
        <f>F1205</f>
        <v>756</v>
      </c>
      <c r="N1204" s="102"/>
      <c r="O1204" s="102"/>
      <c r="P1204" s="102"/>
      <c r="Q1204" s="102"/>
      <c r="R1204" s="105"/>
    </row>
    <row r="1205" spans="1:18" s="30" customFormat="1" ht="30.75" customHeight="1">
      <c r="A1205" s="28" t="s">
        <v>105</v>
      </c>
      <c r="B1205" s="59" t="s">
        <v>74</v>
      </c>
      <c r="C1205" s="59" t="s">
        <v>66</v>
      </c>
      <c r="D1205" s="161" t="s">
        <v>353</v>
      </c>
      <c r="E1205" s="59" t="s">
        <v>106</v>
      </c>
      <c r="F1205" s="58">
        <f>F1206</f>
        <v>756</v>
      </c>
      <c r="N1205" s="102"/>
      <c r="O1205" s="102"/>
      <c r="P1205" s="102"/>
      <c r="Q1205" s="102"/>
      <c r="R1205" s="105"/>
    </row>
    <row r="1206" spans="1:18" s="30" customFormat="1" ht="15" customHeight="1">
      <c r="A1206" s="28" t="s">
        <v>111</v>
      </c>
      <c r="B1206" s="59" t="s">
        <v>74</v>
      </c>
      <c r="C1206" s="59" t="s">
        <v>66</v>
      </c>
      <c r="D1206" s="161" t="s">
        <v>353</v>
      </c>
      <c r="E1206" s="59" t="s">
        <v>112</v>
      </c>
      <c r="F1206" s="58">
        <f>F1207</f>
        <v>756</v>
      </c>
      <c r="N1206" s="102"/>
      <c r="O1206" s="102"/>
      <c r="P1206" s="102"/>
      <c r="Q1206" s="102"/>
      <c r="R1206" s="105"/>
    </row>
    <row r="1207" spans="1:18" s="30" customFormat="1" ht="14.25" customHeight="1">
      <c r="A1207" s="28" t="s">
        <v>115</v>
      </c>
      <c r="B1207" s="59" t="s">
        <v>74</v>
      </c>
      <c r="C1207" s="59" t="s">
        <v>66</v>
      </c>
      <c r="D1207" s="161" t="s">
        <v>353</v>
      </c>
      <c r="E1207" s="59" t="s">
        <v>116</v>
      </c>
      <c r="F1207" s="58">
        <f>'пр.4 вед.стр.'!G1157</f>
        <v>756</v>
      </c>
      <c r="N1207" s="102"/>
      <c r="O1207" s="102"/>
      <c r="P1207" s="102"/>
      <c r="Q1207" s="102"/>
      <c r="R1207" s="105"/>
    </row>
    <row r="1208" spans="1:18" s="30" customFormat="1" ht="14.25" customHeight="1">
      <c r="A1208" s="126" t="s">
        <v>178</v>
      </c>
      <c r="B1208" s="59" t="s">
        <v>74</v>
      </c>
      <c r="C1208" s="59" t="s">
        <v>66</v>
      </c>
      <c r="D1208" s="161" t="s">
        <v>354</v>
      </c>
      <c r="E1208" s="59"/>
      <c r="F1208" s="58">
        <f>F1209</f>
        <v>173.89999999999998</v>
      </c>
      <c r="N1208" s="102"/>
      <c r="O1208" s="102"/>
      <c r="P1208" s="102"/>
      <c r="Q1208" s="102"/>
      <c r="R1208" s="105"/>
    </row>
    <row r="1209" spans="1:18" s="30" customFormat="1" ht="30.75" customHeight="1">
      <c r="A1209" s="28" t="s">
        <v>105</v>
      </c>
      <c r="B1209" s="59" t="s">
        <v>74</v>
      </c>
      <c r="C1209" s="59" t="s">
        <v>66</v>
      </c>
      <c r="D1209" s="161" t="s">
        <v>354</v>
      </c>
      <c r="E1209" s="59" t="s">
        <v>106</v>
      </c>
      <c r="F1209" s="58">
        <f>F1210</f>
        <v>173.89999999999998</v>
      </c>
      <c r="N1209" s="102"/>
      <c r="O1209" s="102"/>
      <c r="P1209" s="102"/>
      <c r="Q1209" s="102"/>
      <c r="R1209" s="105"/>
    </row>
    <row r="1210" spans="1:18" s="30" customFormat="1" ht="18" customHeight="1">
      <c r="A1210" s="28" t="s">
        <v>111</v>
      </c>
      <c r="B1210" s="59" t="s">
        <v>74</v>
      </c>
      <c r="C1210" s="59" t="s">
        <v>66</v>
      </c>
      <c r="D1210" s="161" t="s">
        <v>354</v>
      </c>
      <c r="E1210" s="59" t="s">
        <v>112</v>
      </c>
      <c r="F1210" s="58">
        <f>F1211</f>
        <v>173.89999999999998</v>
      </c>
      <c r="N1210" s="102"/>
      <c r="O1210" s="102"/>
      <c r="P1210" s="102"/>
      <c r="Q1210" s="102"/>
      <c r="R1210" s="105"/>
    </row>
    <row r="1211" spans="1:18" s="30" customFormat="1" ht="21" customHeight="1">
      <c r="A1211" s="28" t="s">
        <v>115</v>
      </c>
      <c r="B1211" s="59" t="s">
        <v>74</v>
      </c>
      <c r="C1211" s="59" t="s">
        <v>66</v>
      </c>
      <c r="D1211" s="161" t="s">
        <v>354</v>
      </c>
      <c r="E1211" s="59" t="s">
        <v>116</v>
      </c>
      <c r="F1211" s="58">
        <f>'пр.4 вед.стр.'!G1161</f>
        <v>173.89999999999998</v>
      </c>
      <c r="N1211" s="102"/>
      <c r="O1211" s="102"/>
      <c r="P1211" s="102"/>
      <c r="Q1211" s="102"/>
      <c r="R1211" s="105"/>
    </row>
    <row r="1212" spans="1:18" s="30" customFormat="1" ht="18" customHeight="1">
      <c r="A1212" s="126" t="s">
        <v>201</v>
      </c>
      <c r="B1212" s="59" t="s">
        <v>74</v>
      </c>
      <c r="C1212" s="59" t="s">
        <v>66</v>
      </c>
      <c r="D1212" s="161" t="s">
        <v>355</v>
      </c>
      <c r="E1212" s="59"/>
      <c r="F1212" s="58">
        <f>F1213</f>
        <v>0</v>
      </c>
      <c r="N1212" s="102"/>
      <c r="O1212" s="102"/>
      <c r="P1212" s="102"/>
      <c r="Q1212" s="102"/>
      <c r="R1212" s="105"/>
    </row>
    <row r="1213" spans="1:18" s="30" customFormat="1" ht="30.75" customHeight="1">
      <c r="A1213" s="28" t="s">
        <v>105</v>
      </c>
      <c r="B1213" s="59" t="s">
        <v>74</v>
      </c>
      <c r="C1213" s="59" t="s">
        <v>66</v>
      </c>
      <c r="D1213" s="161" t="s">
        <v>355</v>
      </c>
      <c r="E1213" s="59" t="s">
        <v>106</v>
      </c>
      <c r="F1213" s="58">
        <f>F1214</f>
        <v>0</v>
      </c>
      <c r="N1213" s="102"/>
      <c r="O1213" s="102"/>
      <c r="P1213" s="102"/>
      <c r="Q1213" s="102"/>
      <c r="R1213" s="105"/>
    </row>
    <row r="1214" spans="1:18" s="30" customFormat="1" ht="18" customHeight="1">
      <c r="A1214" s="28" t="s">
        <v>111</v>
      </c>
      <c r="B1214" s="59" t="s">
        <v>74</v>
      </c>
      <c r="C1214" s="59" t="s">
        <v>66</v>
      </c>
      <c r="D1214" s="161" t="s">
        <v>355</v>
      </c>
      <c r="E1214" s="59" t="s">
        <v>112</v>
      </c>
      <c r="F1214" s="58">
        <f>F1215</f>
        <v>0</v>
      </c>
      <c r="N1214" s="102"/>
      <c r="O1214" s="102"/>
      <c r="P1214" s="102"/>
      <c r="Q1214" s="102"/>
      <c r="R1214" s="105"/>
    </row>
    <row r="1215" spans="1:18" s="30" customFormat="1" ht="17.25" customHeight="1">
      <c r="A1215" s="28" t="s">
        <v>115</v>
      </c>
      <c r="B1215" s="59" t="s">
        <v>74</v>
      </c>
      <c r="C1215" s="59" t="s">
        <v>66</v>
      </c>
      <c r="D1215" s="161" t="s">
        <v>355</v>
      </c>
      <c r="E1215" s="59" t="s">
        <v>116</v>
      </c>
      <c r="F1215" s="58">
        <f>'пр.4 вед.стр.'!G1165</f>
        <v>0</v>
      </c>
      <c r="N1215" s="102"/>
      <c r="O1215" s="102"/>
      <c r="P1215" s="102"/>
      <c r="Q1215" s="102"/>
      <c r="R1215" s="105"/>
    </row>
    <row r="1216" spans="1:18" s="30" customFormat="1" ht="17.25" customHeight="1">
      <c r="A1216" s="206" t="s">
        <v>833</v>
      </c>
      <c r="B1216" s="59" t="s">
        <v>74</v>
      </c>
      <c r="C1216" s="59" t="s">
        <v>66</v>
      </c>
      <c r="D1216" s="161" t="s">
        <v>834</v>
      </c>
      <c r="E1216" s="59"/>
      <c r="F1216" s="58">
        <f>F1217</f>
        <v>1200</v>
      </c>
      <c r="N1216" s="102"/>
      <c r="O1216" s="102"/>
      <c r="P1216" s="102"/>
      <c r="Q1216" s="102"/>
      <c r="R1216" s="105"/>
    </row>
    <row r="1217" spans="1:18" s="30" customFormat="1" ht="27" customHeight="1">
      <c r="A1217" s="28" t="s">
        <v>105</v>
      </c>
      <c r="B1217" s="59" t="s">
        <v>74</v>
      </c>
      <c r="C1217" s="59" t="s">
        <v>66</v>
      </c>
      <c r="D1217" s="161" t="s">
        <v>834</v>
      </c>
      <c r="E1217" s="59" t="s">
        <v>106</v>
      </c>
      <c r="F1217" s="58">
        <f>F1218</f>
        <v>1200</v>
      </c>
      <c r="N1217" s="102"/>
      <c r="O1217" s="102"/>
      <c r="P1217" s="102"/>
      <c r="Q1217" s="102"/>
      <c r="R1217" s="105"/>
    </row>
    <row r="1218" spans="1:18" s="30" customFormat="1" ht="17.25" customHeight="1">
      <c r="A1218" s="28" t="s">
        <v>111</v>
      </c>
      <c r="B1218" s="59" t="s">
        <v>74</v>
      </c>
      <c r="C1218" s="59" t="s">
        <v>66</v>
      </c>
      <c r="D1218" s="161" t="s">
        <v>834</v>
      </c>
      <c r="E1218" s="59" t="s">
        <v>112</v>
      </c>
      <c r="F1218" s="58">
        <f>F1219</f>
        <v>1200</v>
      </c>
      <c r="N1218" s="102"/>
      <c r="O1218" s="102"/>
      <c r="P1218" s="102"/>
      <c r="Q1218" s="102"/>
      <c r="R1218" s="105"/>
    </row>
    <row r="1219" spans="1:18" s="30" customFormat="1" ht="17.25" customHeight="1">
      <c r="A1219" s="28" t="s">
        <v>115</v>
      </c>
      <c r="B1219" s="59" t="s">
        <v>74</v>
      </c>
      <c r="C1219" s="59" t="s">
        <v>66</v>
      </c>
      <c r="D1219" s="161" t="s">
        <v>834</v>
      </c>
      <c r="E1219" s="59" t="s">
        <v>116</v>
      </c>
      <c r="F1219" s="58">
        <f>'пр.4 вед.стр.'!G1169</f>
        <v>1200</v>
      </c>
      <c r="N1219" s="102"/>
      <c r="O1219" s="102"/>
      <c r="P1219" s="102"/>
      <c r="Q1219" s="102"/>
      <c r="R1219" s="105"/>
    </row>
    <row r="1220" spans="1:18" s="30" customFormat="1" ht="17.25" customHeight="1">
      <c r="A1220" s="206" t="s">
        <v>833</v>
      </c>
      <c r="B1220" s="59" t="s">
        <v>74</v>
      </c>
      <c r="C1220" s="59" t="s">
        <v>66</v>
      </c>
      <c r="D1220" s="39" t="s">
        <v>835</v>
      </c>
      <c r="E1220" s="59"/>
      <c r="F1220" s="58">
        <f>F1221</f>
        <v>10</v>
      </c>
      <c r="N1220" s="102"/>
      <c r="O1220" s="102"/>
      <c r="P1220" s="102"/>
      <c r="Q1220" s="102"/>
      <c r="R1220" s="105"/>
    </row>
    <row r="1221" spans="1:18" s="30" customFormat="1" ht="30" customHeight="1">
      <c r="A1221" s="28" t="s">
        <v>105</v>
      </c>
      <c r="B1221" s="59" t="s">
        <v>74</v>
      </c>
      <c r="C1221" s="59" t="s">
        <v>66</v>
      </c>
      <c r="D1221" s="39" t="s">
        <v>835</v>
      </c>
      <c r="E1221" s="59" t="s">
        <v>106</v>
      </c>
      <c r="F1221" s="58">
        <f>F1222</f>
        <v>10</v>
      </c>
      <c r="N1221" s="102"/>
      <c r="O1221" s="102"/>
      <c r="P1221" s="102"/>
      <c r="Q1221" s="102"/>
      <c r="R1221" s="105"/>
    </row>
    <row r="1222" spans="1:18" s="30" customFormat="1" ht="17.25" customHeight="1">
      <c r="A1222" s="28" t="s">
        <v>111</v>
      </c>
      <c r="B1222" s="59" t="s">
        <v>74</v>
      </c>
      <c r="C1222" s="59" t="s">
        <v>66</v>
      </c>
      <c r="D1222" s="39" t="s">
        <v>835</v>
      </c>
      <c r="E1222" s="59" t="s">
        <v>112</v>
      </c>
      <c r="F1222" s="58">
        <f>F1223</f>
        <v>10</v>
      </c>
      <c r="N1222" s="102"/>
      <c r="O1222" s="102"/>
      <c r="P1222" s="102"/>
      <c r="Q1222" s="102"/>
      <c r="R1222" s="105"/>
    </row>
    <row r="1223" spans="1:18" s="30" customFormat="1" ht="17.25" customHeight="1">
      <c r="A1223" s="28" t="s">
        <v>115</v>
      </c>
      <c r="B1223" s="59" t="s">
        <v>74</v>
      </c>
      <c r="C1223" s="59" t="s">
        <v>66</v>
      </c>
      <c r="D1223" s="39" t="s">
        <v>835</v>
      </c>
      <c r="E1223" s="59" t="s">
        <v>116</v>
      </c>
      <c r="F1223" s="58">
        <f>'пр.4 вед.стр.'!G1173</f>
        <v>10</v>
      </c>
      <c r="N1223" s="102"/>
      <c r="O1223" s="102"/>
      <c r="P1223" s="102"/>
      <c r="Q1223" s="102"/>
      <c r="R1223" s="105"/>
    </row>
    <row r="1224" spans="1:18" s="30" customFormat="1" ht="21.75" customHeight="1">
      <c r="A1224" s="126" t="s">
        <v>513</v>
      </c>
      <c r="B1224" s="59" t="s">
        <v>74</v>
      </c>
      <c r="C1224" s="59" t="s">
        <v>66</v>
      </c>
      <c r="D1224" s="161" t="s">
        <v>180</v>
      </c>
      <c r="E1224" s="59"/>
      <c r="F1224" s="58">
        <f>F1225</f>
        <v>140</v>
      </c>
      <c r="N1224" s="102"/>
      <c r="O1224" s="102"/>
      <c r="P1224" s="102"/>
      <c r="Q1224" s="102"/>
      <c r="R1224" s="105"/>
    </row>
    <row r="1225" spans="1:18" s="30" customFormat="1" ht="30.75" customHeight="1">
      <c r="A1225" s="126" t="s">
        <v>251</v>
      </c>
      <c r="B1225" s="59" t="s">
        <v>74</v>
      </c>
      <c r="C1225" s="59" t="s">
        <v>66</v>
      </c>
      <c r="D1225" s="161" t="s">
        <v>325</v>
      </c>
      <c r="E1225" s="59"/>
      <c r="F1225" s="58">
        <f>F1226+F1230+F1234</f>
        <v>140</v>
      </c>
      <c r="N1225" s="102"/>
      <c r="O1225" s="102"/>
      <c r="P1225" s="102"/>
      <c r="Q1225" s="102"/>
      <c r="R1225" s="105"/>
    </row>
    <row r="1226" spans="1:18" s="30" customFormat="1" ht="15" customHeight="1">
      <c r="A1226" s="126" t="s">
        <v>179</v>
      </c>
      <c r="B1226" s="59" t="s">
        <v>74</v>
      </c>
      <c r="C1226" s="59" t="s">
        <v>66</v>
      </c>
      <c r="D1226" s="161" t="s">
        <v>326</v>
      </c>
      <c r="E1226" s="59"/>
      <c r="F1226" s="58">
        <f>F1227</f>
        <v>99.8</v>
      </c>
      <c r="N1226" s="102"/>
      <c r="O1226" s="102"/>
      <c r="P1226" s="102"/>
      <c r="Q1226" s="102"/>
      <c r="R1226" s="105"/>
    </row>
    <row r="1227" spans="1:18" s="30" customFormat="1" ht="30.75" customHeight="1">
      <c r="A1227" s="28" t="s">
        <v>105</v>
      </c>
      <c r="B1227" s="59" t="s">
        <v>74</v>
      </c>
      <c r="C1227" s="59" t="s">
        <v>66</v>
      </c>
      <c r="D1227" s="161" t="s">
        <v>326</v>
      </c>
      <c r="E1227" s="59" t="s">
        <v>106</v>
      </c>
      <c r="F1227" s="58">
        <f>F1228</f>
        <v>99.8</v>
      </c>
      <c r="N1227" s="102"/>
      <c r="O1227" s="102"/>
      <c r="P1227" s="102"/>
      <c r="Q1227" s="102"/>
      <c r="R1227" s="105"/>
    </row>
    <row r="1228" spans="1:18" s="30" customFormat="1" ht="16.5" customHeight="1">
      <c r="A1228" s="28" t="s">
        <v>111</v>
      </c>
      <c r="B1228" s="59" t="s">
        <v>74</v>
      </c>
      <c r="C1228" s="59" t="s">
        <v>66</v>
      </c>
      <c r="D1228" s="161" t="s">
        <v>326</v>
      </c>
      <c r="E1228" s="59" t="s">
        <v>112</v>
      </c>
      <c r="F1228" s="58">
        <f>F1229</f>
        <v>99.8</v>
      </c>
      <c r="N1228" s="102"/>
      <c r="O1228" s="102"/>
      <c r="P1228" s="102"/>
      <c r="Q1228" s="102"/>
      <c r="R1228" s="105"/>
    </row>
    <row r="1229" spans="1:18" s="30" customFormat="1" ht="21" customHeight="1">
      <c r="A1229" s="28" t="s">
        <v>115</v>
      </c>
      <c r="B1229" s="59" t="s">
        <v>74</v>
      </c>
      <c r="C1229" s="59" t="s">
        <v>66</v>
      </c>
      <c r="D1229" s="161" t="s">
        <v>326</v>
      </c>
      <c r="E1229" s="59" t="s">
        <v>116</v>
      </c>
      <c r="F1229" s="58">
        <f>'пр.4 вед.стр.'!G1179</f>
        <v>99.8</v>
      </c>
      <c r="N1229" s="102"/>
      <c r="O1229" s="102"/>
      <c r="P1229" s="102"/>
      <c r="Q1229" s="102"/>
      <c r="R1229" s="105"/>
    </row>
    <row r="1230" spans="1:18" s="30" customFormat="1" ht="16.5" customHeight="1">
      <c r="A1230" s="126" t="s">
        <v>182</v>
      </c>
      <c r="B1230" s="59" t="s">
        <v>74</v>
      </c>
      <c r="C1230" s="59" t="s">
        <v>66</v>
      </c>
      <c r="D1230" s="161" t="s">
        <v>330</v>
      </c>
      <c r="E1230" s="59"/>
      <c r="F1230" s="58">
        <f>F1231</f>
        <v>0</v>
      </c>
      <c r="N1230" s="102"/>
      <c r="O1230" s="102"/>
      <c r="P1230" s="102"/>
      <c r="Q1230" s="102"/>
      <c r="R1230" s="105"/>
    </row>
    <row r="1231" spans="1:18" s="30" customFormat="1" ht="30.75" customHeight="1">
      <c r="A1231" s="28" t="s">
        <v>105</v>
      </c>
      <c r="B1231" s="59" t="s">
        <v>74</v>
      </c>
      <c r="C1231" s="59" t="s">
        <v>66</v>
      </c>
      <c r="D1231" s="161" t="s">
        <v>330</v>
      </c>
      <c r="E1231" s="59" t="s">
        <v>106</v>
      </c>
      <c r="F1231" s="58">
        <f>F1232</f>
        <v>0</v>
      </c>
      <c r="N1231" s="102"/>
      <c r="O1231" s="102"/>
      <c r="P1231" s="102"/>
      <c r="Q1231" s="102"/>
      <c r="R1231" s="105"/>
    </row>
    <row r="1232" spans="1:18" s="30" customFormat="1" ht="18" customHeight="1">
      <c r="A1232" s="28" t="s">
        <v>111</v>
      </c>
      <c r="B1232" s="59" t="s">
        <v>74</v>
      </c>
      <c r="C1232" s="59" t="s">
        <v>66</v>
      </c>
      <c r="D1232" s="161" t="s">
        <v>330</v>
      </c>
      <c r="E1232" s="59" t="s">
        <v>112</v>
      </c>
      <c r="F1232" s="58">
        <f>F1233</f>
        <v>0</v>
      </c>
      <c r="N1232" s="102"/>
      <c r="O1232" s="102"/>
      <c r="P1232" s="102"/>
      <c r="Q1232" s="102"/>
      <c r="R1232" s="105"/>
    </row>
    <row r="1233" spans="1:18" s="30" customFormat="1" ht="18" customHeight="1">
      <c r="A1233" s="28" t="s">
        <v>115</v>
      </c>
      <c r="B1233" s="59" t="s">
        <v>74</v>
      </c>
      <c r="C1233" s="59" t="s">
        <v>66</v>
      </c>
      <c r="D1233" s="161" t="s">
        <v>330</v>
      </c>
      <c r="E1233" s="59" t="s">
        <v>116</v>
      </c>
      <c r="F1233" s="58">
        <f>'пр.4 вед.стр.'!G1183</f>
        <v>0</v>
      </c>
      <c r="N1233" s="102"/>
      <c r="O1233" s="102"/>
      <c r="P1233" s="102"/>
      <c r="Q1233" s="102"/>
      <c r="R1233" s="105"/>
    </row>
    <row r="1234" spans="1:18" s="30" customFormat="1" ht="30.75" customHeight="1">
      <c r="A1234" s="126" t="s">
        <v>611</v>
      </c>
      <c r="B1234" s="59" t="s">
        <v>74</v>
      </c>
      <c r="C1234" s="59" t="s">
        <v>66</v>
      </c>
      <c r="D1234" s="161" t="s">
        <v>328</v>
      </c>
      <c r="E1234" s="59"/>
      <c r="F1234" s="58">
        <f>F1235</f>
        <v>40.2</v>
      </c>
      <c r="N1234" s="102"/>
      <c r="O1234" s="102"/>
      <c r="P1234" s="102"/>
      <c r="Q1234" s="102"/>
      <c r="R1234" s="105"/>
    </row>
    <row r="1235" spans="1:18" s="30" customFormat="1" ht="30.75" customHeight="1">
      <c r="A1235" s="28" t="s">
        <v>105</v>
      </c>
      <c r="B1235" s="59" t="s">
        <v>74</v>
      </c>
      <c r="C1235" s="59" t="s">
        <v>66</v>
      </c>
      <c r="D1235" s="161" t="s">
        <v>328</v>
      </c>
      <c r="E1235" s="59" t="s">
        <v>106</v>
      </c>
      <c r="F1235" s="58">
        <f>F1236</f>
        <v>40.2</v>
      </c>
      <c r="N1235" s="102"/>
      <c r="O1235" s="102"/>
      <c r="P1235" s="102"/>
      <c r="Q1235" s="102"/>
      <c r="R1235" s="105"/>
    </row>
    <row r="1236" spans="1:18" s="30" customFormat="1" ht="18" customHeight="1">
      <c r="A1236" s="28" t="s">
        <v>111</v>
      </c>
      <c r="B1236" s="59" t="s">
        <v>74</v>
      </c>
      <c r="C1236" s="59" t="s">
        <v>66</v>
      </c>
      <c r="D1236" s="161" t="s">
        <v>328</v>
      </c>
      <c r="E1236" s="59" t="s">
        <v>112</v>
      </c>
      <c r="F1236" s="58">
        <f>F1237</f>
        <v>40.2</v>
      </c>
      <c r="N1236" s="102"/>
      <c r="O1236" s="102"/>
      <c r="P1236" s="102"/>
      <c r="Q1236" s="102"/>
      <c r="R1236" s="105"/>
    </row>
    <row r="1237" spans="1:18" s="30" customFormat="1" ht="15" customHeight="1">
      <c r="A1237" s="28" t="s">
        <v>115</v>
      </c>
      <c r="B1237" s="59" t="s">
        <v>74</v>
      </c>
      <c r="C1237" s="59" t="s">
        <v>66</v>
      </c>
      <c r="D1237" s="161" t="s">
        <v>328</v>
      </c>
      <c r="E1237" s="59" t="s">
        <v>116</v>
      </c>
      <c r="F1237" s="58">
        <f>'пр.4 вед.стр.'!G1187</f>
        <v>40.2</v>
      </c>
      <c r="N1237" s="102"/>
      <c r="O1237" s="102"/>
      <c r="P1237" s="102"/>
      <c r="Q1237" s="102"/>
      <c r="R1237" s="105"/>
    </row>
    <row r="1238" spans="1:18" s="30" customFormat="1" ht="15" customHeight="1">
      <c r="A1238" s="28" t="s">
        <v>360</v>
      </c>
      <c r="B1238" s="59" t="s">
        <v>74</v>
      </c>
      <c r="C1238" s="59" t="s">
        <v>66</v>
      </c>
      <c r="D1238" s="59" t="s">
        <v>215</v>
      </c>
      <c r="E1238" s="59"/>
      <c r="F1238" s="58">
        <f>F1239</f>
        <v>159.1</v>
      </c>
      <c r="N1238" s="102"/>
      <c r="O1238" s="102"/>
      <c r="P1238" s="102"/>
      <c r="Q1238" s="102"/>
      <c r="R1238" s="105"/>
    </row>
    <row r="1239" spans="1:18" s="30" customFormat="1" ht="14.25" customHeight="1">
      <c r="A1239" s="28" t="s">
        <v>361</v>
      </c>
      <c r="B1239" s="59" t="s">
        <v>74</v>
      </c>
      <c r="C1239" s="59" t="s">
        <v>66</v>
      </c>
      <c r="D1239" s="59" t="s">
        <v>358</v>
      </c>
      <c r="E1239" s="59"/>
      <c r="F1239" s="58">
        <f>F1240+F1244</f>
        <v>159.1</v>
      </c>
      <c r="N1239" s="102"/>
      <c r="O1239" s="102"/>
      <c r="P1239" s="102"/>
      <c r="Q1239" s="102"/>
      <c r="R1239" s="105"/>
    </row>
    <row r="1240" spans="1:18" s="30" customFormat="1" ht="44.25" customHeight="1">
      <c r="A1240" s="28" t="s">
        <v>287</v>
      </c>
      <c r="B1240" s="59" t="s">
        <v>74</v>
      </c>
      <c r="C1240" s="59" t="s">
        <v>66</v>
      </c>
      <c r="D1240" s="59" t="s">
        <v>359</v>
      </c>
      <c r="E1240" s="59"/>
      <c r="F1240" s="58">
        <f>F1241</f>
        <v>141.1</v>
      </c>
      <c r="N1240" s="102"/>
      <c r="O1240" s="102"/>
      <c r="P1240" s="102"/>
      <c r="Q1240" s="102"/>
      <c r="R1240" s="105"/>
    </row>
    <row r="1241" spans="1:18" s="30" customFormat="1" ht="27" customHeight="1">
      <c r="A1241" s="28" t="s">
        <v>105</v>
      </c>
      <c r="B1241" s="59" t="s">
        <v>74</v>
      </c>
      <c r="C1241" s="59" t="s">
        <v>66</v>
      </c>
      <c r="D1241" s="59" t="s">
        <v>359</v>
      </c>
      <c r="E1241" s="59" t="s">
        <v>106</v>
      </c>
      <c r="F1241" s="58">
        <f>F1242</f>
        <v>141.1</v>
      </c>
      <c r="N1241" s="102"/>
      <c r="O1241" s="102"/>
      <c r="P1241" s="102"/>
      <c r="Q1241" s="102"/>
      <c r="R1241" s="105"/>
    </row>
    <row r="1242" spans="1:18" s="30" customFormat="1" ht="17.25" customHeight="1">
      <c r="A1242" s="28" t="s">
        <v>111</v>
      </c>
      <c r="B1242" s="59" t="s">
        <v>74</v>
      </c>
      <c r="C1242" s="59" t="s">
        <v>66</v>
      </c>
      <c r="D1242" s="59" t="s">
        <v>359</v>
      </c>
      <c r="E1242" s="59" t="s">
        <v>112</v>
      </c>
      <c r="F1242" s="58">
        <f>F1243</f>
        <v>141.1</v>
      </c>
      <c r="N1242" s="102"/>
      <c r="O1242" s="102"/>
      <c r="P1242" s="102"/>
      <c r="Q1242" s="102"/>
      <c r="R1242" s="105"/>
    </row>
    <row r="1243" spans="1:18" s="30" customFormat="1" ht="16.5" customHeight="1">
      <c r="A1243" s="28" t="s">
        <v>115</v>
      </c>
      <c r="B1243" s="59" t="s">
        <v>74</v>
      </c>
      <c r="C1243" s="59" t="s">
        <v>66</v>
      </c>
      <c r="D1243" s="59" t="s">
        <v>359</v>
      </c>
      <c r="E1243" s="59" t="s">
        <v>116</v>
      </c>
      <c r="F1243" s="58">
        <f>'пр.4 вед.стр.'!G1193</f>
        <v>141.1</v>
      </c>
      <c r="N1243" s="102"/>
      <c r="O1243" s="102"/>
      <c r="P1243" s="102"/>
      <c r="Q1243" s="102"/>
      <c r="R1243" s="105"/>
    </row>
    <row r="1244" spans="1:18" s="30" customFormat="1" ht="18" customHeight="1">
      <c r="A1244" s="28" t="s">
        <v>235</v>
      </c>
      <c r="B1244" s="59" t="s">
        <v>74</v>
      </c>
      <c r="C1244" s="59" t="s">
        <v>66</v>
      </c>
      <c r="D1244" s="59" t="s">
        <v>362</v>
      </c>
      <c r="E1244" s="59"/>
      <c r="F1244" s="58">
        <f>F1245</f>
        <v>18</v>
      </c>
      <c r="N1244" s="102"/>
      <c r="O1244" s="102"/>
      <c r="P1244" s="102"/>
      <c r="Q1244" s="102"/>
      <c r="R1244" s="105"/>
    </row>
    <row r="1245" spans="1:18" s="30" customFormat="1" ht="30.75" customHeight="1">
      <c r="A1245" s="28" t="s">
        <v>105</v>
      </c>
      <c r="B1245" s="59" t="s">
        <v>74</v>
      </c>
      <c r="C1245" s="59" t="s">
        <v>66</v>
      </c>
      <c r="D1245" s="59" t="s">
        <v>362</v>
      </c>
      <c r="E1245" s="59" t="s">
        <v>106</v>
      </c>
      <c r="F1245" s="58">
        <f>F1246</f>
        <v>18</v>
      </c>
      <c r="N1245" s="106"/>
      <c r="O1245" s="106"/>
      <c r="P1245" s="106"/>
      <c r="Q1245" s="106"/>
      <c r="R1245" s="105"/>
    </row>
    <row r="1246" spans="1:18" s="30" customFormat="1" ht="15" customHeight="1">
      <c r="A1246" s="28" t="s">
        <v>111</v>
      </c>
      <c r="B1246" s="59" t="s">
        <v>74</v>
      </c>
      <c r="C1246" s="59" t="s">
        <v>66</v>
      </c>
      <c r="D1246" s="59" t="s">
        <v>362</v>
      </c>
      <c r="E1246" s="59" t="s">
        <v>112</v>
      </c>
      <c r="F1246" s="58">
        <f>F1247</f>
        <v>18</v>
      </c>
      <c r="N1246" s="102"/>
      <c r="O1246" s="102"/>
      <c r="P1246" s="102"/>
      <c r="Q1246" s="102"/>
      <c r="R1246" s="105"/>
    </row>
    <row r="1247" spans="1:18" s="30" customFormat="1" ht="15" customHeight="1">
      <c r="A1247" s="28" t="s">
        <v>115</v>
      </c>
      <c r="B1247" s="59" t="s">
        <v>74</v>
      </c>
      <c r="C1247" s="59" t="s">
        <v>66</v>
      </c>
      <c r="D1247" s="59" t="s">
        <v>362</v>
      </c>
      <c r="E1247" s="59" t="s">
        <v>116</v>
      </c>
      <c r="F1247" s="58">
        <f>'пр.4 вед.стр.'!G1197</f>
        <v>18</v>
      </c>
      <c r="N1247" s="102"/>
      <c r="O1247" s="102"/>
      <c r="P1247" s="102"/>
      <c r="Q1247" s="102"/>
      <c r="R1247" s="105"/>
    </row>
    <row r="1248" spans="1:18" s="30" customFormat="1" ht="18" customHeight="1">
      <c r="A1248" s="28" t="s">
        <v>29</v>
      </c>
      <c r="B1248" s="59" t="s">
        <v>74</v>
      </c>
      <c r="C1248" s="59" t="s">
        <v>66</v>
      </c>
      <c r="D1248" s="59" t="s">
        <v>232</v>
      </c>
      <c r="E1248" s="59"/>
      <c r="F1248" s="58">
        <f>F1249</f>
        <v>16584.6</v>
      </c>
      <c r="N1248" s="102"/>
      <c r="O1248" s="102"/>
      <c r="P1248" s="102"/>
      <c r="Q1248" s="102"/>
      <c r="R1248" s="105"/>
    </row>
    <row r="1249" spans="1:18" s="30" customFormat="1" ht="30.75" customHeight="1">
      <c r="A1249" s="28" t="s">
        <v>473</v>
      </c>
      <c r="B1249" s="59" t="s">
        <v>74</v>
      </c>
      <c r="C1249" s="59" t="s">
        <v>66</v>
      </c>
      <c r="D1249" s="59" t="s">
        <v>385</v>
      </c>
      <c r="E1249" s="59"/>
      <c r="F1249" s="58">
        <f>F1250</f>
        <v>16584.6</v>
      </c>
      <c r="N1249" s="102"/>
      <c r="O1249" s="102"/>
      <c r="P1249" s="102"/>
      <c r="Q1249" s="102"/>
      <c r="R1249" s="105"/>
    </row>
    <row r="1250" spans="1:18" s="30" customFormat="1" ht="16.5" customHeight="1">
      <c r="A1250" s="28" t="s">
        <v>249</v>
      </c>
      <c r="B1250" s="59" t="s">
        <v>74</v>
      </c>
      <c r="C1250" s="59" t="s">
        <v>66</v>
      </c>
      <c r="D1250" s="59" t="s">
        <v>386</v>
      </c>
      <c r="E1250" s="59"/>
      <c r="F1250" s="58">
        <f>F1251</f>
        <v>16584.6</v>
      </c>
      <c r="N1250" s="102"/>
      <c r="O1250" s="102"/>
      <c r="P1250" s="102"/>
      <c r="Q1250" s="102"/>
      <c r="R1250" s="105"/>
    </row>
    <row r="1251" spans="1:18" s="30" customFormat="1" ht="30.75" customHeight="1">
      <c r="A1251" s="28" t="s">
        <v>105</v>
      </c>
      <c r="B1251" s="59" t="s">
        <v>74</v>
      </c>
      <c r="C1251" s="59" t="s">
        <v>66</v>
      </c>
      <c r="D1251" s="59" t="s">
        <v>386</v>
      </c>
      <c r="E1251" s="59" t="s">
        <v>106</v>
      </c>
      <c r="F1251" s="58">
        <f>F1252</f>
        <v>16584.6</v>
      </c>
      <c r="N1251" s="102"/>
      <c r="O1251" s="102"/>
      <c r="P1251" s="102"/>
      <c r="Q1251" s="102"/>
      <c r="R1251" s="105"/>
    </row>
    <row r="1252" spans="1:18" s="30" customFormat="1" ht="15" customHeight="1">
      <c r="A1252" s="28" t="s">
        <v>111</v>
      </c>
      <c r="B1252" s="59" t="s">
        <v>74</v>
      </c>
      <c r="C1252" s="59" t="s">
        <v>66</v>
      </c>
      <c r="D1252" s="59" t="s">
        <v>386</v>
      </c>
      <c r="E1252" s="59" t="s">
        <v>112</v>
      </c>
      <c r="F1252" s="58">
        <f>F1253+F1254</f>
        <v>16584.6</v>
      </c>
      <c r="N1252" s="102"/>
      <c r="O1252" s="102"/>
      <c r="P1252" s="102"/>
      <c r="Q1252" s="102"/>
      <c r="R1252" s="105"/>
    </row>
    <row r="1253" spans="1:18" s="30" customFormat="1" ht="30.75" customHeight="1">
      <c r="A1253" s="28" t="s">
        <v>113</v>
      </c>
      <c r="B1253" s="59" t="s">
        <v>74</v>
      </c>
      <c r="C1253" s="59" t="s">
        <v>66</v>
      </c>
      <c r="D1253" s="59" t="s">
        <v>386</v>
      </c>
      <c r="E1253" s="59" t="s">
        <v>114</v>
      </c>
      <c r="F1253" s="58">
        <f>'пр.4 вед.стр.'!G1203</f>
        <v>15673.599999999999</v>
      </c>
      <c r="N1253" s="102"/>
      <c r="O1253" s="102"/>
      <c r="P1253" s="102"/>
      <c r="Q1253" s="102"/>
      <c r="R1253" s="105"/>
    </row>
    <row r="1254" spans="1:18" s="30" customFormat="1" ht="15.75" customHeight="1">
      <c r="A1254" s="28" t="s">
        <v>115</v>
      </c>
      <c r="B1254" s="59" t="s">
        <v>74</v>
      </c>
      <c r="C1254" s="59" t="s">
        <v>66</v>
      </c>
      <c r="D1254" s="59" t="s">
        <v>386</v>
      </c>
      <c r="E1254" s="59" t="s">
        <v>116</v>
      </c>
      <c r="F1254" s="58">
        <f>'пр.4 вед.стр.'!G1204</f>
        <v>911</v>
      </c>
      <c r="N1254" s="102"/>
      <c r="O1254" s="102"/>
      <c r="P1254" s="102"/>
      <c r="Q1254" s="102"/>
      <c r="R1254" s="105"/>
    </row>
    <row r="1255" spans="1:18" s="30" customFormat="1" ht="15" customHeight="1">
      <c r="A1255" s="28" t="s">
        <v>30</v>
      </c>
      <c r="B1255" s="59" t="s">
        <v>74</v>
      </c>
      <c r="C1255" s="59" t="s">
        <v>66</v>
      </c>
      <c r="D1255" s="59" t="s">
        <v>231</v>
      </c>
      <c r="E1255" s="59"/>
      <c r="F1255" s="58">
        <f>F1256</f>
        <v>100</v>
      </c>
      <c r="N1255" s="102"/>
      <c r="O1255" s="102"/>
      <c r="P1255" s="102"/>
      <c r="Q1255" s="102"/>
      <c r="R1255" s="105"/>
    </row>
    <row r="1256" spans="1:18" s="30" customFormat="1" ht="17.25" customHeight="1">
      <c r="A1256" s="28" t="s">
        <v>387</v>
      </c>
      <c r="B1256" s="59" t="s">
        <v>74</v>
      </c>
      <c r="C1256" s="59" t="s">
        <v>66</v>
      </c>
      <c r="D1256" s="59" t="s">
        <v>408</v>
      </c>
      <c r="E1256" s="59"/>
      <c r="F1256" s="58">
        <f>F1257</f>
        <v>100</v>
      </c>
      <c r="N1256" s="102"/>
      <c r="O1256" s="102"/>
      <c r="P1256" s="102"/>
      <c r="Q1256" s="102"/>
      <c r="R1256" s="105"/>
    </row>
    <row r="1257" spans="1:18" s="30" customFormat="1" ht="30.75" customHeight="1">
      <c r="A1257" s="28" t="s">
        <v>105</v>
      </c>
      <c r="B1257" s="59" t="s">
        <v>74</v>
      </c>
      <c r="C1257" s="59" t="s">
        <v>66</v>
      </c>
      <c r="D1257" s="59" t="s">
        <v>408</v>
      </c>
      <c r="E1257" s="59" t="s">
        <v>106</v>
      </c>
      <c r="F1257" s="58">
        <f>F1258</f>
        <v>100</v>
      </c>
      <c r="N1257" s="102"/>
      <c r="O1257" s="102"/>
      <c r="P1257" s="102"/>
      <c r="Q1257" s="102"/>
      <c r="R1257" s="105"/>
    </row>
    <row r="1258" spans="1:18" s="30" customFormat="1" ht="18" customHeight="1">
      <c r="A1258" s="28" t="s">
        <v>111</v>
      </c>
      <c r="B1258" s="59" t="s">
        <v>74</v>
      </c>
      <c r="C1258" s="59" t="s">
        <v>66</v>
      </c>
      <c r="D1258" s="59" t="s">
        <v>408</v>
      </c>
      <c r="E1258" s="59" t="s">
        <v>112</v>
      </c>
      <c r="F1258" s="58">
        <f>F1259</f>
        <v>100</v>
      </c>
      <c r="N1258" s="102"/>
      <c r="O1258" s="102"/>
      <c r="P1258" s="102"/>
      <c r="Q1258" s="102"/>
      <c r="R1258" s="105"/>
    </row>
    <row r="1259" spans="1:18" s="30" customFormat="1" ht="15" customHeight="1">
      <c r="A1259" s="28" t="s">
        <v>115</v>
      </c>
      <c r="B1259" s="59" t="s">
        <v>74</v>
      </c>
      <c r="C1259" s="59" t="s">
        <v>66</v>
      </c>
      <c r="D1259" s="59" t="s">
        <v>408</v>
      </c>
      <c r="E1259" s="59" t="s">
        <v>116</v>
      </c>
      <c r="F1259" s="58">
        <f>'пр.4 вед.стр.'!G1209</f>
        <v>100</v>
      </c>
      <c r="N1259" s="102"/>
      <c r="O1259" s="102"/>
      <c r="P1259" s="102"/>
      <c r="Q1259" s="102"/>
      <c r="R1259" s="105"/>
    </row>
    <row r="1260" spans="1:18" s="30" customFormat="1" ht="20.25" customHeight="1">
      <c r="A1260" s="61" t="s">
        <v>85</v>
      </c>
      <c r="B1260" s="63" t="s">
        <v>78</v>
      </c>
      <c r="C1260" s="63" t="s">
        <v>36</v>
      </c>
      <c r="D1260" s="59"/>
      <c r="E1260" s="59"/>
      <c r="F1260" s="64">
        <f>F1261</f>
        <v>5617</v>
      </c>
      <c r="N1260" s="102"/>
      <c r="O1260" s="102"/>
      <c r="P1260" s="102"/>
      <c r="Q1260" s="102"/>
      <c r="R1260" s="105"/>
    </row>
    <row r="1261" spans="1:18" s="30" customFormat="1" ht="19.5" customHeight="1">
      <c r="A1261" s="61" t="s">
        <v>13</v>
      </c>
      <c r="B1261" s="63" t="s">
        <v>78</v>
      </c>
      <c r="C1261" s="63" t="s">
        <v>67</v>
      </c>
      <c r="D1261" s="63"/>
      <c r="E1261" s="59"/>
      <c r="F1261" s="64">
        <f aca="true" t="shared" si="1" ref="F1261:F1266">F1262</f>
        <v>5617</v>
      </c>
      <c r="N1261" s="102"/>
      <c r="O1261" s="102"/>
      <c r="P1261" s="102"/>
      <c r="Q1261" s="102"/>
      <c r="R1261" s="105"/>
    </row>
    <row r="1262" spans="1:18" s="30" customFormat="1" ht="15" customHeight="1">
      <c r="A1262" s="28" t="s">
        <v>207</v>
      </c>
      <c r="B1262" s="59" t="s">
        <v>78</v>
      </c>
      <c r="C1262" s="59" t="s">
        <v>67</v>
      </c>
      <c r="D1262" s="59" t="s">
        <v>224</v>
      </c>
      <c r="E1262" s="59"/>
      <c r="F1262" s="58">
        <f t="shared" si="1"/>
        <v>5617</v>
      </c>
      <c r="N1262" s="102"/>
      <c r="O1262" s="102"/>
      <c r="P1262" s="102"/>
      <c r="Q1262" s="102"/>
      <c r="R1262" s="105"/>
    </row>
    <row r="1263" spans="1:18" s="30" customFormat="1" ht="30.75" customHeight="1">
      <c r="A1263" s="28" t="s">
        <v>250</v>
      </c>
      <c r="B1263" s="59" t="s">
        <v>78</v>
      </c>
      <c r="C1263" s="59" t="s">
        <v>67</v>
      </c>
      <c r="D1263" s="59" t="s">
        <v>367</v>
      </c>
      <c r="E1263" s="59"/>
      <c r="F1263" s="58">
        <f t="shared" si="1"/>
        <v>5617</v>
      </c>
      <c r="N1263" s="102"/>
      <c r="O1263" s="102"/>
      <c r="P1263" s="102"/>
      <c r="Q1263" s="102"/>
      <c r="R1263" s="105"/>
    </row>
    <row r="1264" spans="1:18" s="30" customFormat="1" ht="17.25" customHeight="1">
      <c r="A1264" s="28" t="s">
        <v>249</v>
      </c>
      <c r="B1264" s="59" t="s">
        <v>78</v>
      </c>
      <c r="C1264" s="59" t="s">
        <v>67</v>
      </c>
      <c r="D1264" s="59" t="s">
        <v>368</v>
      </c>
      <c r="E1264" s="59"/>
      <c r="F1264" s="58">
        <f t="shared" si="1"/>
        <v>5617</v>
      </c>
      <c r="N1264" s="102"/>
      <c r="O1264" s="102"/>
      <c r="P1264" s="102"/>
      <c r="Q1264" s="102"/>
      <c r="R1264" s="105"/>
    </row>
    <row r="1265" spans="1:18" s="30" customFormat="1" ht="30.75" customHeight="1">
      <c r="A1265" s="28" t="s">
        <v>105</v>
      </c>
      <c r="B1265" s="59" t="s">
        <v>78</v>
      </c>
      <c r="C1265" s="59" t="s">
        <v>67</v>
      </c>
      <c r="D1265" s="59" t="s">
        <v>368</v>
      </c>
      <c r="E1265" s="59" t="s">
        <v>106</v>
      </c>
      <c r="F1265" s="58">
        <f t="shared" si="1"/>
        <v>5617</v>
      </c>
      <c r="N1265" s="102"/>
      <c r="O1265" s="102"/>
      <c r="P1265" s="102"/>
      <c r="Q1265" s="102"/>
      <c r="R1265" s="105"/>
    </row>
    <row r="1266" spans="1:18" s="30" customFormat="1" ht="15" customHeight="1">
      <c r="A1266" s="28" t="s">
        <v>107</v>
      </c>
      <c r="B1266" s="59" t="s">
        <v>78</v>
      </c>
      <c r="C1266" s="59" t="s">
        <v>67</v>
      </c>
      <c r="D1266" s="59" t="s">
        <v>368</v>
      </c>
      <c r="E1266" s="59" t="s">
        <v>108</v>
      </c>
      <c r="F1266" s="58">
        <f t="shared" si="1"/>
        <v>5617</v>
      </c>
      <c r="N1266" s="102"/>
      <c r="O1266" s="102"/>
      <c r="P1266" s="102"/>
      <c r="Q1266" s="102"/>
      <c r="R1266" s="105"/>
    </row>
    <row r="1267" spans="1:18" s="30" customFormat="1" ht="27" customHeight="1">
      <c r="A1267" s="28" t="s">
        <v>109</v>
      </c>
      <c r="B1267" s="59" t="s">
        <v>78</v>
      </c>
      <c r="C1267" s="59" t="s">
        <v>67</v>
      </c>
      <c r="D1267" s="59" t="s">
        <v>368</v>
      </c>
      <c r="E1267" s="59" t="s">
        <v>110</v>
      </c>
      <c r="F1267" s="58">
        <f>'пр.4 вед.стр.'!G486</f>
        <v>5617</v>
      </c>
      <c r="N1267" s="102"/>
      <c r="O1267" s="102"/>
      <c r="P1267" s="102"/>
      <c r="Q1267" s="102"/>
      <c r="R1267" s="105"/>
    </row>
    <row r="1268" spans="1:18" s="30" customFormat="1" ht="12.75">
      <c r="A1268" s="61" t="s">
        <v>273</v>
      </c>
      <c r="B1268" s="63" t="s">
        <v>87</v>
      </c>
      <c r="C1268" s="63" t="s">
        <v>36</v>
      </c>
      <c r="D1268" s="63"/>
      <c r="E1268" s="63"/>
      <c r="F1268" s="64">
        <f>F1269</f>
        <v>39.4</v>
      </c>
      <c r="N1268" s="102"/>
      <c r="O1268" s="102"/>
      <c r="P1268" s="102"/>
      <c r="Q1268" s="102"/>
      <c r="R1268" s="105"/>
    </row>
    <row r="1269" spans="1:18" s="30" customFormat="1" ht="12.75">
      <c r="A1269" s="61" t="s">
        <v>91</v>
      </c>
      <c r="B1269" s="63" t="s">
        <v>87</v>
      </c>
      <c r="C1269" s="63" t="s">
        <v>66</v>
      </c>
      <c r="D1269" s="63"/>
      <c r="E1269" s="63"/>
      <c r="F1269" s="64">
        <f>F1270</f>
        <v>39.4</v>
      </c>
      <c r="N1269" s="102"/>
      <c r="O1269" s="102"/>
      <c r="P1269" s="102"/>
      <c r="Q1269" s="102"/>
      <c r="R1269" s="105"/>
    </row>
    <row r="1270" spans="1:18" s="30" customFormat="1" ht="12.75">
      <c r="A1270" s="28" t="s">
        <v>89</v>
      </c>
      <c r="B1270" s="59" t="s">
        <v>87</v>
      </c>
      <c r="C1270" s="59" t="s">
        <v>66</v>
      </c>
      <c r="D1270" s="59" t="s">
        <v>222</v>
      </c>
      <c r="E1270" s="59"/>
      <c r="F1270" s="58">
        <f>F1271</f>
        <v>39.4</v>
      </c>
      <c r="N1270" s="102"/>
      <c r="O1270" s="102"/>
      <c r="P1270" s="102"/>
      <c r="Q1270" s="102"/>
      <c r="R1270" s="105"/>
    </row>
    <row r="1271" spans="1:18" s="30" customFormat="1" ht="12.75">
      <c r="A1271" s="28" t="s">
        <v>90</v>
      </c>
      <c r="B1271" s="59" t="s">
        <v>87</v>
      </c>
      <c r="C1271" s="59" t="s">
        <v>66</v>
      </c>
      <c r="D1271" s="59" t="s">
        <v>399</v>
      </c>
      <c r="E1271" s="59"/>
      <c r="F1271" s="58">
        <f>F1272</f>
        <v>39.4</v>
      </c>
      <c r="N1271" s="102"/>
      <c r="O1271" s="102"/>
      <c r="P1271" s="102"/>
      <c r="Q1271" s="102"/>
      <c r="R1271" s="105"/>
    </row>
    <row r="1272" spans="1:18" s="30" customFormat="1" ht="12.75">
      <c r="A1272" s="28" t="s">
        <v>88</v>
      </c>
      <c r="B1272" s="59" t="s">
        <v>87</v>
      </c>
      <c r="C1272" s="59" t="s">
        <v>66</v>
      </c>
      <c r="D1272" s="59" t="s">
        <v>399</v>
      </c>
      <c r="E1272" s="59" t="s">
        <v>125</v>
      </c>
      <c r="F1272" s="58">
        <f>F1273</f>
        <v>39.4</v>
      </c>
      <c r="N1272" s="105"/>
      <c r="O1272" s="105"/>
      <c r="P1272" s="105"/>
      <c r="Q1272" s="105"/>
      <c r="R1272" s="105"/>
    </row>
    <row r="1273" spans="1:18" s="30" customFormat="1" ht="12.75">
      <c r="A1273" s="28" t="s">
        <v>126</v>
      </c>
      <c r="B1273" s="59" t="s">
        <v>87</v>
      </c>
      <c r="C1273" s="59" t="s">
        <v>66</v>
      </c>
      <c r="D1273" s="59" t="s">
        <v>399</v>
      </c>
      <c r="E1273" s="59" t="s">
        <v>127</v>
      </c>
      <c r="F1273" s="58">
        <f>'пр.4 вед.стр.'!G330</f>
        <v>39.4</v>
      </c>
      <c r="N1273" s="105"/>
      <c r="O1273" s="105"/>
      <c r="P1273" s="105"/>
      <c r="Q1273" s="105"/>
      <c r="R1273" s="105"/>
    </row>
    <row r="1274" spans="1:6" ht="12.75">
      <c r="A1274" s="160" t="s">
        <v>77</v>
      </c>
      <c r="B1274" s="63"/>
      <c r="C1274" s="63"/>
      <c r="D1274" s="63"/>
      <c r="E1274" s="63"/>
      <c r="F1274" s="64">
        <f>F8+F222+F231+F262+F342+F496+F527+F959+F1128+F1200+F1260+F1268</f>
        <v>700518.37</v>
      </c>
    </row>
    <row r="1301" spans="14:17" ht="12.75">
      <c r="N1301" s="105"/>
      <c r="O1301" s="105"/>
      <c r="P1301" s="105"/>
      <c r="Q1301" s="105"/>
    </row>
    <row r="1302" spans="14:17" ht="12.75">
      <c r="N1302" s="105"/>
      <c r="O1302" s="105"/>
      <c r="P1302" s="105"/>
      <c r="Q1302" s="105"/>
    </row>
    <row r="1305" spans="14:17" ht="12.75">
      <c r="N1305" s="105"/>
      <c r="O1305" s="105"/>
      <c r="P1305" s="105"/>
      <c r="Q1305" s="105"/>
    </row>
    <row r="1306" spans="14:17" ht="12.75">
      <c r="N1306" s="105"/>
      <c r="O1306" s="105"/>
      <c r="P1306" s="105"/>
      <c r="Q1306" s="105"/>
    </row>
    <row r="1307" spans="14:17" ht="12.75">
      <c r="N1307" s="105"/>
      <c r="O1307" s="105"/>
      <c r="P1307" s="105"/>
      <c r="Q1307" s="105"/>
    </row>
    <row r="1308" spans="14:17" ht="12.75">
      <c r="N1308" s="105"/>
      <c r="O1308" s="105"/>
      <c r="P1308" s="105"/>
      <c r="Q1308" s="105"/>
    </row>
    <row r="1309" spans="14:17" ht="12.75">
      <c r="N1309" s="105"/>
      <c r="O1309" s="105"/>
      <c r="P1309" s="105"/>
      <c r="Q1309" s="105"/>
    </row>
    <row r="1310" spans="14:17" ht="12.75">
      <c r="N1310" s="105"/>
      <c r="O1310" s="105"/>
      <c r="P1310" s="105"/>
      <c r="Q1310" s="105"/>
    </row>
    <row r="1311" spans="14:17" ht="12.75">
      <c r="N1311" s="105"/>
      <c r="O1311" s="105"/>
      <c r="P1311" s="105"/>
      <c r="Q1311" s="105"/>
    </row>
    <row r="1312" spans="14:17" ht="12.75">
      <c r="N1312" s="105"/>
      <c r="O1312" s="105"/>
      <c r="P1312" s="105"/>
      <c r="Q1312" s="105"/>
    </row>
    <row r="1313" spans="14:17" ht="12.75">
      <c r="N1313" s="105"/>
      <c r="O1313" s="105"/>
      <c r="P1313" s="105"/>
      <c r="Q1313" s="105"/>
    </row>
    <row r="1314" spans="14:17" ht="12.75">
      <c r="N1314" s="105"/>
      <c r="O1314" s="105"/>
      <c r="P1314" s="105"/>
      <c r="Q1314" s="105"/>
    </row>
    <row r="1315" spans="14:17" ht="12.75">
      <c r="N1315" s="105"/>
      <c r="O1315" s="105"/>
      <c r="P1315" s="105"/>
      <c r="Q1315" s="105"/>
    </row>
    <row r="1316" spans="14:17" ht="12.75">
      <c r="N1316" s="105"/>
      <c r="O1316" s="105"/>
      <c r="P1316" s="105"/>
      <c r="Q1316" s="105"/>
    </row>
    <row r="1317" spans="14:17" ht="12.75">
      <c r="N1317" s="105"/>
      <c r="O1317" s="105"/>
      <c r="P1317" s="105"/>
      <c r="Q1317" s="105"/>
    </row>
    <row r="1318" spans="14:17" ht="12.75">
      <c r="N1318" s="105"/>
      <c r="O1318" s="105"/>
      <c r="P1318" s="105"/>
      <c r="Q1318" s="105"/>
    </row>
    <row r="1319" spans="14:17" ht="12.75">
      <c r="N1319" s="105"/>
      <c r="O1319" s="105"/>
      <c r="P1319" s="105"/>
      <c r="Q1319" s="105"/>
    </row>
    <row r="1320" spans="14:17" ht="12.75">
      <c r="N1320" s="105"/>
      <c r="O1320" s="105"/>
      <c r="P1320" s="105"/>
      <c r="Q1320" s="105"/>
    </row>
    <row r="1321" spans="14:17" ht="12.75">
      <c r="N1321" s="105"/>
      <c r="O1321" s="105"/>
      <c r="P1321" s="105"/>
      <c r="Q1321" s="105"/>
    </row>
    <row r="1322" spans="14:17" ht="12.75">
      <c r="N1322" s="105"/>
      <c r="O1322" s="105"/>
      <c r="P1322" s="105"/>
      <c r="Q1322" s="105"/>
    </row>
    <row r="1323" spans="14:17" ht="12.75">
      <c r="N1323" s="105"/>
      <c r="O1323" s="105"/>
      <c r="P1323" s="105"/>
      <c r="Q1323" s="105"/>
    </row>
    <row r="1324" spans="14:17" ht="12.75">
      <c r="N1324" s="105"/>
      <c r="O1324" s="105"/>
      <c r="P1324" s="105"/>
      <c r="Q1324" s="105"/>
    </row>
    <row r="1325" spans="14:17" ht="12.75">
      <c r="N1325" s="105"/>
      <c r="O1325" s="105"/>
      <c r="P1325" s="105"/>
      <c r="Q1325" s="105"/>
    </row>
    <row r="1326" spans="14:17" ht="12.75">
      <c r="N1326" s="105"/>
      <c r="O1326" s="105"/>
      <c r="P1326" s="105"/>
      <c r="Q1326" s="105"/>
    </row>
    <row r="1331" spans="14:17" ht="12.75">
      <c r="N1331" s="105"/>
      <c r="O1331" s="105"/>
      <c r="P1331" s="105"/>
      <c r="Q1331" s="105"/>
    </row>
    <row r="1332" spans="14:17" ht="12.75">
      <c r="N1332" s="105"/>
      <c r="O1332" s="105"/>
      <c r="P1332" s="105"/>
      <c r="Q1332" s="105"/>
    </row>
    <row r="1377" spans="14:17" ht="12.75">
      <c r="N1377" s="105"/>
      <c r="O1377" s="105"/>
      <c r="P1377" s="105"/>
      <c r="Q1377" s="105"/>
    </row>
    <row r="1378" spans="14:17" ht="12.75">
      <c r="N1378" s="105"/>
      <c r="O1378" s="105"/>
      <c r="P1378" s="105"/>
      <c r="Q1378" s="105"/>
    </row>
    <row r="1379" spans="14:17" ht="12.75">
      <c r="N1379" s="105"/>
      <c r="O1379" s="105"/>
      <c r="P1379" s="105"/>
      <c r="Q1379" s="105"/>
    </row>
    <row r="1380" spans="14:17" ht="12.75">
      <c r="N1380" s="105"/>
      <c r="O1380" s="105"/>
      <c r="P1380" s="105"/>
      <c r="Q1380" s="105"/>
    </row>
    <row r="1381" spans="14:17" ht="12.75">
      <c r="N1381" s="105"/>
      <c r="O1381" s="105"/>
      <c r="P1381" s="105"/>
      <c r="Q1381" s="105"/>
    </row>
    <row r="1382" spans="14:17" ht="12.75">
      <c r="N1382" s="105"/>
      <c r="O1382" s="105"/>
      <c r="P1382" s="105"/>
      <c r="Q1382" s="105"/>
    </row>
    <row r="1383" spans="14:17" ht="12.75">
      <c r="N1383" s="107"/>
      <c r="O1383" s="107"/>
      <c r="P1383" s="107"/>
      <c r="Q1383" s="107"/>
    </row>
    <row r="1384" spans="14:17" ht="12.75">
      <c r="N1384" s="107"/>
      <c r="O1384" s="107"/>
      <c r="P1384" s="107"/>
      <c r="Q1384" s="107"/>
    </row>
    <row r="1385" spans="14:17" ht="12.75">
      <c r="N1385" s="105"/>
      <c r="O1385" s="105"/>
      <c r="P1385" s="105"/>
      <c r="Q1385" s="105"/>
    </row>
    <row r="1386" spans="14:17" ht="12.75">
      <c r="N1386" s="105"/>
      <c r="O1386" s="105"/>
      <c r="P1386" s="105"/>
      <c r="Q1386" s="105"/>
    </row>
    <row r="1387" spans="14:17" ht="12.75">
      <c r="N1387" s="105"/>
      <c r="O1387" s="105"/>
      <c r="P1387" s="105"/>
      <c r="Q1387" s="105"/>
    </row>
    <row r="1388" spans="14:17" ht="12.75">
      <c r="N1388" s="105"/>
      <c r="O1388" s="105"/>
      <c r="P1388" s="105"/>
      <c r="Q1388" s="105"/>
    </row>
    <row r="1389" spans="14:17" ht="12.75">
      <c r="N1389" s="105"/>
      <c r="O1389" s="105"/>
      <c r="P1389" s="105"/>
      <c r="Q1389" s="105"/>
    </row>
    <row r="1390" spans="14:17" ht="12.75">
      <c r="N1390" s="105"/>
      <c r="O1390" s="105"/>
      <c r="P1390" s="105"/>
      <c r="Q1390" s="105"/>
    </row>
    <row r="1391" spans="14:17" ht="12.75">
      <c r="N1391" s="105"/>
      <c r="O1391" s="105"/>
      <c r="P1391" s="105"/>
      <c r="Q1391" s="105"/>
    </row>
    <row r="1392" spans="14:17" ht="12.75">
      <c r="N1392" s="105"/>
      <c r="O1392" s="105"/>
      <c r="P1392" s="105"/>
      <c r="Q1392" s="105"/>
    </row>
    <row r="1393" spans="14:17" ht="12.75">
      <c r="N1393" s="105"/>
      <c r="O1393" s="105"/>
      <c r="P1393" s="105"/>
      <c r="Q1393" s="105"/>
    </row>
    <row r="1394" spans="14:17" ht="12.75">
      <c r="N1394" s="105"/>
      <c r="O1394" s="105"/>
      <c r="P1394" s="105"/>
      <c r="Q1394" s="105"/>
    </row>
  </sheetData>
  <sheetProtection/>
  <mergeCells count="4">
    <mergeCell ref="A1:F1"/>
    <mergeCell ref="A2:F2"/>
    <mergeCell ref="A3:F3"/>
    <mergeCell ref="A4:F4"/>
  </mergeCells>
  <printOptions/>
  <pageMargins left="0.984251968503937" right="0.3937007874015748" top="0.3937007874015748" bottom="0.3937007874015748" header="0.1968503937007874" footer="0.1968503937007874"/>
  <pageSetup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09"/>
  <sheetViews>
    <sheetView zoomScalePageLayoutView="0" workbookViewId="0" topLeftCell="A1">
      <selection activeCell="A1" sqref="A1:G1409"/>
    </sheetView>
  </sheetViews>
  <sheetFormatPr defaultColWidth="9.00390625" defaultRowHeight="12.75"/>
  <cols>
    <col min="1" max="1" width="74.25390625" style="127" customWidth="1"/>
    <col min="2" max="2" width="7.25390625" style="140" customWidth="1"/>
    <col min="3" max="3" width="3.875" style="140" customWidth="1"/>
    <col min="4" max="4" width="3.75390625" style="140" customWidth="1"/>
    <col min="5" max="5" width="15.625" style="140" customWidth="1"/>
    <col min="6" max="6" width="5.25390625" style="140" customWidth="1"/>
    <col min="7" max="7" width="10.875" style="140" customWidth="1"/>
    <col min="8" max="16384" width="9.125" style="11" customWidth="1"/>
  </cols>
  <sheetData>
    <row r="1" spans="1:7" ht="18.75" customHeight="1">
      <c r="A1" s="228" t="s">
        <v>813</v>
      </c>
      <c r="B1" s="228"/>
      <c r="C1" s="228"/>
      <c r="D1" s="228"/>
      <c r="E1" s="228"/>
      <c r="F1" s="228"/>
      <c r="G1" s="228"/>
    </row>
    <row r="2" spans="1:7" ht="23.25" customHeight="1">
      <c r="A2" s="228" t="str">
        <f>'пр.2 по разд'!A2:D2</f>
        <v>к  решению Собрания представителей Сусуманского городского округа</v>
      </c>
      <c r="B2" s="228"/>
      <c r="C2" s="228"/>
      <c r="D2" s="228"/>
      <c r="E2" s="228"/>
      <c r="F2" s="228"/>
      <c r="G2" s="228"/>
    </row>
    <row r="3" spans="1:7" ht="21" customHeight="1">
      <c r="A3" s="228" t="str">
        <f>'пр.2 по разд'!A3:D3</f>
        <v>от     26.12.2017 г.   № 215   </v>
      </c>
      <c r="B3" s="228"/>
      <c r="C3" s="228"/>
      <c r="D3" s="228"/>
      <c r="E3" s="228"/>
      <c r="F3" s="228"/>
      <c r="G3" s="228"/>
    </row>
    <row r="4" spans="1:7" ht="23.25" customHeight="1">
      <c r="A4" s="240" t="s">
        <v>667</v>
      </c>
      <c r="B4" s="240"/>
      <c r="C4" s="240"/>
      <c r="D4" s="240"/>
      <c r="E4" s="240"/>
      <c r="F4" s="240"/>
      <c r="G4" s="240"/>
    </row>
    <row r="5" ht="12.75">
      <c r="G5" s="140" t="s">
        <v>1</v>
      </c>
    </row>
    <row r="6" spans="1:7" ht="12.75">
      <c r="A6" s="150" t="s">
        <v>32</v>
      </c>
      <c r="B6" s="141" t="s">
        <v>0</v>
      </c>
      <c r="C6" s="141" t="s">
        <v>46</v>
      </c>
      <c r="D6" s="141" t="s">
        <v>45</v>
      </c>
      <c r="E6" s="141" t="s">
        <v>47</v>
      </c>
      <c r="F6" s="141" t="s">
        <v>48</v>
      </c>
      <c r="G6" s="76" t="str">
        <f>'пр.3'!F6</f>
        <v>Сумма</v>
      </c>
    </row>
    <row r="7" spans="1:7" ht="12.75">
      <c r="A7" s="150">
        <v>1</v>
      </c>
      <c r="B7" s="141">
        <v>2</v>
      </c>
      <c r="C7" s="141">
        <v>3</v>
      </c>
      <c r="D7" s="141">
        <v>4</v>
      </c>
      <c r="E7" s="141">
        <v>5</v>
      </c>
      <c r="F7" s="141">
        <v>6</v>
      </c>
      <c r="G7" s="141">
        <v>7</v>
      </c>
    </row>
    <row r="8" spans="1:7" ht="12.75">
      <c r="A8" s="151" t="s">
        <v>153</v>
      </c>
      <c r="B8" s="63" t="s">
        <v>409</v>
      </c>
      <c r="C8" s="63"/>
      <c r="D8" s="165"/>
      <c r="E8" s="165"/>
      <c r="F8" s="165"/>
      <c r="G8" s="64">
        <f>G9+G132+G231+G240+G163+G123+G198</f>
        <v>138919.77</v>
      </c>
    </row>
    <row r="9" spans="1:7" ht="12.75">
      <c r="A9" s="61" t="s">
        <v>2</v>
      </c>
      <c r="B9" s="63" t="s">
        <v>409</v>
      </c>
      <c r="C9" s="63" t="s">
        <v>66</v>
      </c>
      <c r="D9" s="63" t="s">
        <v>36</v>
      </c>
      <c r="E9" s="59"/>
      <c r="F9" s="59"/>
      <c r="G9" s="64">
        <f>G10+G18+G49</f>
        <v>97031</v>
      </c>
    </row>
    <row r="10" spans="1:7" ht="25.5">
      <c r="A10" s="152" t="s">
        <v>15</v>
      </c>
      <c r="B10" s="63" t="s">
        <v>409</v>
      </c>
      <c r="C10" s="63" t="s">
        <v>66</v>
      </c>
      <c r="D10" s="63" t="s">
        <v>67</v>
      </c>
      <c r="E10" s="63"/>
      <c r="F10" s="63"/>
      <c r="G10" s="64">
        <f>G11</f>
        <v>4452.2</v>
      </c>
    </row>
    <row r="11" spans="1:7" ht="24.75" customHeight="1">
      <c r="A11" s="28" t="s">
        <v>416</v>
      </c>
      <c r="B11" s="59" t="s">
        <v>409</v>
      </c>
      <c r="C11" s="59" t="s">
        <v>66</v>
      </c>
      <c r="D11" s="59" t="s">
        <v>67</v>
      </c>
      <c r="E11" s="59" t="s">
        <v>214</v>
      </c>
      <c r="F11" s="59"/>
      <c r="G11" s="58">
        <f>G12</f>
        <v>4452.2</v>
      </c>
    </row>
    <row r="12" spans="1:7" ht="12.75">
      <c r="A12" s="28" t="s">
        <v>16</v>
      </c>
      <c r="B12" s="59" t="s">
        <v>409</v>
      </c>
      <c r="C12" s="59" t="s">
        <v>66</v>
      </c>
      <c r="D12" s="59" t="s">
        <v>67</v>
      </c>
      <c r="E12" s="59" t="s">
        <v>238</v>
      </c>
      <c r="F12" s="59"/>
      <c r="G12" s="58">
        <f>G13</f>
        <v>4452.2</v>
      </c>
    </row>
    <row r="13" spans="1:7" ht="12.75">
      <c r="A13" s="28" t="s">
        <v>236</v>
      </c>
      <c r="B13" s="59" t="s">
        <v>409</v>
      </c>
      <c r="C13" s="59" t="s">
        <v>66</v>
      </c>
      <c r="D13" s="59" t="s">
        <v>67</v>
      </c>
      <c r="E13" s="59" t="s">
        <v>239</v>
      </c>
      <c r="F13" s="59"/>
      <c r="G13" s="58">
        <f>G14</f>
        <v>4452.2</v>
      </c>
    </row>
    <row r="14" spans="1:7" ht="47.25" customHeight="1">
      <c r="A14" s="28" t="s">
        <v>102</v>
      </c>
      <c r="B14" s="59" t="s">
        <v>409</v>
      </c>
      <c r="C14" s="59" t="s">
        <v>66</v>
      </c>
      <c r="D14" s="59" t="s">
        <v>67</v>
      </c>
      <c r="E14" s="59" t="s">
        <v>239</v>
      </c>
      <c r="F14" s="59" t="s">
        <v>103</v>
      </c>
      <c r="G14" s="58">
        <f>G15</f>
        <v>4452.2</v>
      </c>
    </row>
    <row r="15" spans="1:7" ht="12.75">
      <c r="A15" s="28" t="s">
        <v>93</v>
      </c>
      <c r="B15" s="59" t="s">
        <v>409</v>
      </c>
      <c r="C15" s="59" t="s">
        <v>66</v>
      </c>
      <c r="D15" s="59" t="s">
        <v>67</v>
      </c>
      <c r="E15" s="59" t="s">
        <v>239</v>
      </c>
      <c r="F15" s="59" t="s">
        <v>94</v>
      </c>
      <c r="G15" s="58">
        <f>G16+G17</f>
        <v>4452.2</v>
      </c>
    </row>
    <row r="16" spans="1:7" ht="12.75">
      <c r="A16" s="28" t="s">
        <v>158</v>
      </c>
      <c r="B16" s="59" t="s">
        <v>409</v>
      </c>
      <c r="C16" s="59" t="s">
        <v>66</v>
      </c>
      <c r="D16" s="59" t="s">
        <v>67</v>
      </c>
      <c r="E16" s="59" t="s">
        <v>239</v>
      </c>
      <c r="F16" s="59" t="s">
        <v>95</v>
      </c>
      <c r="G16" s="58">
        <f>3301.1+450</f>
        <v>3751.1</v>
      </c>
    </row>
    <row r="17" spans="1:7" ht="25.5">
      <c r="A17" s="28" t="s">
        <v>160</v>
      </c>
      <c r="B17" s="59" t="s">
        <v>409</v>
      </c>
      <c r="C17" s="59" t="s">
        <v>66</v>
      </c>
      <c r="D17" s="59" t="s">
        <v>67</v>
      </c>
      <c r="E17" s="59" t="s">
        <v>239</v>
      </c>
      <c r="F17" s="59" t="s">
        <v>159</v>
      </c>
      <c r="G17" s="58">
        <f>632.1+69</f>
        <v>701.1</v>
      </c>
    </row>
    <row r="18" spans="1:7" ht="38.25">
      <c r="A18" s="61" t="s">
        <v>17</v>
      </c>
      <c r="B18" s="63" t="s">
        <v>409</v>
      </c>
      <c r="C18" s="63" t="s">
        <v>66</v>
      </c>
      <c r="D18" s="63" t="s">
        <v>68</v>
      </c>
      <c r="E18" s="63"/>
      <c r="F18" s="63"/>
      <c r="G18" s="64">
        <f>G20+G32</f>
        <v>86817.6</v>
      </c>
    </row>
    <row r="19" spans="1:7" ht="18.75" customHeight="1">
      <c r="A19" s="28" t="s">
        <v>360</v>
      </c>
      <c r="B19" s="59" t="s">
        <v>409</v>
      </c>
      <c r="C19" s="59" t="s">
        <v>66</v>
      </c>
      <c r="D19" s="59" t="s">
        <v>68</v>
      </c>
      <c r="E19" s="59" t="s">
        <v>215</v>
      </c>
      <c r="F19" s="63"/>
      <c r="G19" s="64">
        <f>G20</f>
        <v>2436</v>
      </c>
    </row>
    <row r="20" spans="1:7" ht="12.75">
      <c r="A20" s="28" t="s">
        <v>361</v>
      </c>
      <c r="B20" s="59" t="s">
        <v>409</v>
      </c>
      <c r="C20" s="59" t="s">
        <v>66</v>
      </c>
      <c r="D20" s="59" t="s">
        <v>68</v>
      </c>
      <c r="E20" s="59" t="s">
        <v>358</v>
      </c>
      <c r="F20" s="59"/>
      <c r="G20" s="58">
        <f>G21+G25</f>
        <v>2436</v>
      </c>
    </row>
    <row r="21" spans="1:7" ht="51">
      <c r="A21" s="28" t="s">
        <v>287</v>
      </c>
      <c r="B21" s="59" t="s">
        <v>409</v>
      </c>
      <c r="C21" s="59" t="s">
        <v>66</v>
      </c>
      <c r="D21" s="59" t="s">
        <v>68</v>
      </c>
      <c r="E21" s="59" t="s">
        <v>359</v>
      </c>
      <c r="F21" s="59"/>
      <c r="G21" s="58">
        <f>G22</f>
        <v>2100</v>
      </c>
    </row>
    <row r="22" spans="1:7" ht="38.25">
      <c r="A22" s="28" t="s">
        <v>102</v>
      </c>
      <c r="B22" s="59" t="s">
        <v>409</v>
      </c>
      <c r="C22" s="59" t="s">
        <v>66</v>
      </c>
      <c r="D22" s="59" t="s">
        <v>68</v>
      </c>
      <c r="E22" s="59" t="s">
        <v>359</v>
      </c>
      <c r="F22" s="59" t="s">
        <v>103</v>
      </c>
      <c r="G22" s="58">
        <f>G23</f>
        <v>2100</v>
      </c>
    </row>
    <row r="23" spans="1:7" ht="12.75">
      <c r="A23" s="28" t="s">
        <v>93</v>
      </c>
      <c r="B23" s="59" t="s">
        <v>409</v>
      </c>
      <c r="C23" s="59" t="s">
        <v>66</v>
      </c>
      <c r="D23" s="59" t="s">
        <v>68</v>
      </c>
      <c r="E23" s="59" t="s">
        <v>359</v>
      </c>
      <c r="F23" s="59" t="s">
        <v>94</v>
      </c>
      <c r="G23" s="58">
        <f>G24</f>
        <v>2100</v>
      </c>
    </row>
    <row r="24" spans="1:7" ht="25.5">
      <c r="A24" s="28" t="s">
        <v>96</v>
      </c>
      <c r="B24" s="59" t="s">
        <v>409</v>
      </c>
      <c r="C24" s="59" t="s">
        <v>66</v>
      </c>
      <c r="D24" s="59" t="s">
        <v>68</v>
      </c>
      <c r="E24" s="59" t="s">
        <v>359</v>
      </c>
      <c r="F24" s="59" t="s">
        <v>97</v>
      </c>
      <c r="G24" s="58">
        <f>1800+250+50</f>
        <v>2100</v>
      </c>
    </row>
    <row r="25" spans="1:7" ht="12.75">
      <c r="A25" s="28" t="s">
        <v>235</v>
      </c>
      <c r="B25" s="59" t="s">
        <v>409</v>
      </c>
      <c r="C25" s="59" t="s">
        <v>66</v>
      </c>
      <c r="D25" s="59" t="s">
        <v>68</v>
      </c>
      <c r="E25" s="59" t="s">
        <v>362</v>
      </c>
      <c r="F25" s="59"/>
      <c r="G25" s="58">
        <f>G26+G29</f>
        <v>336</v>
      </c>
    </row>
    <row r="26" spans="1:7" ht="21.75" customHeight="1">
      <c r="A26" s="28" t="s">
        <v>102</v>
      </c>
      <c r="B26" s="59" t="s">
        <v>409</v>
      </c>
      <c r="C26" s="59" t="s">
        <v>66</v>
      </c>
      <c r="D26" s="59" t="s">
        <v>68</v>
      </c>
      <c r="E26" s="59" t="s">
        <v>362</v>
      </c>
      <c r="F26" s="59" t="s">
        <v>103</v>
      </c>
      <c r="G26" s="58">
        <f>G27</f>
        <v>286</v>
      </c>
    </row>
    <row r="27" spans="1:7" ht="12.75">
      <c r="A27" s="28" t="s">
        <v>93</v>
      </c>
      <c r="B27" s="59" t="s">
        <v>409</v>
      </c>
      <c r="C27" s="59" t="s">
        <v>66</v>
      </c>
      <c r="D27" s="59" t="s">
        <v>68</v>
      </c>
      <c r="E27" s="59" t="s">
        <v>362</v>
      </c>
      <c r="F27" s="59" t="s">
        <v>94</v>
      </c>
      <c r="G27" s="58">
        <f>G28</f>
        <v>286</v>
      </c>
    </row>
    <row r="28" spans="1:7" ht="25.5">
      <c r="A28" s="28" t="s">
        <v>96</v>
      </c>
      <c r="B28" s="59" t="s">
        <v>409</v>
      </c>
      <c r="C28" s="59" t="s">
        <v>66</v>
      </c>
      <c r="D28" s="59" t="s">
        <v>68</v>
      </c>
      <c r="E28" s="59" t="s">
        <v>362</v>
      </c>
      <c r="F28" s="59" t="s">
        <v>97</v>
      </c>
      <c r="G28" s="58">
        <f>50+100+136</f>
        <v>286</v>
      </c>
    </row>
    <row r="29" spans="1:7" ht="12.75">
      <c r="A29" s="28" t="s">
        <v>117</v>
      </c>
      <c r="B29" s="59" t="s">
        <v>409</v>
      </c>
      <c r="C29" s="59" t="s">
        <v>66</v>
      </c>
      <c r="D29" s="59" t="s">
        <v>68</v>
      </c>
      <c r="E29" s="59" t="s">
        <v>362</v>
      </c>
      <c r="F29" s="59" t="s">
        <v>118</v>
      </c>
      <c r="G29" s="58">
        <f>G30</f>
        <v>50</v>
      </c>
    </row>
    <row r="30" spans="1:7" ht="12.75">
      <c r="A30" s="28" t="s">
        <v>137</v>
      </c>
      <c r="B30" s="59" t="s">
        <v>409</v>
      </c>
      <c r="C30" s="59" t="s">
        <v>66</v>
      </c>
      <c r="D30" s="59" t="s">
        <v>68</v>
      </c>
      <c r="E30" s="59" t="s">
        <v>362</v>
      </c>
      <c r="F30" s="59" t="s">
        <v>136</v>
      </c>
      <c r="G30" s="58">
        <f>G31</f>
        <v>50</v>
      </c>
    </row>
    <row r="31" spans="1:7" ht="25.5">
      <c r="A31" s="28" t="s">
        <v>790</v>
      </c>
      <c r="B31" s="59" t="s">
        <v>409</v>
      </c>
      <c r="C31" s="59" t="s">
        <v>66</v>
      </c>
      <c r="D31" s="59" t="s">
        <v>68</v>
      </c>
      <c r="E31" s="59" t="s">
        <v>362</v>
      </c>
      <c r="F31" s="59" t="s">
        <v>139</v>
      </c>
      <c r="G31" s="58">
        <v>50</v>
      </c>
    </row>
    <row r="32" spans="1:7" ht="25.5">
      <c r="A32" s="28" t="s">
        <v>416</v>
      </c>
      <c r="B32" s="59" t="s">
        <v>409</v>
      </c>
      <c r="C32" s="59" t="s">
        <v>66</v>
      </c>
      <c r="D32" s="59" t="s">
        <v>68</v>
      </c>
      <c r="E32" s="59" t="s">
        <v>214</v>
      </c>
      <c r="F32" s="59"/>
      <c r="G32" s="58">
        <f>G33</f>
        <v>84381.6</v>
      </c>
    </row>
    <row r="33" spans="1:7" ht="12.75">
      <c r="A33" s="28" t="s">
        <v>50</v>
      </c>
      <c r="B33" s="59" t="s">
        <v>409</v>
      </c>
      <c r="C33" s="59" t="s">
        <v>66</v>
      </c>
      <c r="D33" s="59" t="s">
        <v>68</v>
      </c>
      <c r="E33" s="59" t="s">
        <v>240</v>
      </c>
      <c r="F33" s="59"/>
      <c r="G33" s="58">
        <f>G34+G40</f>
        <v>84381.6</v>
      </c>
    </row>
    <row r="34" spans="1:7" ht="12.75">
      <c r="A34" s="28" t="s">
        <v>236</v>
      </c>
      <c r="B34" s="59" t="s">
        <v>409</v>
      </c>
      <c r="C34" s="59" t="s">
        <v>66</v>
      </c>
      <c r="D34" s="59" t="s">
        <v>68</v>
      </c>
      <c r="E34" s="59" t="s">
        <v>241</v>
      </c>
      <c r="F34" s="59"/>
      <c r="G34" s="58">
        <f>G35</f>
        <v>78981</v>
      </c>
    </row>
    <row r="35" spans="1:7" ht="38.25">
      <c r="A35" s="28" t="s">
        <v>102</v>
      </c>
      <c r="B35" s="59" t="s">
        <v>409</v>
      </c>
      <c r="C35" s="59" t="s">
        <v>66</v>
      </c>
      <c r="D35" s="59" t="s">
        <v>68</v>
      </c>
      <c r="E35" s="59" t="s">
        <v>241</v>
      </c>
      <c r="F35" s="59" t="s">
        <v>103</v>
      </c>
      <c r="G35" s="58">
        <f>G36</f>
        <v>78981</v>
      </c>
    </row>
    <row r="36" spans="1:7" ht="12" customHeight="1">
      <c r="A36" s="28" t="s">
        <v>93</v>
      </c>
      <c r="B36" s="59" t="s">
        <v>409</v>
      </c>
      <c r="C36" s="59" t="s">
        <v>66</v>
      </c>
      <c r="D36" s="59" t="s">
        <v>68</v>
      </c>
      <c r="E36" s="59" t="s">
        <v>241</v>
      </c>
      <c r="F36" s="59" t="s">
        <v>94</v>
      </c>
      <c r="G36" s="58">
        <f>G37+G38+G39</f>
        <v>78981</v>
      </c>
    </row>
    <row r="37" spans="1:7" ht="12.75">
      <c r="A37" s="28" t="s">
        <v>158</v>
      </c>
      <c r="B37" s="59" t="s">
        <v>409</v>
      </c>
      <c r="C37" s="59" t="s">
        <v>66</v>
      </c>
      <c r="D37" s="59" t="s">
        <v>68</v>
      </c>
      <c r="E37" s="59" t="s">
        <v>241</v>
      </c>
      <c r="F37" s="59" t="s">
        <v>95</v>
      </c>
      <c r="G37" s="58">
        <f>61806.9+500.1-23</f>
        <v>62284</v>
      </c>
    </row>
    <row r="38" spans="1:7" ht="25.5">
      <c r="A38" s="28" t="s">
        <v>96</v>
      </c>
      <c r="B38" s="59" t="s">
        <v>409</v>
      </c>
      <c r="C38" s="59" t="s">
        <v>66</v>
      </c>
      <c r="D38" s="59" t="s">
        <v>68</v>
      </c>
      <c r="E38" s="59" t="s">
        <v>241</v>
      </c>
      <c r="F38" s="59" t="s">
        <v>97</v>
      </c>
      <c r="G38" s="58">
        <f>565-50-18</f>
        <v>497</v>
      </c>
    </row>
    <row r="39" spans="1:7" ht="25.5">
      <c r="A39" s="28" t="s">
        <v>160</v>
      </c>
      <c r="B39" s="59" t="s">
        <v>409</v>
      </c>
      <c r="C39" s="59" t="s">
        <v>66</v>
      </c>
      <c r="D39" s="59" t="s">
        <v>68</v>
      </c>
      <c r="E39" s="59" t="s">
        <v>241</v>
      </c>
      <c r="F39" s="59" t="s">
        <v>159</v>
      </c>
      <c r="G39" s="58">
        <f>15209.3-95.6-235.6-109.3-250+1681.2</f>
        <v>16200</v>
      </c>
    </row>
    <row r="40" spans="1:7" ht="12.75">
      <c r="A40" s="28" t="s">
        <v>237</v>
      </c>
      <c r="B40" s="59" t="s">
        <v>409</v>
      </c>
      <c r="C40" s="59" t="s">
        <v>66</v>
      </c>
      <c r="D40" s="59" t="s">
        <v>68</v>
      </c>
      <c r="E40" s="59" t="s">
        <v>242</v>
      </c>
      <c r="F40" s="59"/>
      <c r="G40" s="58">
        <f>G41+G44</f>
        <v>5400.6</v>
      </c>
    </row>
    <row r="41" spans="1:7" ht="25.5">
      <c r="A41" s="28" t="s">
        <v>610</v>
      </c>
      <c r="B41" s="59" t="s">
        <v>409</v>
      </c>
      <c r="C41" s="59" t="s">
        <v>66</v>
      </c>
      <c r="D41" s="59" t="s">
        <v>68</v>
      </c>
      <c r="E41" s="59" t="s">
        <v>242</v>
      </c>
      <c r="F41" s="59" t="s">
        <v>104</v>
      </c>
      <c r="G41" s="58">
        <f>G42</f>
        <v>4486.200000000001</v>
      </c>
    </row>
    <row r="42" spans="1:7" ht="25.5">
      <c r="A42" s="28" t="s">
        <v>98</v>
      </c>
      <c r="B42" s="59" t="s">
        <v>409</v>
      </c>
      <c r="C42" s="59" t="s">
        <v>66</v>
      </c>
      <c r="D42" s="59" t="s">
        <v>68</v>
      </c>
      <c r="E42" s="59" t="s">
        <v>242</v>
      </c>
      <c r="F42" s="59" t="s">
        <v>99</v>
      </c>
      <c r="G42" s="58">
        <f>G43</f>
        <v>4486.200000000001</v>
      </c>
    </row>
    <row r="43" spans="1:7" ht="25.5" customHeight="1">
      <c r="A43" s="28" t="s">
        <v>100</v>
      </c>
      <c r="B43" s="59" t="s">
        <v>409</v>
      </c>
      <c r="C43" s="59" t="s">
        <v>66</v>
      </c>
      <c r="D43" s="59" t="s">
        <v>68</v>
      </c>
      <c r="E43" s="59" t="s">
        <v>242</v>
      </c>
      <c r="F43" s="59" t="s">
        <v>101</v>
      </c>
      <c r="G43" s="58">
        <f>4224+94.1+109.3+58.8</f>
        <v>4486.200000000001</v>
      </c>
    </row>
    <row r="44" spans="1:7" ht="12.75">
      <c r="A44" s="28" t="s">
        <v>128</v>
      </c>
      <c r="B44" s="59" t="s">
        <v>409</v>
      </c>
      <c r="C44" s="59" t="s">
        <v>66</v>
      </c>
      <c r="D44" s="59" t="s">
        <v>68</v>
      </c>
      <c r="E44" s="59" t="s">
        <v>242</v>
      </c>
      <c r="F44" s="59" t="s">
        <v>129</v>
      </c>
      <c r="G44" s="58">
        <f>G45</f>
        <v>914.4</v>
      </c>
    </row>
    <row r="45" spans="1:7" ht="12.75">
      <c r="A45" s="28" t="s">
        <v>131</v>
      </c>
      <c r="B45" s="59" t="s">
        <v>409</v>
      </c>
      <c r="C45" s="59" t="s">
        <v>66</v>
      </c>
      <c r="D45" s="59" t="s">
        <v>68</v>
      </c>
      <c r="E45" s="59" t="s">
        <v>242</v>
      </c>
      <c r="F45" s="59" t="s">
        <v>132</v>
      </c>
      <c r="G45" s="58">
        <f>G46+G47+G48</f>
        <v>914.4</v>
      </c>
    </row>
    <row r="46" spans="1:7" ht="12.75">
      <c r="A46" s="28" t="s">
        <v>133</v>
      </c>
      <c r="B46" s="59" t="s">
        <v>409</v>
      </c>
      <c r="C46" s="59" t="s">
        <v>66</v>
      </c>
      <c r="D46" s="59" t="s">
        <v>68</v>
      </c>
      <c r="E46" s="59" t="s">
        <v>242</v>
      </c>
      <c r="F46" s="59" t="s">
        <v>134</v>
      </c>
      <c r="G46" s="58">
        <f>210-60-4+32.3</f>
        <v>178.3</v>
      </c>
    </row>
    <row r="47" spans="1:7" ht="12.75">
      <c r="A47" s="28" t="s">
        <v>161</v>
      </c>
      <c r="B47" s="59" t="s">
        <v>409</v>
      </c>
      <c r="C47" s="59" t="s">
        <v>66</v>
      </c>
      <c r="D47" s="59" t="s">
        <v>68</v>
      </c>
      <c r="E47" s="59" t="s">
        <v>242</v>
      </c>
      <c r="F47" s="59" t="s">
        <v>135</v>
      </c>
      <c r="G47" s="58">
        <f>65-32.3</f>
        <v>32.7</v>
      </c>
    </row>
    <row r="48" spans="1:7" ht="15.75" customHeight="1">
      <c r="A48" s="28" t="s">
        <v>162</v>
      </c>
      <c r="B48" s="59" t="s">
        <v>409</v>
      </c>
      <c r="C48" s="59" t="s">
        <v>66</v>
      </c>
      <c r="D48" s="59" t="s">
        <v>68</v>
      </c>
      <c r="E48" s="59" t="s">
        <v>242</v>
      </c>
      <c r="F48" s="59" t="s">
        <v>163</v>
      </c>
      <c r="G48" s="58">
        <f>60+95.6+483.8+60+4</f>
        <v>703.4</v>
      </c>
    </row>
    <row r="49" spans="1:7" ht="12.75">
      <c r="A49" s="61" t="s">
        <v>63</v>
      </c>
      <c r="B49" s="63" t="s">
        <v>409</v>
      </c>
      <c r="C49" s="63" t="s">
        <v>66</v>
      </c>
      <c r="D49" s="63" t="s">
        <v>87</v>
      </c>
      <c r="E49" s="63"/>
      <c r="F49" s="63"/>
      <c r="G49" s="64">
        <f>G50+G70+G81+G99+G105+G111</f>
        <v>5761.200000000001</v>
      </c>
    </row>
    <row r="50" spans="1:7" ht="24" customHeight="1">
      <c r="A50" s="28" t="s">
        <v>286</v>
      </c>
      <c r="B50" s="59" t="s">
        <v>409</v>
      </c>
      <c r="C50" s="59" t="s">
        <v>66</v>
      </c>
      <c r="D50" s="59" t="s">
        <v>87</v>
      </c>
      <c r="E50" s="59" t="s">
        <v>263</v>
      </c>
      <c r="F50" s="59"/>
      <c r="G50" s="58">
        <f>G51+G60</f>
        <v>2260</v>
      </c>
    </row>
    <row r="51" spans="1:7" ht="25.5">
      <c r="A51" s="28" t="s">
        <v>275</v>
      </c>
      <c r="B51" s="59" t="s">
        <v>409</v>
      </c>
      <c r="C51" s="59" t="s">
        <v>66</v>
      </c>
      <c r="D51" s="59" t="s">
        <v>87</v>
      </c>
      <c r="E51" s="59" t="s">
        <v>276</v>
      </c>
      <c r="F51" s="59"/>
      <c r="G51" s="58">
        <f>G52</f>
        <v>1390.6999999999998</v>
      </c>
    </row>
    <row r="52" spans="1:7" ht="51">
      <c r="A52" s="28" t="s">
        <v>417</v>
      </c>
      <c r="B52" s="59" t="s">
        <v>409</v>
      </c>
      <c r="C52" s="59" t="s">
        <v>66</v>
      </c>
      <c r="D52" s="59" t="s">
        <v>87</v>
      </c>
      <c r="E52" s="59" t="s">
        <v>264</v>
      </c>
      <c r="F52" s="59"/>
      <c r="G52" s="58">
        <f>G53+G57</f>
        <v>1390.6999999999998</v>
      </c>
    </row>
    <row r="53" spans="1:7" ht="38.25">
      <c r="A53" s="28" t="s">
        <v>102</v>
      </c>
      <c r="B53" s="59" t="s">
        <v>409</v>
      </c>
      <c r="C53" s="59" t="s">
        <v>66</v>
      </c>
      <c r="D53" s="59" t="s">
        <v>87</v>
      </c>
      <c r="E53" s="59" t="s">
        <v>264</v>
      </c>
      <c r="F53" s="59" t="s">
        <v>103</v>
      </c>
      <c r="G53" s="58">
        <f>G54</f>
        <v>642.8</v>
      </c>
    </row>
    <row r="54" spans="1:7" ht="20.25" customHeight="1">
      <c r="A54" s="28" t="s">
        <v>93</v>
      </c>
      <c r="B54" s="59" t="s">
        <v>409</v>
      </c>
      <c r="C54" s="59" t="s">
        <v>66</v>
      </c>
      <c r="D54" s="59" t="s">
        <v>87</v>
      </c>
      <c r="E54" s="59" t="s">
        <v>264</v>
      </c>
      <c r="F54" s="59" t="s">
        <v>94</v>
      </c>
      <c r="G54" s="58">
        <f>G55+G56</f>
        <v>642.8</v>
      </c>
    </row>
    <row r="55" spans="1:7" ht="19.5" customHeight="1">
      <c r="A55" s="28" t="s">
        <v>158</v>
      </c>
      <c r="B55" s="59" t="s">
        <v>409</v>
      </c>
      <c r="C55" s="59" t="s">
        <v>66</v>
      </c>
      <c r="D55" s="59" t="s">
        <v>87</v>
      </c>
      <c r="E55" s="59" t="s">
        <v>264</v>
      </c>
      <c r="F55" s="59" t="s">
        <v>95</v>
      </c>
      <c r="G55" s="58">
        <f>1095-596.6</f>
        <v>498.4</v>
      </c>
    </row>
    <row r="56" spans="1:7" ht="25.5">
      <c r="A56" s="28" t="s">
        <v>160</v>
      </c>
      <c r="B56" s="59" t="s">
        <v>409</v>
      </c>
      <c r="C56" s="59" t="s">
        <v>66</v>
      </c>
      <c r="D56" s="59" t="s">
        <v>87</v>
      </c>
      <c r="E56" s="59" t="s">
        <v>264</v>
      </c>
      <c r="F56" s="59" t="s">
        <v>159</v>
      </c>
      <c r="G56" s="58">
        <f>295.7-151.3</f>
        <v>144.39999999999998</v>
      </c>
    </row>
    <row r="57" spans="1:7" ht="25.5">
      <c r="A57" s="28" t="s">
        <v>610</v>
      </c>
      <c r="B57" s="59" t="s">
        <v>409</v>
      </c>
      <c r="C57" s="59" t="s">
        <v>66</v>
      </c>
      <c r="D57" s="59" t="s">
        <v>87</v>
      </c>
      <c r="E57" s="59" t="s">
        <v>264</v>
      </c>
      <c r="F57" s="59" t="s">
        <v>104</v>
      </c>
      <c r="G57" s="58">
        <f>G58</f>
        <v>747.9</v>
      </c>
    </row>
    <row r="58" spans="1:7" ht="25.5">
      <c r="A58" s="28" t="s">
        <v>98</v>
      </c>
      <c r="B58" s="59" t="s">
        <v>409</v>
      </c>
      <c r="C58" s="59" t="s">
        <v>66</v>
      </c>
      <c r="D58" s="59" t="s">
        <v>87</v>
      </c>
      <c r="E58" s="59" t="s">
        <v>264</v>
      </c>
      <c r="F58" s="59" t="s">
        <v>99</v>
      </c>
      <c r="G58" s="58">
        <f>G59</f>
        <v>747.9</v>
      </c>
    </row>
    <row r="59" spans="1:7" ht="25.5">
      <c r="A59" s="28" t="s">
        <v>100</v>
      </c>
      <c r="B59" s="59" t="s">
        <v>409</v>
      </c>
      <c r="C59" s="59" t="s">
        <v>66</v>
      </c>
      <c r="D59" s="59" t="s">
        <v>87</v>
      </c>
      <c r="E59" s="59" t="s">
        <v>264</v>
      </c>
      <c r="F59" s="59" t="s">
        <v>101</v>
      </c>
      <c r="G59" s="58">
        <v>747.9</v>
      </c>
    </row>
    <row r="60" spans="1:7" ht="25.5">
      <c r="A60" s="28" t="s">
        <v>277</v>
      </c>
      <c r="B60" s="59" t="s">
        <v>409</v>
      </c>
      <c r="C60" s="59" t="s">
        <v>66</v>
      </c>
      <c r="D60" s="59" t="s">
        <v>87</v>
      </c>
      <c r="E60" s="59" t="s">
        <v>278</v>
      </c>
      <c r="F60" s="59"/>
      <c r="G60" s="58">
        <f>G61</f>
        <v>869.3</v>
      </c>
    </row>
    <row r="61" spans="1:7" ht="25.5">
      <c r="A61" s="28" t="s">
        <v>293</v>
      </c>
      <c r="B61" s="59" t="s">
        <v>409</v>
      </c>
      <c r="C61" s="59" t="s">
        <v>66</v>
      </c>
      <c r="D61" s="59" t="s">
        <v>87</v>
      </c>
      <c r="E61" s="59" t="s">
        <v>265</v>
      </c>
      <c r="F61" s="59"/>
      <c r="G61" s="58">
        <f>G62+G67</f>
        <v>869.3</v>
      </c>
    </row>
    <row r="62" spans="1:7" ht="46.5" customHeight="1">
      <c r="A62" s="28" t="s">
        <v>102</v>
      </c>
      <c r="B62" s="59" t="s">
        <v>409</v>
      </c>
      <c r="C62" s="59" t="s">
        <v>66</v>
      </c>
      <c r="D62" s="59" t="s">
        <v>87</v>
      </c>
      <c r="E62" s="59" t="s">
        <v>265</v>
      </c>
      <c r="F62" s="59" t="s">
        <v>103</v>
      </c>
      <c r="G62" s="58">
        <f>G63</f>
        <v>698</v>
      </c>
    </row>
    <row r="63" spans="1:7" ht="15" customHeight="1">
      <c r="A63" s="28" t="s">
        <v>93</v>
      </c>
      <c r="B63" s="59" t="s">
        <v>409</v>
      </c>
      <c r="C63" s="59" t="s">
        <v>66</v>
      </c>
      <c r="D63" s="59" t="s">
        <v>87</v>
      </c>
      <c r="E63" s="59" t="s">
        <v>265</v>
      </c>
      <c r="F63" s="59" t="s">
        <v>94</v>
      </c>
      <c r="G63" s="58">
        <f>G64+G66+G65</f>
        <v>698</v>
      </c>
    </row>
    <row r="64" spans="1:7" ht="18" customHeight="1">
      <c r="A64" s="28" t="s">
        <v>158</v>
      </c>
      <c r="B64" s="59" t="s">
        <v>409</v>
      </c>
      <c r="C64" s="59" t="s">
        <v>66</v>
      </c>
      <c r="D64" s="59" t="s">
        <v>87</v>
      </c>
      <c r="E64" s="59" t="s">
        <v>265</v>
      </c>
      <c r="F64" s="59" t="s">
        <v>95</v>
      </c>
      <c r="G64" s="58">
        <f>742-195.5</f>
        <v>546.5</v>
      </c>
    </row>
    <row r="65" spans="1:7" ht="26.25" customHeight="1">
      <c r="A65" s="28" t="s">
        <v>96</v>
      </c>
      <c r="B65" s="59" t="s">
        <v>409</v>
      </c>
      <c r="C65" s="59" t="s">
        <v>66</v>
      </c>
      <c r="D65" s="59" t="s">
        <v>87</v>
      </c>
      <c r="E65" s="59" t="s">
        <v>265</v>
      </c>
      <c r="F65" s="59" t="s">
        <v>97</v>
      </c>
      <c r="G65" s="58">
        <f>15-14.7</f>
        <v>0.3000000000000007</v>
      </c>
    </row>
    <row r="66" spans="1:7" ht="26.25" customHeight="1">
      <c r="A66" s="28" t="s">
        <v>160</v>
      </c>
      <c r="B66" s="59" t="s">
        <v>409</v>
      </c>
      <c r="C66" s="59" t="s">
        <v>66</v>
      </c>
      <c r="D66" s="59" t="s">
        <v>87</v>
      </c>
      <c r="E66" s="59" t="s">
        <v>265</v>
      </c>
      <c r="F66" s="59" t="s">
        <v>159</v>
      </c>
      <c r="G66" s="58">
        <f>230-78.8</f>
        <v>151.2</v>
      </c>
    </row>
    <row r="67" spans="1:7" ht="26.25" customHeight="1">
      <c r="A67" s="28" t="s">
        <v>610</v>
      </c>
      <c r="B67" s="59" t="s">
        <v>409</v>
      </c>
      <c r="C67" s="59" t="s">
        <v>66</v>
      </c>
      <c r="D67" s="59" t="s">
        <v>87</v>
      </c>
      <c r="E67" s="59" t="s">
        <v>265</v>
      </c>
      <c r="F67" s="59" t="s">
        <v>104</v>
      </c>
      <c r="G67" s="58">
        <f>G68</f>
        <v>171.3</v>
      </c>
    </row>
    <row r="68" spans="1:7" ht="26.25" customHeight="1">
      <c r="A68" s="28" t="s">
        <v>98</v>
      </c>
      <c r="B68" s="59" t="s">
        <v>409</v>
      </c>
      <c r="C68" s="59" t="s">
        <v>66</v>
      </c>
      <c r="D68" s="59" t="s">
        <v>87</v>
      </c>
      <c r="E68" s="59" t="s">
        <v>265</v>
      </c>
      <c r="F68" s="59" t="s">
        <v>99</v>
      </c>
      <c r="G68" s="58">
        <f>G69</f>
        <v>171.3</v>
      </c>
    </row>
    <row r="69" spans="1:7" ht="29.25" customHeight="1">
      <c r="A69" s="28" t="s">
        <v>100</v>
      </c>
      <c r="B69" s="59" t="s">
        <v>409</v>
      </c>
      <c r="C69" s="59" t="s">
        <v>66</v>
      </c>
      <c r="D69" s="59" t="s">
        <v>87</v>
      </c>
      <c r="E69" s="59" t="s">
        <v>265</v>
      </c>
      <c r="F69" s="59" t="s">
        <v>101</v>
      </c>
      <c r="G69" s="58">
        <f>40.3+131</f>
        <v>171.3</v>
      </c>
    </row>
    <row r="70" spans="1:7" ht="12.75">
      <c r="A70" s="28" t="s">
        <v>418</v>
      </c>
      <c r="B70" s="59" t="s">
        <v>409</v>
      </c>
      <c r="C70" s="59" t="s">
        <v>66</v>
      </c>
      <c r="D70" s="59" t="s">
        <v>87</v>
      </c>
      <c r="E70" s="59" t="s">
        <v>419</v>
      </c>
      <c r="F70" s="59"/>
      <c r="G70" s="58">
        <f>G71</f>
        <v>1404.5</v>
      </c>
    </row>
    <row r="71" spans="1:7" ht="12.75">
      <c r="A71" s="28" t="s">
        <v>420</v>
      </c>
      <c r="B71" s="59" t="s">
        <v>409</v>
      </c>
      <c r="C71" s="59" t="s">
        <v>66</v>
      </c>
      <c r="D71" s="59" t="s">
        <v>87</v>
      </c>
      <c r="E71" s="59" t="s">
        <v>421</v>
      </c>
      <c r="F71" s="59"/>
      <c r="G71" s="58">
        <f>G72</f>
        <v>1404.5</v>
      </c>
    </row>
    <row r="72" spans="1:7" ht="89.25">
      <c r="A72" s="28" t="s">
        <v>422</v>
      </c>
      <c r="B72" s="59" t="s">
        <v>409</v>
      </c>
      <c r="C72" s="59" t="s">
        <v>66</v>
      </c>
      <c r="D72" s="59" t="s">
        <v>87</v>
      </c>
      <c r="E72" s="59" t="s">
        <v>266</v>
      </c>
      <c r="F72" s="59"/>
      <c r="G72" s="58">
        <f>G73+G78</f>
        <v>1404.5</v>
      </c>
    </row>
    <row r="73" spans="1:7" ht="38.25">
      <c r="A73" s="28" t="s">
        <v>102</v>
      </c>
      <c r="B73" s="59" t="s">
        <v>409</v>
      </c>
      <c r="C73" s="59" t="s">
        <v>66</v>
      </c>
      <c r="D73" s="59" t="s">
        <v>87</v>
      </c>
      <c r="E73" s="59" t="s">
        <v>266</v>
      </c>
      <c r="F73" s="59" t="s">
        <v>103</v>
      </c>
      <c r="G73" s="58">
        <f>G74</f>
        <v>1139.7</v>
      </c>
    </row>
    <row r="74" spans="1:7" ht="21" customHeight="1">
      <c r="A74" s="28" t="s">
        <v>93</v>
      </c>
      <c r="B74" s="59" t="s">
        <v>409</v>
      </c>
      <c r="C74" s="59" t="s">
        <v>66</v>
      </c>
      <c r="D74" s="59" t="s">
        <v>87</v>
      </c>
      <c r="E74" s="59" t="s">
        <v>266</v>
      </c>
      <c r="F74" s="59" t="s">
        <v>94</v>
      </c>
      <c r="G74" s="58">
        <f>G75+G76+G77</f>
        <v>1139.7</v>
      </c>
    </row>
    <row r="75" spans="1:7" ht="12.75">
      <c r="A75" s="28" t="s">
        <v>158</v>
      </c>
      <c r="B75" s="59" t="s">
        <v>409</v>
      </c>
      <c r="C75" s="59" t="s">
        <v>66</v>
      </c>
      <c r="D75" s="59" t="s">
        <v>87</v>
      </c>
      <c r="E75" s="59" t="s">
        <v>266</v>
      </c>
      <c r="F75" s="59" t="s">
        <v>95</v>
      </c>
      <c r="G75" s="58">
        <f>990-253.5-36</f>
        <v>700.5</v>
      </c>
    </row>
    <row r="76" spans="1:7" ht="25.5">
      <c r="A76" s="28" t="s">
        <v>96</v>
      </c>
      <c r="B76" s="59" t="s">
        <v>409</v>
      </c>
      <c r="C76" s="59" t="s">
        <v>66</v>
      </c>
      <c r="D76" s="59" t="s">
        <v>87</v>
      </c>
      <c r="E76" s="59" t="s">
        <v>266</v>
      </c>
      <c r="F76" s="59" t="s">
        <v>97</v>
      </c>
      <c r="G76" s="58">
        <f>31.2+220-51</f>
        <v>200.2</v>
      </c>
    </row>
    <row r="77" spans="1:7" ht="25.5">
      <c r="A77" s="28" t="s">
        <v>160</v>
      </c>
      <c r="B77" s="59" t="s">
        <v>409</v>
      </c>
      <c r="C77" s="59" t="s">
        <v>66</v>
      </c>
      <c r="D77" s="59" t="s">
        <v>87</v>
      </c>
      <c r="E77" s="59" t="s">
        <v>266</v>
      </c>
      <c r="F77" s="59" t="s">
        <v>159</v>
      </c>
      <c r="G77" s="58">
        <f>299-70+10</f>
        <v>239</v>
      </c>
    </row>
    <row r="78" spans="1:7" ht="25.5">
      <c r="A78" s="28" t="s">
        <v>610</v>
      </c>
      <c r="B78" s="59" t="s">
        <v>409</v>
      </c>
      <c r="C78" s="59" t="s">
        <v>66</v>
      </c>
      <c r="D78" s="59" t="s">
        <v>87</v>
      </c>
      <c r="E78" s="59" t="s">
        <v>266</v>
      </c>
      <c r="F78" s="59" t="s">
        <v>104</v>
      </c>
      <c r="G78" s="58">
        <f>G79</f>
        <v>264.8</v>
      </c>
    </row>
    <row r="79" spans="1:7" ht="25.5">
      <c r="A79" s="28" t="s">
        <v>98</v>
      </c>
      <c r="B79" s="59" t="s">
        <v>409</v>
      </c>
      <c r="C79" s="59" t="s">
        <v>66</v>
      </c>
      <c r="D79" s="59" t="s">
        <v>87</v>
      </c>
      <c r="E79" s="59" t="s">
        <v>266</v>
      </c>
      <c r="F79" s="59" t="s">
        <v>99</v>
      </c>
      <c r="G79" s="58">
        <f>G80</f>
        <v>264.8</v>
      </c>
    </row>
    <row r="80" spans="1:7" ht="25.5">
      <c r="A80" s="28" t="s">
        <v>100</v>
      </c>
      <c r="B80" s="59" t="s">
        <v>409</v>
      </c>
      <c r="C80" s="59" t="s">
        <v>66</v>
      </c>
      <c r="D80" s="59" t="s">
        <v>87</v>
      </c>
      <c r="E80" s="59" t="s">
        <v>266</v>
      </c>
      <c r="F80" s="59" t="s">
        <v>101</v>
      </c>
      <c r="G80" s="58">
        <f>86.3+103.5+75</f>
        <v>264.8</v>
      </c>
    </row>
    <row r="81" spans="1:7" ht="25.5">
      <c r="A81" s="126" t="s">
        <v>423</v>
      </c>
      <c r="B81" s="59" t="s">
        <v>409</v>
      </c>
      <c r="C81" s="59" t="s">
        <v>66</v>
      </c>
      <c r="D81" s="59" t="s">
        <v>87</v>
      </c>
      <c r="E81" s="161" t="s">
        <v>189</v>
      </c>
      <c r="F81" s="162"/>
      <c r="G81" s="58">
        <f>G82+G90</f>
        <v>50.9</v>
      </c>
    </row>
    <row r="82" spans="1:7" ht="25.5">
      <c r="A82" s="126" t="s">
        <v>243</v>
      </c>
      <c r="B82" s="59" t="s">
        <v>409</v>
      </c>
      <c r="C82" s="59" t="s">
        <v>66</v>
      </c>
      <c r="D82" s="59" t="s">
        <v>87</v>
      </c>
      <c r="E82" s="161" t="s">
        <v>338</v>
      </c>
      <c r="F82" s="162"/>
      <c r="G82" s="58">
        <f>G83</f>
        <v>25.9</v>
      </c>
    </row>
    <row r="83" spans="1:7" ht="25.5">
      <c r="A83" s="126" t="s">
        <v>204</v>
      </c>
      <c r="B83" s="59" t="s">
        <v>409</v>
      </c>
      <c r="C83" s="59" t="s">
        <v>66</v>
      </c>
      <c r="D83" s="59" t="s">
        <v>87</v>
      </c>
      <c r="E83" s="161" t="s">
        <v>424</v>
      </c>
      <c r="F83" s="162"/>
      <c r="G83" s="58">
        <f>G87+G84</f>
        <v>25.9</v>
      </c>
    </row>
    <row r="84" spans="1:7" ht="38.25">
      <c r="A84" s="28" t="s">
        <v>102</v>
      </c>
      <c r="B84" s="59" t="s">
        <v>409</v>
      </c>
      <c r="C84" s="59" t="s">
        <v>66</v>
      </c>
      <c r="D84" s="59" t="s">
        <v>87</v>
      </c>
      <c r="E84" s="161" t="s">
        <v>424</v>
      </c>
      <c r="F84" s="162" t="s">
        <v>103</v>
      </c>
      <c r="G84" s="58">
        <f>G85</f>
        <v>21.2</v>
      </c>
    </row>
    <row r="85" spans="1:7" ht="12.75">
      <c r="A85" s="28" t="s">
        <v>93</v>
      </c>
      <c r="B85" s="59" t="s">
        <v>409</v>
      </c>
      <c r="C85" s="59" t="s">
        <v>66</v>
      </c>
      <c r="D85" s="59" t="s">
        <v>87</v>
      </c>
      <c r="E85" s="161" t="s">
        <v>424</v>
      </c>
      <c r="F85" s="162" t="s">
        <v>94</v>
      </c>
      <c r="G85" s="58">
        <f>G86</f>
        <v>21.2</v>
      </c>
    </row>
    <row r="86" spans="1:7" ht="38.25">
      <c r="A86" s="126" t="s">
        <v>638</v>
      </c>
      <c r="B86" s="59" t="s">
        <v>409</v>
      </c>
      <c r="C86" s="59" t="s">
        <v>66</v>
      </c>
      <c r="D86" s="59" t="s">
        <v>87</v>
      </c>
      <c r="E86" s="161" t="s">
        <v>424</v>
      </c>
      <c r="F86" s="162" t="s">
        <v>639</v>
      </c>
      <c r="G86" s="58">
        <f>'МП пр.5'!G659</f>
        <v>21.2</v>
      </c>
    </row>
    <row r="87" spans="1:7" ht="25.5">
      <c r="A87" s="28" t="s">
        <v>610</v>
      </c>
      <c r="B87" s="59" t="s">
        <v>409</v>
      </c>
      <c r="C87" s="59" t="s">
        <v>66</v>
      </c>
      <c r="D87" s="59" t="s">
        <v>87</v>
      </c>
      <c r="E87" s="161" t="s">
        <v>424</v>
      </c>
      <c r="F87" s="162" t="s">
        <v>104</v>
      </c>
      <c r="G87" s="58">
        <f>G88</f>
        <v>4.7</v>
      </c>
    </row>
    <row r="88" spans="1:7" ht="25.5">
      <c r="A88" s="28" t="s">
        <v>98</v>
      </c>
      <c r="B88" s="59" t="s">
        <v>409</v>
      </c>
      <c r="C88" s="59" t="s">
        <v>66</v>
      </c>
      <c r="D88" s="59" t="s">
        <v>87</v>
      </c>
      <c r="E88" s="161" t="s">
        <v>424</v>
      </c>
      <c r="F88" s="162" t="s">
        <v>99</v>
      </c>
      <c r="G88" s="58">
        <f>G89</f>
        <v>4.7</v>
      </c>
    </row>
    <row r="89" spans="1:7" ht="25.5">
      <c r="A89" s="28" t="s">
        <v>100</v>
      </c>
      <c r="B89" s="59" t="s">
        <v>409</v>
      </c>
      <c r="C89" s="59" t="s">
        <v>66</v>
      </c>
      <c r="D89" s="59" t="s">
        <v>87</v>
      </c>
      <c r="E89" s="161" t="s">
        <v>424</v>
      </c>
      <c r="F89" s="162" t="s">
        <v>101</v>
      </c>
      <c r="G89" s="58">
        <f>'МП пр.5'!G663</f>
        <v>4.7</v>
      </c>
    </row>
    <row r="90" spans="1:7" ht="25.5">
      <c r="A90" s="28" t="str">
        <f>'МП пр.5'!A664</f>
        <v>Основное мероприятие "Профилактика правонарушений по отдельным видам противоправной деятельности"</v>
      </c>
      <c r="B90" s="59" t="s">
        <v>409</v>
      </c>
      <c r="C90" s="59" t="s">
        <v>66</v>
      </c>
      <c r="D90" s="59" t="s">
        <v>87</v>
      </c>
      <c r="E90" s="161" t="str">
        <f>'МП пр.5'!B664</f>
        <v>7Т 0 05 00000 </v>
      </c>
      <c r="F90" s="162"/>
      <c r="G90" s="58">
        <f>G91+G95</f>
        <v>25</v>
      </c>
    </row>
    <row r="91" spans="1:7" ht="27.75" customHeight="1">
      <c r="A91" s="28" t="str">
        <f>'МП пр.5'!A672</f>
        <v>Разработка сметы на оборудование мест массового пребывания людей системой видеонаблюдения</v>
      </c>
      <c r="B91" s="59" t="s">
        <v>409</v>
      </c>
      <c r="C91" s="59" t="s">
        <v>66</v>
      </c>
      <c r="D91" s="59" t="s">
        <v>87</v>
      </c>
      <c r="E91" s="161" t="str">
        <f>'МП пр.5'!B672</f>
        <v>7Т 0 05 95110 </v>
      </c>
      <c r="F91" s="162"/>
      <c r="G91" s="58">
        <f>G92</f>
        <v>0</v>
      </c>
    </row>
    <row r="92" spans="1:7" ht="25.5">
      <c r="A92" s="28" t="str">
        <f>'МП пр.5'!A675</f>
        <v>Закупка товаров, работ и услуг для обеспечения государственных (муниципальных) нужд</v>
      </c>
      <c r="B92" s="59" t="s">
        <v>409</v>
      </c>
      <c r="C92" s="59" t="s">
        <v>66</v>
      </c>
      <c r="D92" s="59" t="s">
        <v>87</v>
      </c>
      <c r="E92" s="161" t="str">
        <f>'МП пр.5'!B673</f>
        <v>7Т 0 05 95110 </v>
      </c>
      <c r="F92" s="168" t="str">
        <f>'МП пр.5'!E675</f>
        <v>200</v>
      </c>
      <c r="G92" s="58">
        <f>G93</f>
        <v>0</v>
      </c>
    </row>
    <row r="93" spans="1:7" ht="25.5">
      <c r="A93" s="28" t="str">
        <f>'МП пр.5'!A676</f>
        <v>Иные закупки товаров, работ и услуг для обеспечения государственных и муниципальных нужд</v>
      </c>
      <c r="B93" s="59" t="s">
        <v>409</v>
      </c>
      <c r="C93" s="59" t="s">
        <v>66</v>
      </c>
      <c r="D93" s="59" t="s">
        <v>87</v>
      </c>
      <c r="E93" s="161" t="str">
        <f>'МП пр.5'!B674</f>
        <v>7Т 0 05 95110 </v>
      </c>
      <c r="F93" s="168" t="str">
        <f>'МП пр.5'!E676</f>
        <v>240</v>
      </c>
      <c r="G93" s="58">
        <f>G94</f>
        <v>0</v>
      </c>
    </row>
    <row r="94" spans="1:7" ht="24.75" customHeight="1">
      <c r="A94" s="28" t="str">
        <f>'МП пр.5'!A677</f>
        <v>Прочая закупка товаров, работ и услуг для обеспечения государственных (муниципальных) нужд</v>
      </c>
      <c r="B94" s="59" t="s">
        <v>409</v>
      </c>
      <c r="C94" s="59" t="s">
        <v>66</v>
      </c>
      <c r="D94" s="59" t="s">
        <v>87</v>
      </c>
      <c r="E94" s="161" t="str">
        <f>'МП пр.5'!B675</f>
        <v>7Т 0 05 95110 </v>
      </c>
      <c r="F94" s="168" t="str">
        <f>'МП пр.5'!E677</f>
        <v>244</v>
      </c>
      <c r="G94" s="58">
        <f>'МП пр.5'!G678</f>
        <v>0</v>
      </c>
    </row>
    <row r="95" spans="1:7" ht="17.25" customHeight="1">
      <c r="A95" s="28" t="str">
        <f>'МП пр.5'!A679</f>
        <v>Приобретение баннера антитеррористической тематики</v>
      </c>
      <c r="B95" s="59" t="s">
        <v>409</v>
      </c>
      <c r="C95" s="59" t="s">
        <v>66</v>
      </c>
      <c r="D95" s="59" t="s">
        <v>87</v>
      </c>
      <c r="E95" s="161" t="str">
        <f>'МП пр.5'!B679</f>
        <v>7Т 0 05 95140 </v>
      </c>
      <c r="F95" s="168"/>
      <c r="G95" s="58">
        <f>G96</f>
        <v>25</v>
      </c>
    </row>
    <row r="96" spans="1:7" ht="16.5" customHeight="1">
      <c r="A96" s="28" t="str">
        <f>'МП пр.5'!A682</f>
        <v>Закупка товаров, работ и услуг для обеспечения государственных (муниципальных) нужд</v>
      </c>
      <c r="B96" s="59" t="s">
        <v>409</v>
      </c>
      <c r="C96" s="59" t="s">
        <v>66</v>
      </c>
      <c r="D96" s="59" t="s">
        <v>87</v>
      </c>
      <c r="E96" s="161" t="str">
        <f>'МП пр.5'!B680</f>
        <v>7Т 0 05 95140 </v>
      </c>
      <c r="F96" s="168" t="str">
        <f>'МП пр.5'!E682</f>
        <v>200</v>
      </c>
      <c r="G96" s="58">
        <f>G97</f>
        <v>25</v>
      </c>
    </row>
    <row r="97" spans="1:7" ht="24.75" customHeight="1">
      <c r="A97" s="28" t="str">
        <f>'МП пр.5'!A683</f>
        <v>Иные закупки товаров, работ и услуг для обеспечения государственных и муниципальных нужд</v>
      </c>
      <c r="B97" s="59" t="s">
        <v>409</v>
      </c>
      <c r="C97" s="59" t="s">
        <v>66</v>
      </c>
      <c r="D97" s="59" t="s">
        <v>87</v>
      </c>
      <c r="E97" s="161" t="str">
        <f>'МП пр.5'!B681</f>
        <v>7Т 0 05 95140 </v>
      </c>
      <c r="F97" s="168" t="str">
        <f>'МП пр.5'!E683</f>
        <v>240</v>
      </c>
      <c r="G97" s="58">
        <f>G98</f>
        <v>25</v>
      </c>
    </row>
    <row r="98" spans="1:7" ht="24.75" customHeight="1">
      <c r="A98" s="28" t="str">
        <f>'МП пр.5'!A684</f>
        <v>Прочая закупка товаров, работ и услуг для обеспечения государственных (муниципальных) нужд</v>
      </c>
      <c r="B98" s="59" t="s">
        <v>409</v>
      </c>
      <c r="C98" s="59" t="s">
        <v>66</v>
      </c>
      <c r="D98" s="59" t="s">
        <v>87</v>
      </c>
      <c r="E98" s="161" t="str">
        <f>'МП пр.5'!B682</f>
        <v>7Т 0 05 95140 </v>
      </c>
      <c r="F98" s="168" t="str">
        <f>'МП пр.5'!E684</f>
        <v>244</v>
      </c>
      <c r="G98" s="58">
        <f>'МП пр.5'!G685</f>
        <v>25</v>
      </c>
    </row>
    <row r="99" spans="1:7" ht="25.5">
      <c r="A99" s="28" t="s">
        <v>425</v>
      </c>
      <c r="B99" s="59" t="s">
        <v>409</v>
      </c>
      <c r="C99" s="59" t="s">
        <v>66</v>
      </c>
      <c r="D99" s="59" t="s">
        <v>87</v>
      </c>
      <c r="E99" s="161" t="s">
        <v>426</v>
      </c>
      <c r="F99" s="162"/>
      <c r="G99" s="58">
        <f>G100</f>
        <v>118.4</v>
      </c>
    </row>
    <row r="100" spans="1:7" ht="25.5">
      <c r="A100" s="28" t="s">
        <v>427</v>
      </c>
      <c r="B100" s="59" t="s">
        <v>409</v>
      </c>
      <c r="C100" s="59" t="s">
        <v>66</v>
      </c>
      <c r="D100" s="59" t="s">
        <v>87</v>
      </c>
      <c r="E100" s="161" t="s">
        <v>428</v>
      </c>
      <c r="F100" s="162"/>
      <c r="G100" s="58">
        <f>G101</f>
        <v>118.4</v>
      </c>
    </row>
    <row r="101" spans="1:7" ht="12.75">
      <c r="A101" s="28" t="s">
        <v>429</v>
      </c>
      <c r="B101" s="59" t="s">
        <v>409</v>
      </c>
      <c r="C101" s="59" t="s">
        <v>66</v>
      </c>
      <c r="D101" s="59" t="s">
        <v>87</v>
      </c>
      <c r="E101" s="161" t="s">
        <v>430</v>
      </c>
      <c r="F101" s="162"/>
      <c r="G101" s="58">
        <f>G102</f>
        <v>118.4</v>
      </c>
    </row>
    <row r="102" spans="1:7" ht="25.5">
      <c r="A102" s="28" t="s">
        <v>610</v>
      </c>
      <c r="B102" s="59" t="s">
        <v>409</v>
      </c>
      <c r="C102" s="59" t="s">
        <v>66</v>
      </c>
      <c r="D102" s="59" t="s">
        <v>87</v>
      </c>
      <c r="E102" s="161" t="s">
        <v>430</v>
      </c>
      <c r="F102" s="162" t="s">
        <v>104</v>
      </c>
      <c r="G102" s="58">
        <f>G103</f>
        <v>118.4</v>
      </c>
    </row>
    <row r="103" spans="1:7" ht="25.5">
      <c r="A103" s="28" t="s">
        <v>98</v>
      </c>
      <c r="B103" s="59" t="s">
        <v>409</v>
      </c>
      <c r="C103" s="59" t="s">
        <v>66</v>
      </c>
      <c r="D103" s="59" t="s">
        <v>87</v>
      </c>
      <c r="E103" s="161" t="s">
        <v>430</v>
      </c>
      <c r="F103" s="162" t="s">
        <v>99</v>
      </c>
      <c r="G103" s="58">
        <f>G104</f>
        <v>118.4</v>
      </c>
    </row>
    <row r="104" spans="1:7" ht="25.5">
      <c r="A104" s="28" t="s">
        <v>100</v>
      </c>
      <c r="B104" s="59" t="s">
        <v>409</v>
      </c>
      <c r="C104" s="59" t="s">
        <v>66</v>
      </c>
      <c r="D104" s="59" t="s">
        <v>87</v>
      </c>
      <c r="E104" s="161" t="s">
        <v>430</v>
      </c>
      <c r="F104" s="162" t="s">
        <v>101</v>
      </c>
      <c r="G104" s="58">
        <f>'МП пр.5'!G889</f>
        <v>118.4</v>
      </c>
    </row>
    <row r="105" spans="1:7" ht="18" customHeight="1">
      <c r="A105" s="28" t="s">
        <v>360</v>
      </c>
      <c r="B105" s="59" t="s">
        <v>409</v>
      </c>
      <c r="C105" s="59" t="s">
        <v>66</v>
      </c>
      <c r="D105" s="59" t="s">
        <v>87</v>
      </c>
      <c r="E105" s="59" t="s">
        <v>215</v>
      </c>
      <c r="F105" s="59"/>
      <c r="G105" s="58">
        <f>G106</f>
        <v>0</v>
      </c>
    </row>
    <row r="106" spans="1:7" ht="20.25" customHeight="1">
      <c r="A106" s="28" t="s">
        <v>361</v>
      </c>
      <c r="B106" s="59" t="s">
        <v>409</v>
      </c>
      <c r="C106" s="59" t="s">
        <v>66</v>
      </c>
      <c r="D106" s="59" t="s">
        <v>87</v>
      </c>
      <c r="E106" s="59" t="s">
        <v>358</v>
      </c>
      <c r="F106" s="59"/>
      <c r="G106" s="58">
        <f>G107</f>
        <v>0</v>
      </c>
    </row>
    <row r="107" spans="1:7" ht="54.75" customHeight="1">
      <c r="A107" s="28" t="s">
        <v>287</v>
      </c>
      <c r="B107" s="59" t="s">
        <v>409</v>
      </c>
      <c r="C107" s="59" t="s">
        <v>66</v>
      </c>
      <c r="D107" s="59" t="s">
        <v>87</v>
      </c>
      <c r="E107" s="59" t="s">
        <v>359</v>
      </c>
      <c r="F107" s="59"/>
      <c r="G107" s="58">
        <f>G108</f>
        <v>0</v>
      </c>
    </row>
    <row r="108" spans="1:7" ht="27" customHeight="1">
      <c r="A108" s="28" t="s">
        <v>102</v>
      </c>
      <c r="B108" s="59" t="s">
        <v>409</v>
      </c>
      <c r="C108" s="59" t="s">
        <v>66</v>
      </c>
      <c r="D108" s="59" t="s">
        <v>87</v>
      </c>
      <c r="E108" s="59" t="s">
        <v>359</v>
      </c>
      <c r="F108" s="59" t="s">
        <v>103</v>
      </c>
      <c r="G108" s="58">
        <f>G109</f>
        <v>0</v>
      </c>
    </row>
    <row r="109" spans="1:7" ht="15.75" customHeight="1">
      <c r="A109" s="28" t="s">
        <v>93</v>
      </c>
      <c r="B109" s="59" t="s">
        <v>409</v>
      </c>
      <c r="C109" s="59" t="s">
        <v>66</v>
      </c>
      <c r="D109" s="59" t="s">
        <v>87</v>
      </c>
      <c r="E109" s="59" t="s">
        <v>359</v>
      </c>
      <c r="F109" s="59" t="s">
        <v>94</v>
      </c>
      <c r="G109" s="58">
        <f>G110</f>
        <v>0</v>
      </c>
    </row>
    <row r="110" spans="1:7" ht="25.5" customHeight="1">
      <c r="A110" s="28" t="s">
        <v>96</v>
      </c>
      <c r="B110" s="59" t="s">
        <v>409</v>
      </c>
      <c r="C110" s="59" t="s">
        <v>66</v>
      </c>
      <c r="D110" s="59" t="s">
        <v>87</v>
      </c>
      <c r="E110" s="59" t="s">
        <v>359</v>
      </c>
      <c r="F110" s="59" t="s">
        <v>97</v>
      </c>
      <c r="G110" s="58">
        <f>50-50</f>
        <v>0</v>
      </c>
    </row>
    <row r="111" spans="1:7" ht="28.5" customHeight="1">
      <c r="A111" s="28" t="s">
        <v>416</v>
      </c>
      <c r="B111" s="59" t="s">
        <v>409</v>
      </c>
      <c r="C111" s="59" t="s">
        <v>66</v>
      </c>
      <c r="D111" s="59" t="s">
        <v>87</v>
      </c>
      <c r="E111" s="59" t="s">
        <v>214</v>
      </c>
      <c r="F111" s="59"/>
      <c r="G111" s="58">
        <f>G112</f>
        <v>1927.4</v>
      </c>
    </row>
    <row r="112" spans="1:7" ht="27" customHeight="1">
      <c r="A112" s="28" t="s">
        <v>693</v>
      </c>
      <c r="B112" s="59" t="s">
        <v>409</v>
      </c>
      <c r="C112" s="59" t="s">
        <v>66</v>
      </c>
      <c r="D112" s="59" t="s">
        <v>87</v>
      </c>
      <c r="E112" s="59" t="s">
        <v>694</v>
      </c>
      <c r="F112" s="59"/>
      <c r="G112" s="58">
        <f>G113+G119</f>
        <v>1927.4</v>
      </c>
    </row>
    <row r="113" spans="1:7" ht="12.75">
      <c r="A113" s="28" t="s">
        <v>236</v>
      </c>
      <c r="B113" s="59" t="s">
        <v>409</v>
      </c>
      <c r="C113" s="59" t="s">
        <v>66</v>
      </c>
      <c r="D113" s="59" t="s">
        <v>87</v>
      </c>
      <c r="E113" s="59" t="s">
        <v>695</v>
      </c>
      <c r="F113" s="59"/>
      <c r="G113" s="58">
        <f>G114</f>
        <v>1842.9</v>
      </c>
    </row>
    <row r="114" spans="1:7" ht="38.25">
      <c r="A114" s="28" t="s">
        <v>102</v>
      </c>
      <c r="B114" s="59" t="s">
        <v>409</v>
      </c>
      <c r="C114" s="59" t="s">
        <v>66</v>
      </c>
      <c r="D114" s="59" t="s">
        <v>87</v>
      </c>
      <c r="E114" s="59" t="s">
        <v>695</v>
      </c>
      <c r="F114" s="59" t="s">
        <v>103</v>
      </c>
      <c r="G114" s="58">
        <f>G115</f>
        <v>1842.9</v>
      </c>
    </row>
    <row r="115" spans="1:7" ht="12.75">
      <c r="A115" s="28" t="s">
        <v>93</v>
      </c>
      <c r="B115" s="59" t="s">
        <v>409</v>
      </c>
      <c r="C115" s="59" t="s">
        <v>66</v>
      </c>
      <c r="D115" s="59" t="s">
        <v>87</v>
      </c>
      <c r="E115" s="59" t="s">
        <v>695</v>
      </c>
      <c r="F115" s="59" t="s">
        <v>94</v>
      </c>
      <c r="G115" s="58">
        <f>G116+G117+G118</f>
        <v>1842.9</v>
      </c>
    </row>
    <row r="116" spans="1:7" s="57" customFormat="1" ht="15.75" customHeight="1">
      <c r="A116" s="28" t="s">
        <v>158</v>
      </c>
      <c r="B116" s="59" t="s">
        <v>409</v>
      </c>
      <c r="C116" s="59" t="s">
        <v>66</v>
      </c>
      <c r="D116" s="59" t="s">
        <v>87</v>
      </c>
      <c r="E116" s="59" t="s">
        <v>695</v>
      </c>
      <c r="F116" s="59" t="s">
        <v>95</v>
      </c>
      <c r="G116" s="58">
        <f>650+750</f>
        <v>1400</v>
      </c>
    </row>
    <row r="117" spans="1:7" ht="25.5">
      <c r="A117" s="28" t="s">
        <v>96</v>
      </c>
      <c r="B117" s="59" t="s">
        <v>409</v>
      </c>
      <c r="C117" s="59" t="s">
        <v>66</v>
      </c>
      <c r="D117" s="59" t="s">
        <v>87</v>
      </c>
      <c r="E117" s="59" t="s">
        <v>695</v>
      </c>
      <c r="F117" s="59" t="s">
        <v>97</v>
      </c>
      <c r="G117" s="58">
        <f>8+18</f>
        <v>26</v>
      </c>
    </row>
    <row r="118" spans="1:7" ht="25.5">
      <c r="A118" s="28" t="s">
        <v>160</v>
      </c>
      <c r="B118" s="59" t="s">
        <v>409</v>
      </c>
      <c r="C118" s="59" t="s">
        <v>66</v>
      </c>
      <c r="D118" s="59" t="s">
        <v>87</v>
      </c>
      <c r="E118" s="59" t="s">
        <v>695</v>
      </c>
      <c r="F118" s="59" t="s">
        <v>159</v>
      </c>
      <c r="G118" s="58">
        <f>196.9+220</f>
        <v>416.9</v>
      </c>
    </row>
    <row r="119" spans="1:7" ht="12.75">
      <c r="A119" s="28" t="s">
        <v>237</v>
      </c>
      <c r="B119" s="59" t="s">
        <v>409</v>
      </c>
      <c r="C119" s="59" t="s">
        <v>66</v>
      </c>
      <c r="D119" s="59" t="s">
        <v>87</v>
      </c>
      <c r="E119" s="59" t="s">
        <v>696</v>
      </c>
      <c r="F119" s="59"/>
      <c r="G119" s="58">
        <f>G120</f>
        <v>84.5</v>
      </c>
    </row>
    <row r="120" spans="1:7" ht="25.5">
      <c r="A120" s="28" t="s">
        <v>610</v>
      </c>
      <c r="B120" s="59" t="s">
        <v>409</v>
      </c>
      <c r="C120" s="59" t="s">
        <v>66</v>
      </c>
      <c r="D120" s="59" t="s">
        <v>87</v>
      </c>
      <c r="E120" s="59" t="s">
        <v>696</v>
      </c>
      <c r="F120" s="59" t="s">
        <v>104</v>
      </c>
      <c r="G120" s="58">
        <f>G121</f>
        <v>84.5</v>
      </c>
    </row>
    <row r="121" spans="1:7" ht="25.5">
      <c r="A121" s="28" t="s">
        <v>98</v>
      </c>
      <c r="B121" s="59" t="s">
        <v>409</v>
      </c>
      <c r="C121" s="59" t="s">
        <v>66</v>
      </c>
      <c r="D121" s="59" t="s">
        <v>87</v>
      </c>
      <c r="E121" s="59" t="s">
        <v>696</v>
      </c>
      <c r="F121" s="59" t="s">
        <v>99</v>
      </c>
      <c r="G121" s="58">
        <f>G122</f>
        <v>84.5</v>
      </c>
    </row>
    <row r="122" spans="1:7" ht="25.5">
      <c r="A122" s="28" t="s">
        <v>100</v>
      </c>
      <c r="B122" s="59" t="s">
        <v>409</v>
      </c>
      <c r="C122" s="59" t="s">
        <v>66</v>
      </c>
      <c r="D122" s="59" t="s">
        <v>87</v>
      </c>
      <c r="E122" s="59" t="s">
        <v>696</v>
      </c>
      <c r="F122" s="59" t="s">
        <v>101</v>
      </c>
      <c r="G122" s="58">
        <f>108-23.5</f>
        <v>84.5</v>
      </c>
    </row>
    <row r="123" spans="1:7" ht="13.5" customHeight="1">
      <c r="A123" s="61" t="s">
        <v>272</v>
      </c>
      <c r="B123" s="63" t="s">
        <v>409</v>
      </c>
      <c r="C123" s="63" t="s">
        <v>67</v>
      </c>
      <c r="D123" s="63" t="s">
        <v>36</v>
      </c>
      <c r="E123" s="76"/>
      <c r="F123" s="163"/>
      <c r="G123" s="64">
        <f>G124</f>
        <v>375.5</v>
      </c>
    </row>
    <row r="124" spans="1:7" ht="13.5" customHeight="1">
      <c r="A124" s="61" t="s">
        <v>269</v>
      </c>
      <c r="B124" s="63" t="s">
        <v>409</v>
      </c>
      <c r="C124" s="63" t="s">
        <v>67</v>
      </c>
      <c r="D124" s="63" t="s">
        <v>70</v>
      </c>
      <c r="E124" s="76"/>
      <c r="F124" s="163"/>
      <c r="G124" s="64">
        <f>G125</f>
        <v>375.5</v>
      </c>
    </row>
    <row r="125" spans="1:7" ht="13.5" customHeight="1">
      <c r="A125" s="28" t="s">
        <v>418</v>
      </c>
      <c r="B125" s="59" t="s">
        <v>409</v>
      </c>
      <c r="C125" s="59" t="s">
        <v>67</v>
      </c>
      <c r="D125" s="59" t="s">
        <v>70</v>
      </c>
      <c r="E125" s="59" t="s">
        <v>419</v>
      </c>
      <c r="F125" s="163"/>
      <c r="G125" s="64">
        <f>G126</f>
        <v>375.5</v>
      </c>
    </row>
    <row r="126" spans="1:7" ht="13.5" customHeight="1">
      <c r="A126" s="28" t="s">
        <v>420</v>
      </c>
      <c r="B126" s="59" t="s">
        <v>409</v>
      </c>
      <c r="C126" s="59" t="s">
        <v>67</v>
      </c>
      <c r="D126" s="59" t="s">
        <v>70</v>
      </c>
      <c r="E126" s="59" t="s">
        <v>421</v>
      </c>
      <c r="F126" s="163"/>
      <c r="G126" s="64">
        <f>G127</f>
        <v>375.5</v>
      </c>
    </row>
    <row r="127" spans="1:7" ht="23.25" customHeight="1">
      <c r="A127" s="28" t="s">
        <v>267</v>
      </c>
      <c r="B127" s="59" t="s">
        <v>409</v>
      </c>
      <c r="C127" s="59" t="s">
        <v>67</v>
      </c>
      <c r="D127" s="59" t="s">
        <v>70</v>
      </c>
      <c r="E127" s="164" t="s">
        <v>268</v>
      </c>
      <c r="F127" s="162"/>
      <c r="G127" s="58">
        <f>G129</f>
        <v>375.5</v>
      </c>
    </row>
    <row r="128" spans="1:7" ht="23.25" customHeight="1">
      <c r="A128" s="28" t="s">
        <v>102</v>
      </c>
      <c r="B128" s="59" t="s">
        <v>409</v>
      </c>
      <c r="C128" s="59" t="s">
        <v>67</v>
      </c>
      <c r="D128" s="59" t="s">
        <v>70</v>
      </c>
      <c r="E128" s="164" t="s">
        <v>268</v>
      </c>
      <c r="F128" s="162" t="s">
        <v>103</v>
      </c>
      <c r="G128" s="58">
        <f>G129</f>
        <v>375.5</v>
      </c>
    </row>
    <row r="129" spans="1:7" ht="13.5" customHeight="1">
      <c r="A129" s="28" t="s">
        <v>93</v>
      </c>
      <c r="B129" s="59" t="s">
        <v>409</v>
      </c>
      <c r="C129" s="59" t="s">
        <v>67</v>
      </c>
      <c r="D129" s="59" t="s">
        <v>70</v>
      </c>
      <c r="E129" s="164" t="s">
        <v>268</v>
      </c>
      <c r="F129" s="59" t="s">
        <v>94</v>
      </c>
      <c r="G129" s="58">
        <f>G130+G131</f>
        <v>375.5</v>
      </c>
    </row>
    <row r="130" spans="1:7" ht="12.75">
      <c r="A130" s="28" t="s">
        <v>158</v>
      </c>
      <c r="B130" s="59" t="s">
        <v>409</v>
      </c>
      <c r="C130" s="59" t="s">
        <v>67</v>
      </c>
      <c r="D130" s="59" t="s">
        <v>70</v>
      </c>
      <c r="E130" s="164" t="s">
        <v>268</v>
      </c>
      <c r="F130" s="59" t="s">
        <v>95</v>
      </c>
      <c r="G130" s="58">
        <f>288.4+6.6</f>
        <v>295</v>
      </c>
    </row>
    <row r="131" spans="1:7" ht="25.5">
      <c r="A131" s="28" t="s">
        <v>160</v>
      </c>
      <c r="B131" s="59" t="s">
        <v>409</v>
      </c>
      <c r="C131" s="59" t="s">
        <v>67</v>
      </c>
      <c r="D131" s="59" t="s">
        <v>70</v>
      </c>
      <c r="E131" s="164" t="s">
        <v>268</v>
      </c>
      <c r="F131" s="59" t="s">
        <v>159</v>
      </c>
      <c r="G131" s="58">
        <f>87.1-6.6</f>
        <v>80.5</v>
      </c>
    </row>
    <row r="132" spans="1:7" ht="25.5">
      <c r="A132" s="61" t="s">
        <v>4</v>
      </c>
      <c r="B132" s="63" t="s">
        <v>409</v>
      </c>
      <c r="C132" s="63" t="s">
        <v>70</v>
      </c>
      <c r="D132" s="63" t="s">
        <v>36</v>
      </c>
      <c r="E132" s="59"/>
      <c r="F132" s="59"/>
      <c r="G132" s="64">
        <f>G133</f>
        <v>3776.9</v>
      </c>
    </row>
    <row r="133" spans="1:7" ht="25.5">
      <c r="A133" s="61" t="s">
        <v>80</v>
      </c>
      <c r="B133" s="63" t="s">
        <v>409</v>
      </c>
      <c r="C133" s="63" t="s">
        <v>70</v>
      </c>
      <c r="D133" s="63" t="s">
        <v>75</v>
      </c>
      <c r="E133" s="59"/>
      <c r="F133" s="59"/>
      <c r="G133" s="64">
        <f>G134+G152+G140+G146</f>
        <v>3776.9</v>
      </c>
    </row>
    <row r="134" spans="1:7" ht="25.5">
      <c r="A134" s="28" t="s">
        <v>431</v>
      </c>
      <c r="B134" s="59" t="s">
        <v>409</v>
      </c>
      <c r="C134" s="162" t="s">
        <v>70</v>
      </c>
      <c r="D134" s="162" t="s">
        <v>75</v>
      </c>
      <c r="E134" s="161" t="s">
        <v>171</v>
      </c>
      <c r="F134" s="162"/>
      <c r="G134" s="58">
        <f>G135</f>
        <v>300</v>
      </c>
    </row>
    <row r="135" spans="1:7" ht="38.25">
      <c r="A135" s="28" t="s">
        <v>432</v>
      </c>
      <c r="B135" s="59" t="s">
        <v>409</v>
      </c>
      <c r="C135" s="162" t="s">
        <v>70</v>
      </c>
      <c r="D135" s="162" t="s">
        <v>75</v>
      </c>
      <c r="E135" s="161" t="s">
        <v>319</v>
      </c>
      <c r="F135" s="162"/>
      <c r="G135" s="58">
        <f>G136</f>
        <v>300</v>
      </c>
    </row>
    <row r="136" spans="1:7" ht="25.5">
      <c r="A136" s="28" t="s">
        <v>170</v>
      </c>
      <c r="B136" s="59" t="s">
        <v>409</v>
      </c>
      <c r="C136" s="162" t="s">
        <v>70</v>
      </c>
      <c r="D136" s="162" t="s">
        <v>75</v>
      </c>
      <c r="E136" s="161" t="s">
        <v>320</v>
      </c>
      <c r="F136" s="162"/>
      <c r="G136" s="58">
        <f>G137</f>
        <v>300</v>
      </c>
    </row>
    <row r="137" spans="1:7" ht="25.5">
      <c r="A137" s="28" t="s">
        <v>610</v>
      </c>
      <c r="B137" s="59" t="s">
        <v>409</v>
      </c>
      <c r="C137" s="162" t="s">
        <v>70</v>
      </c>
      <c r="D137" s="162" t="s">
        <v>75</v>
      </c>
      <c r="E137" s="161" t="s">
        <v>320</v>
      </c>
      <c r="F137" s="162" t="s">
        <v>104</v>
      </c>
      <c r="G137" s="58">
        <f>G138</f>
        <v>300</v>
      </c>
    </row>
    <row r="138" spans="1:7" ht="27" customHeight="1">
      <c r="A138" s="28" t="s">
        <v>98</v>
      </c>
      <c r="B138" s="59" t="s">
        <v>409</v>
      </c>
      <c r="C138" s="162" t="s">
        <v>70</v>
      </c>
      <c r="D138" s="162" t="s">
        <v>75</v>
      </c>
      <c r="E138" s="161" t="s">
        <v>320</v>
      </c>
      <c r="F138" s="162" t="s">
        <v>99</v>
      </c>
      <c r="G138" s="58">
        <f>G139</f>
        <v>300</v>
      </c>
    </row>
    <row r="139" spans="1:7" ht="25.5">
      <c r="A139" s="28" t="s">
        <v>100</v>
      </c>
      <c r="B139" s="59" t="s">
        <v>409</v>
      </c>
      <c r="C139" s="162" t="s">
        <v>70</v>
      </c>
      <c r="D139" s="162" t="s">
        <v>75</v>
      </c>
      <c r="E139" s="161" t="s">
        <v>320</v>
      </c>
      <c r="F139" s="162" t="s">
        <v>101</v>
      </c>
      <c r="G139" s="58">
        <f>'МП пр.5'!G812</f>
        <v>300</v>
      </c>
    </row>
    <row r="140" spans="1:7" ht="12.75">
      <c r="A140" s="153" t="s">
        <v>360</v>
      </c>
      <c r="B140" s="60" t="s">
        <v>409</v>
      </c>
      <c r="C140" s="59" t="s">
        <v>70</v>
      </c>
      <c r="D140" s="59" t="s">
        <v>75</v>
      </c>
      <c r="E140" s="59" t="s">
        <v>215</v>
      </c>
      <c r="F140" s="59"/>
      <c r="G140" s="58">
        <f>G141</f>
        <v>28</v>
      </c>
    </row>
    <row r="141" spans="1:7" ht="12.75">
      <c r="A141" s="153" t="s">
        <v>361</v>
      </c>
      <c r="B141" s="60" t="s">
        <v>409</v>
      </c>
      <c r="C141" s="59" t="s">
        <v>70</v>
      </c>
      <c r="D141" s="59" t="s">
        <v>75</v>
      </c>
      <c r="E141" s="59" t="s">
        <v>358</v>
      </c>
      <c r="F141" s="59"/>
      <c r="G141" s="58">
        <f>G142</f>
        <v>28</v>
      </c>
    </row>
    <row r="142" spans="1:7" ht="51">
      <c r="A142" s="28" t="s">
        <v>433</v>
      </c>
      <c r="B142" s="60" t="s">
        <v>409</v>
      </c>
      <c r="C142" s="59" t="s">
        <v>70</v>
      </c>
      <c r="D142" s="59" t="s">
        <v>75</v>
      </c>
      <c r="E142" s="59" t="s">
        <v>359</v>
      </c>
      <c r="F142" s="59"/>
      <c r="G142" s="58">
        <f>G143</f>
        <v>28</v>
      </c>
    </row>
    <row r="143" spans="1:7" ht="38.25">
      <c r="A143" s="28" t="s">
        <v>102</v>
      </c>
      <c r="B143" s="60" t="s">
        <v>409</v>
      </c>
      <c r="C143" s="59" t="s">
        <v>70</v>
      </c>
      <c r="D143" s="59" t="s">
        <v>75</v>
      </c>
      <c r="E143" s="59" t="s">
        <v>359</v>
      </c>
      <c r="F143" s="59" t="s">
        <v>103</v>
      </c>
      <c r="G143" s="58">
        <f>G144</f>
        <v>28</v>
      </c>
    </row>
    <row r="144" spans="1:7" ht="12.75">
      <c r="A144" s="28" t="s">
        <v>295</v>
      </c>
      <c r="B144" s="60" t="s">
        <v>409</v>
      </c>
      <c r="C144" s="59" t="s">
        <v>70</v>
      </c>
      <c r="D144" s="59" t="s">
        <v>75</v>
      </c>
      <c r="E144" s="59" t="s">
        <v>359</v>
      </c>
      <c r="F144" s="59" t="s">
        <v>297</v>
      </c>
      <c r="G144" s="58">
        <f>G145</f>
        <v>28</v>
      </c>
    </row>
    <row r="145" spans="1:7" ht="12.75">
      <c r="A145" s="28" t="s">
        <v>434</v>
      </c>
      <c r="B145" s="60" t="s">
        <v>409</v>
      </c>
      <c r="C145" s="59" t="s">
        <v>70</v>
      </c>
      <c r="D145" s="59" t="s">
        <v>75</v>
      </c>
      <c r="E145" s="59" t="s">
        <v>359</v>
      </c>
      <c r="F145" s="59" t="s">
        <v>296</v>
      </c>
      <c r="G145" s="58">
        <f>200-172</f>
        <v>28</v>
      </c>
    </row>
    <row r="146" spans="1:7" ht="25.5">
      <c r="A146" s="28" t="s">
        <v>697</v>
      </c>
      <c r="B146" s="59" t="s">
        <v>409</v>
      </c>
      <c r="C146" s="59" t="s">
        <v>70</v>
      </c>
      <c r="D146" s="59" t="s">
        <v>75</v>
      </c>
      <c r="E146" s="59" t="s">
        <v>698</v>
      </c>
      <c r="F146" s="59"/>
      <c r="G146" s="58">
        <f>G147</f>
        <v>181.9</v>
      </c>
    </row>
    <row r="147" spans="1:7" ht="25.5">
      <c r="A147" s="28" t="s">
        <v>250</v>
      </c>
      <c r="B147" s="59" t="s">
        <v>409</v>
      </c>
      <c r="C147" s="59" t="s">
        <v>70</v>
      </c>
      <c r="D147" s="59" t="s">
        <v>75</v>
      </c>
      <c r="E147" s="59" t="s">
        <v>699</v>
      </c>
      <c r="F147" s="59"/>
      <c r="G147" s="58">
        <f>G148</f>
        <v>181.9</v>
      </c>
    </row>
    <row r="148" spans="1:7" ht="25.5">
      <c r="A148" s="28" t="s">
        <v>700</v>
      </c>
      <c r="B148" s="59" t="s">
        <v>409</v>
      </c>
      <c r="C148" s="59" t="s">
        <v>70</v>
      </c>
      <c r="D148" s="59" t="s">
        <v>75</v>
      </c>
      <c r="E148" s="59" t="s">
        <v>701</v>
      </c>
      <c r="F148" s="59"/>
      <c r="G148" s="58">
        <f>G149</f>
        <v>181.9</v>
      </c>
    </row>
    <row r="149" spans="1:7" ht="12.75">
      <c r="A149" s="28" t="s">
        <v>128</v>
      </c>
      <c r="B149" s="59" t="s">
        <v>409</v>
      </c>
      <c r="C149" s="59" t="s">
        <v>70</v>
      </c>
      <c r="D149" s="59" t="s">
        <v>75</v>
      </c>
      <c r="E149" s="59" t="s">
        <v>701</v>
      </c>
      <c r="F149" s="59" t="s">
        <v>129</v>
      </c>
      <c r="G149" s="58">
        <f>G150</f>
        <v>181.9</v>
      </c>
    </row>
    <row r="150" spans="1:7" ht="12.75">
      <c r="A150" s="28" t="s">
        <v>634</v>
      </c>
      <c r="B150" s="59" t="s">
        <v>409</v>
      </c>
      <c r="C150" s="59" t="s">
        <v>70</v>
      </c>
      <c r="D150" s="59" t="s">
        <v>75</v>
      </c>
      <c r="E150" s="59" t="s">
        <v>701</v>
      </c>
      <c r="F150" s="59" t="s">
        <v>635</v>
      </c>
      <c r="G150" s="58">
        <f>G151</f>
        <v>181.9</v>
      </c>
    </row>
    <row r="151" spans="1:7" ht="27" customHeight="1">
      <c r="A151" s="153" t="s">
        <v>636</v>
      </c>
      <c r="B151" s="59" t="s">
        <v>409</v>
      </c>
      <c r="C151" s="59" t="s">
        <v>70</v>
      </c>
      <c r="D151" s="59" t="s">
        <v>75</v>
      </c>
      <c r="E151" s="59" t="s">
        <v>701</v>
      </c>
      <c r="F151" s="59" t="s">
        <v>637</v>
      </c>
      <c r="G151" s="58">
        <v>181.9</v>
      </c>
    </row>
    <row r="152" spans="1:7" ht="25.5">
      <c r="A152" s="28" t="s">
        <v>435</v>
      </c>
      <c r="B152" s="59" t="s">
        <v>409</v>
      </c>
      <c r="C152" s="59" t="s">
        <v>70</v>
      </c>
      <c r="D152" s="59" t="s">
        <v>75</v>
      </c>
      <c r="E152" s="161" t="s">
        <v>219</v>
      </c>
      <c r="F152" s="59"/>
      <c r="G152" s="58">
        <f>G153</f>
        <v>3267</v>
      </c>
    </row>
    <row r="153" spans="1:7" ht="25.5">
      <c r="A153" s="153" t="s">
        <v>436</v>
      </c>
      <c r="B153" s="59" t="s">
        <v>409</v>
      </c>
      <c r="C153" s="59" t="s">
        <v>70</v>
      </c>
      <c r="D153" s="59" t="s">
        <v>75</v>
      </c>
      <c r="E153" s="161" t="s">
        <v>395</v>
      </c>
      <c r="F153" s="59"/>
      <c r="G153" s="58">
        <f>G154</f>
        <v>3267</v>
      </c>
    </row>
    <row r="154" spans="1:7" ht="12.75">
      <c r="A154" s="28" t="s">
        <v>394</v>
      </c>
      <c r="B154" s="59" t="s">
        <v>409</v>
      </c>
      <c r="C154" s="59" t="s">
        <v>70</v>
      </c>
      <c r="D154" s="59" t="s">
        <v>75</v>
      </c>
      <c r="E154" s="161" t="s">
        <v>400</v>
      </c>
      <c r="F154" s="59"/>
      <c r="G154" s="58">
        <f>G155+G160</f>
        <v>3267</v>
      </c>
    </row>
    <row r="155" spans="1:7" ht="38.25">
      <c r="A155" s="28" t="s">
        <v>102</v>
      </c>
      <c r="B155" s="59" t="s">
        <v>409</v>
      </c>
      <c r="C155" s="59" t="s">
        <v>70</v>
      </c>
      <c r="D155" s="59" t="s">
        <v>75</v>
      </c>
      <c r="E155" s="161" t="s">
        <v>400</v>
      </c>
      <c r="F155" s="59" t="s">
        <v>103</v>
      </c>
      <c r="G155" s="58">
        <f>G156</f>
        <v>3058.6</v>
      </c>
    </row>
    <row r="156" spans="1:7" ht="12.75">
      <c r="A156" s="28" t="s">
        <v>295</v>
      </c>
      <c r="B156" s="59" t="s">
        <v>409</v>
      </c>
      <c r="C156" s="59" t="s">
        <v>70</v>
      </c>
      <c r="D156" s="59" t="s">
        <v>75</v>
      </c>
      <c r="E156" s="161" t="s">
        <v>400</v>
      </c>
      <c r="F156" s="59" t="s">
        <v>297</v>
      </c>
      <c r="G156" s="58">
        <f>G157+G159+G158</f>
        <v>3058.6</v>
      </c>
    </row>
    <row r="157" spans="1:7" ht="12.75">
      <c r="A157" s="28" t="s">
        <v>437</v>
      </c>
      <c r="B157" s="59" t="s">
        <v>409</v>
      </c>
      <c r="C157" s="59" t="s">
        <v>70</v>
      </c>
      <c r="D157" s="59" t="s">
        <v>75</v>
      </c>
      <c r="E157" s="161" t="s">
        <v>400</v>
      </c>
      <c r="F157" s="59" t="s">
        <v>298</v>
      </c>
      <c r="G157" s="58">
        <f>2302+40+5</f>
        <v>2347</v>
      </c>
    </row>
    <row r="158" spans="1:7" ht="12.75">
      <c r="A158" s="28" t="s">
        <v>434</v>
      </c>
      <c r="B158" s="59" t="s">
        <v>409</v>
      </c>
      <c r="C158" s="59" t="s">
        <v>70</v>
      </c>
      <c r="D158" s="59" t="s">
        <v>75</v>
      </c>
      <c r="E158" s="161" t="s">
        <v>400</v>
      </c>
      <c r="F158" s="59" t="s">
        <v>296</v>
      </c>
      <c r="G158" s="58">
        <v>8.4</v>
      </c>
    </row>
    <row r="159" spans="1:7" ht="25.5">
      <c r="A159" s="28" t="s">
        <v>438</v>
      </c>
      <c r="B159" s="59" t="s">
        <v>409</v>
      </c>
      <c r="C159" s="59" t="s">
        <v>70</v>
      </c>
      <c r="D159" s="59" t="s">
        <v>75</v>
      </c>
      <c r="E159" s="161" t="s">
        <v>400</v>
      </c>
      <c r="F159" s="59" t="s">
        <v>299</v>
      </c>
      <c r="G159" s="58">
        <f>695.2-10+18</f>
        <v>703.2</v>
      </c>
    </row>
    <row r="160" spans="1:7" ht="25.5">
      <c r="A160" s="28" t="s">
        <v>610</v>
      </c>
      <c r="B160" s="59" t="s">
        <v>409</v>
      </c>
      <c r="C160" s="59" t="s">
        <v>70</v>
      </c>
      <c r="D160" s="59" t="s">
        <v>75</v>
      </c>
      <c r="E160" s="161" t="s">
        <v>400</v>
      </c>
      <c r="F160" s="59" t="s">
        <v>104</v>
      </c>
      <c r="G160" s="58">
        <f>G161</f>
        <v>208.4</v>
      </c>
    </row>
    <row r="161" spans="1:7" ht="25.5">
      <c r="A161" s="28" t="s">
        <v>98</v>
      </c>
      <c r="B161" s="59" t="s">
        <v>409</v>
      </c>
      <c r="C161" s="59" t="s">
        <v>70</v>
      </c>
      <c r="D161" s="59" t="s">
        <v>75</v>
      </c>
      <c r="E161" s="161" t="s">
        <v>400</v>
      </c>
      <c r="F161" s="59" t="s">
        <v>99</v>
      </c>
      <c r="G161" s="58">
        <f>G162</f>
        <v>208.4</v>
      </c>
    </row>
    <row r="162" spans="1:7" ht="25.5">
      <c r="A162" s="28" t="s">
        <v>100</v>
      </c>
      <c r="B162" s="59" t="s">
        <v>409</v>
      </c>
      <c r="C162" s="59" t="s">
        <v>70</v>
      </c>
      <c r="D162" s="59" t="s">
        <v>75</v>
      </c>
      <c r="E162" s="161" t="s">
        <v>400</v>
      </c>
      <c r="F162" s="59" t="s">
        <v>101</v>
      </c>
      <c r="G162" s="58">
        <f>188.3+20.1</f>
        <v>208.4</v>
      </c>
    </row>
    <row r="163" spans="1:7" ht="12.75">
      <c r="A163" s="152" t="s">
        <v>5</v>
      </c>
      <c r="B163" s="62" t="s">
        <v>409</v>
      </c>
      <c r="C163" s="62" t="s">
        <v>68</v>
      </c>
      <c r="D163" s="62" t="s">
        <v>36</v>
      </c>
      <c r="E163" s="63"/>
      <c r="F163" s="63"/>
      <c r="G163" s="64">
        <f>G177+G164+G170</f>
        <v>8254.5</v>
      </c>
    </row>
    <row r="164" spans="1:7" s="30" customFormat="1" ht="12.75">
      <c r="A164" s="61" t="s">
        <v>567</v>
      </c>
      <c r="B164" s="62" t="s">
        <v>409</v>
      </c>
      <c r="C164" s="62" t="s">
        <v>68</v>
      </c>
      <c r="D164" s="62" t="s">
        <v>76</v>
      </c>
      <c r="E164" s="63"/>
      <c r="F164" s="63"/>
      <c r="G164" s="64">
        <f>G165</f>
        <v>5762.5</v>
      </c>
    </row>
    <row r="165" spans="1:7" s="30" customFormat="1" ht="12.75">
      <c r="A165" s="28" t="s">
        <v>782</v>
      </c>
      <c r="B165" s="59" t="s">
        <v>409</v>
      </c>
      <c r="C165" s="60" t="s">
        <v>68</v>
      </c>
      <c r="D165" s="60" t="s">
        <v>76</v>
      </c>
      <c r="E165" s="161" t="s">
        <v>783</v>
      </c>
      <c r="F165" s="63"/>
      <c r="G165" s="58">
        <f>G166</f>
        <v>5762.5</v>
      </c>
    </row>
    <row r="166" spans="1:7" s="30" customFormat="1" ht="25.5">
      <c r="A166" s="28" t="s">
        <v>784</v>
      </c>
      <c r="B166" s="60" t="s">
        <v>409</v>
      </c>
      <c r="C166" s="60" t="s">
        <v>68</v>
      </c>
      <c r="D166" s="60" t="s">
        <v>76</v>
      </c>
      <c r="E166" s="59" t="s">
        <v>785</v>
      </c>
      <c r="F166" s="63"/>
      <c r="G166" s="58">
        <f>G167</f>
        <v>5762.5</v>
      </c>
    </row>
    <row r="167" spans="1:7" s="30" customFormat="1" ht="12.75">
      <c r="A167" s="28" t="s">
        <v>495</v>
      </c>
      <c r="B167" s="59" t="s">
        <v>409</v>
      </c>
      <c r="C167" s="60" t="s">
        <v>68</v>
      </c>
      <c r="D167" s="60" t="s">
        <v>76</v>
      </c>
      <c r="E167" s="59" t="s">
        <v>785</v>
      </c>
      <c r="F167" s="59" t="s">
        <v>496</v>
      </c>
      <c r="G167" s="58">
        <f>G168</f>
        <v>5762.5</v>
      </c>
    </row>
    <row r="168" spans="1:7" s="30" customFormat="1" ht="12.75">
      <c r="A168" s="28" t="s">
        <v>497</v>
      </c>
      <c r="B168" s="59" t="s">
        <v>409</v>
      </c>
      <c r="C168" s="60" t="s">
        <v>68</v>
      </c>
      <c r="D168" s="60" t="s">
        <v>76</v>
      </c>
      <c r="E168" s="59" t="s">
        <v>785</v>
      </c>
      <c r="F168" s="59" t="s">
        <v>498</v>
      </c>
      <c r="G168" s="58">
        <f>G169</f>
        <v>5762.5</v>
      </c>
    </row>
    <row r="169" spans="1:7" s="30" customFormat="1" ht="25.5">
      <c r="A169" s="28" t="s">
        <v>786</v>
      </c>
      <c r="B169" s="59" t="s">
        <v>409</v>
      </c>
      <c r="C169" s="60" t="s">
        <v>68</v>
      </c>
      <c r="D169" s="60" t="s">
        <v>76</v>
      </c>
      <c r="E169" s="59" t="s">
        <v>785</v>
      </c>
      <c r="F169" s="59" t="s">
        <v>787</v>
      </c>
      <c r="G169" s="58">
        <v>5762.5</v>
      </c>
    </row>
    <row r="170" spans="1:7" s="65" customFormat="1" ht="12.75">
      <c r="A170" s="61" t="s">
        <v>82</v>
      </c>
      <c r="B170" s="63" t="s">
        <v>409</v>
      </c>
      <c r="C170" s="62" t="s">
        <v>68</v>
      </c>
      <c r="D170" s="62" t="s">
        <v>75</v>
      </c>
      <c r="E170" s="63"/>
      <c r="F170" s="63"/>
      <c r="G170" s="64">
        <f aca="true" t="shared" si="0" ref="G170:G175">G171</f>
        <v>1809.6</v>
      </c>
    </row>
    <row r="171" spans="1:7" s="30" customFormat="1" ht="25.5">
      <c r="A171" s="126" t="s">
        <v>573</v>
      </c>
      <c r="B171" s="59" t="s">
        <v>409</v>
      </c>
      <c r="C171" s="60" t="s">
        <v>68</v>
      </c>
      <c r="D171" s="60" t="s">
        <v>75</v>
      </c>
      <c r="E171" s="180" t="str">
        <f>'МП пр.5'!B701</f>
        <v>7S 0 00 00000 </v>
      </c>
      <c r="F171" s="59"/>
      <c r="G171" s="58">
        <f t="shared" si="0"/>
        <v>1809.6</v>
      </c>
    </row>
    <row r="172" spans="1:7" s="30" customFormat="1" ht="12.75">
      <c r="A172" s="126" t="s">
        <v>281</v>
      </c>
      <c r="B172" s="59" t="s">
        <v>409</v>
      </c>
      <c r="C172" s="60" t="s">
        <v>68</v>
      </c>
      <c r="D172" s="60" t="s">
        <v>75</v>
      </c>
      <c r="E172" s="180" t="str">
        <f>'МП пр.5'!B702</f>
        <v>7S 0 01 00000 </v>
      </c>
      <c r="F172" s="59"/>
      <c r="G172" s="58">
        <f t="shared" si="0"/>
        <v>1809.6</v>
      </c>
    </row>
    <row r="173" spans="1:7" s="30" customFormat="1" ht="45" customHeight="1">
      <c r="A173" s="126" t="str">
        <f>'МП пр.5'!A710</f>
        <v>Частичное покрытие расходов, связанных с проведением аварийно- восстановительных работ по ликвидации последствий чрезвычайной ситуации, вызванной наводнением в августе 2016 года, на автомобильных дорогах местного значения</v>
      </c>
      <c r="B173" s="59" t="s">
        <v>409</v>
      </c>
      <c r="C173" s="60" t="s">
        <v>68</v>
      </c>
      <c r="D173" s="60" t="s">
        <v>75</v>
      </c>
      <c r="E173" s="180" t="str">
        <f>'МП пр.5'!B710</f>
        <v>7S 0 01 54640 </v>
      </c>
      <c r="F173" s="59"/>
      <c r="G173" s="58">
        <f t="shared" si="0"/>
        <v>1809.6</v>
      </c>
    </row>
    <row r="174" spans="1:7" s="30" customFormat="1" ht="12.75">
      <c r="A174" s="28" t="s">
        <v>128</v>
      </c>
      <c r="B174" s="59" t="s">
        <v>409</v>
      </c>
      <c r="C174" s="60" t="s">
        <v>68</v>
      </c>
      <c r="D174" s="60" t="s">
        <v>75</v>
      </c>
      <c r="E174" s="180" t="str">
        <f>'МП пр.5'!B711</f>
        <v>7S 0 01 54640 </v>
      </c>
      <c r="F174" s="59" t="s">
        <v>129</v>
      </c>
      <c r="G174" s="58">
        <f t="shared" si="0"/>
        <v>1809.6</v>
      </c>
    </row>
    <row r="175" spans="1:7" s="30" customFormat="1" ht="25.5">
      <c r="A175" s="28" t="s">
        <v>164</v>
      </c>
      <c r="B175" s="59" t="s">
        <v>409</v>
      </c>
      <c r="C175" s="60" t="s">
        <v>68</v>
      </c>
      <c r="D175" s="60" t="s">
        <v>75</v>
      </c>
      <c r="E175" s="180" t="str">
        <f>'МП пр.5'!B712</f>
        <v>7S 0 01 54640 </v>
      </c>
      <c r="F175" s="59" t="s">
        <v>130</v>
      </c>
      <c r="G175" s="58">
        <f t="shared" si="0"/>
        <v>1809.6</v>
      </c>
    </row>
    <row r="176" spans="1:7" s="30" customFormat="1" ht="38.25">
      <c r="A176" s="28" t="s">
        <v>609</v>
      </c>
      <c r="B176" s="59" t="s">
        <v>409</v>
      </c>
      <c r="C176" s="60" t="s">
        <v>68</v>
      </c>
      <c r="D176" s="60" t="s">
        <v>75</v>
      </c>
      <c r="E176" s="180" t="str">
        <f>'МП пр.5'!B713</f>
        <v>7S 0 01 54640 </v>
      </c>
      <c r="F176" s="59" t="s">
        <v>608</v>
      </c>
      <c r="G176" s="58">
        <f>'МП пр.5'!G715</f>
        <v>1809.6</v>
      </c>
    </row>
    <row r="177" spans="1:7" ht="18" customHeight="1">
      <c r="A177" s="61" t="s">
        <v>7</v>
      </c>
      <c r="B177" s="62" t="s">
        <v>409</v>
      </c>
      <c r="C177" s="63" t="s">
        <v>68</v>
      </c>
      <c r="D177" s="63" t="s">
        <v>78</v>
      </c>
      <c r="E177" s="161"/>
      <c r="F177" s="59"/>
      <c r="G177" s="64">
        <f>G178+G188</f>
        <v>682.4</v>
      </c>
    </row>
    <row r="178" spans="1:7" ht="24.75" customHeight="1">
      <c r="A178" s="126" t="s">
        <v>439</v>
      </c>
      <c r="B178" s="60" t="s">
        <v>409</v>
      </c>
      <c r="C178" s="59" t="s">
        <v>68</v>
      </c>
      <c r="D178" s="59" t="s">
        <v>78</v>
      </c>
      <c r="E178" s="161" t="s">
        <v>173</v>
      </c>
      <c r="F178" s="59"/>
      <c r="G178" s="58">
        <f>G179</f>
        <v>173.4</v>
      </c>
    </row>
    <row r="179" spans="1:7" ht="44.25" customHeight="1">
      <c r="A179" s="126" t="s">
        <v>262</v>
      </c>
      <c r="B179" s="60" t="s">
        <v>409</v>
      </c>
      <c r="C179" s="59" t="s">
        <v>68</v>
      </c>
      <c r="D179" s="59" t="s">
        <v>78</v>
      </c>
      <c r="E179" s="161" t="s">
        <v>322</v>
      </c>
      <c r="F179" s="59"/>
      <c r="G179" s="58">
        <f>G184+G180</f>
        <v>173.4</v>
      </c>
    </row>
    <row r="180" spans="1:7" ht="18" customHeight="1">
      <c r="A180" s="126" t="str">
        <f>'МП пр.5'!A500</f>
        <v>Поддержка развития малого и среднего предпринимательства </v>
      </c>
      <c r="B180" s="60" t="s">
        <v>409</v>
      </c>
      <c r="C180" s="59" t="s">
        <v>68</v>
      </c>
      <c r="D180" s="59" t="s">
        <v>78</v>
      </c>
      <c r="E180" s="161" t="str">
        <f>'МП пр.5'!B500</f>
        <v>7И 0 01 73360 </v>
      </c>
      <c r="F180" s="59"/>
      <c r="G180" s="58">
        <f>G181</f>
        <v>73.4</v>
      </c>
    </row>
    <row r="181" spans="1:7" ht="21" customHeight="1">
      <c r="A181" s="28" t="s">
        <v>128</v>
      </c>
      <c r="B181" s="60" t="s">
        <v>409</v>
      </c>
      <c r="C181" s="59" t="s">
        <v>68</v>
      </c>
      <c r="D181" s="59" t="s">
        <v>78</v>
      </c>
      <c r="E181" s="161" t="str">
        <f>'МП пр.5'!B501</f>
        <v>7И 0 01 73360 </v>
      </c>
      <c r="F181" s="59" t="s">
        <v>129</v>
      </c>
      <c r="G181" s="58">
        <f>G182</f>
        <v>73.4</v>
      </c>
    </row>
    <row r="182" spans="1:7" ht="30" customHeight="1">
      <c r="A182" s="28" t="s">
        <v>164</v>
      </c>
      <c r="B182" s="60" t="s">
        <v>409</v>
      </c>
      <c r="C182" s="59" t="s">
        <v>68</v>
      </c>
      <c r="D182" s="59" t="s">
        <v>78</v>
      </c>
      <c r="E182" s="161" t="str">
        <f>'МП пр.5'!B502</f>
        <v>7И 0 01 73360 </v>
      </c>
      <c r="F182" s="59" t="s">
        <v>130</v>
      </c>
      <c r="G182" s="58">
        <f>G183</f>
        <v>73.4</v>
      </c>
    </row>
    <row r="183" spans="1:7" ht="44.25" customHeight="1">
      <c r="A183" s="28" t="s">
        <v>609</v>
      </c>
      <c r="B183" s="60" t="s">
        <v>409</v>
      </c>
      <c r="C183" s="59" t="s">
        <v>68</v>
      </c>
      <c r="D183" s="59" t="s">
        <v>78</v>
      </c>
      <c r="E183" s="161" t="str">
        <f>'МП пр.5'!B503</f>
        <v>7И 0 01 73360 </v>
      </c>
      <c r="F183" s="59" t="s">
        <v>608</v>
      </c>
      <c r="G183" s="58">
        <f>'МП пр.5'!G506</f>
        <v>73.4</v>
      </c>
    </row>
    <row r="184" spans="1:7" ht="28.5" customHeight="1">
      <c r="A184" s="126" t="str">
        <f>'МП пр.5'!A507</f>
        <v>Поддержка развития малого и среднего предпринимательства за счет средств местного бюджета</v>
      </c>
      <c r="B184" s="60" t="s">
        <v>409</v>
      </c>
      <c r="C184" s="59" t="s">
        <v>68</v>
      </c>
      <c r="D184" s="59" t="s">
        <v>78</v>
      </c>
      <c r="E184" s="161" t="s">
        <v>440</v>
      </c>
      <c r="F184" s="59"/>
      <c r="G184" s="58">
        <f>G185</f>
        <v>100</v>
      </c>
    </row>
    <row r="185" spans="1:7" ht="12.75">
      <c r="A185" s="28" t="s">
        <v>128</v>
      </c>
      <c r="B185" s="60" t="s">
        <v>409</v>
      </c>
      <c r="C185" s="59" t="s">
        <v>68</v>
      </c>
      <c r="D185" s="59" t="s">
        <v>78</v>
      </c>
      <c r="E185" s="161" t="s">
        <v>440</v>
      </c>
      <c r="F185" s="59" t="s">
        <v>129</v>
      </c>
      <c r="G185" s="58">
        <f>G186</f>
        <v>100</v>
      </c>
    </row>
    <row r="186" spans="1:7" s="30" customFormat="1" ht="25.5">
      <c r="A186" s="28" t="s">
        <v>164</v>
      </c>
      <c r="B186" s="60" t="s">
        <v>409</v>
      </c>
      <c r="C186" s="59" t="s">
        <v>68</v>
      </c>
      <c r="D186" s="59" t="s">
        <v>78</v>
      </c>
      <c r="E186" s="161" t="s">
        <v>440</v>
      </c>
      <c r="F186" s="59" t="s">
        <v>130</v>
      </c>
      <c r="G186" s="58">
        <f>G187</f>
        <v>100</v>
      </c>
    </row>
    <row r="187" spans="1:7" s="30" customFormat="1" ht="25.5" customHeight="1">
      <c r="A187" s="28" t="s">
        <v>609</v>
      </c>
      <c r="B187" s="60" t="s">
        <v>409</v>
      </c>
      <c r="C187" s="59" t="s">
        <v>68</v>
      </c>
      <c r="D187" s="59" t="s">
        <v>78</v>
      </c>
      <c r="E187" s="161" t="s">
        <v>440</v>
      </c>
      <c r="F187" s="59" t="s">
        <v>608</v>
      </c>
      <c r="G187" s="58">
        <f>'МП пр.5'!G513</f>
        <v>100</v>
      </c>
    </row>
    <row r="188" spans="1:7" ht="25.5">
      <c r="A188" s="28" t="str">
        <f>'МП пр.5'!A788</f>
        <v>Муниципальная программа "Развитие торговли  на территории Сусуманского городского округа на 2017 год"</v>
      </c>
      <c r="B188" s="60" t="s">
        <v>409</v>
      </c>
      <c r="C188" s="59" t="s">
        <v>68</v>
      </c>
      <c r="D188" s="59" t="s">
        <v>78</v>
      </c>
      <c r="E188" s="161" t="s">
        <v>174</v>
      </c>
      <c r="F188" s="59"/>
      <c r="G188" s="58">
        <f>G189</f>
        <v>509</v>
      </c>
    </row>
    <row r="189" spans="1:7" s="30" customFormat="1" ht="38.25">
      <c r="A189" s="28" t="str">
        <f>'МП пр.5'!A789</f>
        <v>Основное мероприятие "Создание условий для удовлетворения спроса населения на потребительские товары и услуги в широком ассортименте по доступным ценам в пределах территориальной доступности"</v>
      </c>
      <c r="B189" s="60" t="s">
        <v>409</v>
      </c>
      <c r="C189" s="59" t="s">
        <v>68</v>
      </c>
      <c r="D189" s="59" t="s">
        <v>78</v>
      </c>
      <c r="E189" s="161" t="s">
        <v>323</v>
      </c>
      <c r="F189" s="59"/>
      <c r="G189" s="58">
        <f>G190+G194</f>
        <v>509</v>
      </c>
    </row>
    <row r="190" spans="1:7" s="30" customFormat="1" ht="25.5">
      <c r="A190" s="28" t="str">
        <f>'МП пр.5'!A790</f>
        <v>Мероприятия по организации и проведению областных универсальных совместных ярмарок товаров </v>
      </c>
      <c r="B190" s="60" t="s">
        <v>409</v>
      </c>
      <c r="C190" s="59" t="s">
        <v>68</v>
      </c>
      <c r="D190" s="59" t="s">
        <v>78</v>
      </c>
      <c r="E190" s="161" t="s">
        <v>442</v>
      </c>
      <c r="F190" s="59"/>
      <c r="G190" s="58">
        <f>G191</f>
        <v>459</v>
      </c>
    </row>
    <row r="191" spans="1:7" ht="25.5">
      <c r="A191" s="28" t="s">
        <v>610</v>
      </c>
      <c r="B191" s="60" t="s">
        <v>409</v>
      </c>
      <c r="C191" s="59" t="s">
        <v>68</v>
      </c>
      <c r="D191" s="59" t="s">
        <v>78</v>
      </c>
      <c r="E191" s="161" t="s">
        <v>442</v>
      </c>
      <c r="F191" s="59" t="s">
        <v>104</v>
      </c>
      <c r="G191" s="58">
        <f>G192</f>
        <v>459</v>
      </c>
    </row>
    <row r="192" spans="1:7" ht="25.5">
      <c r="A192" s="28" t="s">
        <v>98</v>
      </c>
      <c r="B192" s="60" t="s">
        <v>409</v>
      </c>
      <c r="C192" s="59" t="s">
        <v>68</v>
      </c>
      <c r="D192" s="59" t="s">
        <v>78</v>
      </c>
      <c r="E192" s="161" t="s">
        <v>442</v>
      </c>
      <c r="F192" s="59" t="s">
        <v>99</v>
      </c>
      <c r="G192" s="58">
        <f>G193</f>
        <v>459</v>
      </c>
    </row>
    <row r="193" spans="1:7" ht="25.5">
      <c r="A193" s="28" t="s">
        <v>100</v>
      </c>
      <c r="B193" s="60" t="s">
        <v>409</v>
      </c>
      <c r="C193" s="59" t="s">
        <v>68</v>
      </c>
      <c r="D193" s="59" t="s">
        <v>78</v>
      </c>
      <c r="E193" s="161" t="s">
        <v>442</v>
      </c>
      <c r="F193" s="59" t="s">
        <v>101</v>
      </c>
      <c r="G193" s="58">
        <f>'МП пр.5'!G796</f>
        <v>459</v>
      </c>
    </row>
    <row r="194" spans="1:7" s="30" customFormat="1" ht="25.5">
      <c r="A194" s="126" t="str">
        <f>'МП пр.5'!A797</f>
        <v>Мероприятия по организации и проведению областных универсальных совместных ярмарок товаров за счет средств местного бюджета</v>
      </c>
      <c r="B194" s="60" t="s">
        <v>409</v>
      </c>
      <c r="C194" s="59" t="s">
        <v>68</v>
      </c>
      <c r="D194" s="59" t="s">
        <v>78</v>
      </c>
      <c r="E194" s="161" t="s">
        <v>443</v>
      </c>
      <c r="F194" s="59"/>
      <c r="G194" s="58">
        <f>G195</f>
        <v>50</v>
      </c>
    </row>
    <row r="195" spans="1:7" ht="25.5">
      <c r="A195" s="28" t="s">
        <v>610</v>
      </c>
      <c r="B195" s="60" t="s">
        <v>409</v>
      </c>
      <c r="C195" s="59" t="s">
        <v>68</v>
      </c>
      <c r="D195" s="59" t="s">
        <v>78</v>
      </c>
      <c r="E195" s="161" t="s">
        <v>443</v>
      </c>
      <c r="F195" s="59" t="s">
        <v>104</v>
      </c>
      <c r="G195" s="58">
        <f>G196</f>
        <v>50</v>
      </c>
    </row>
    <row r="196" spans="1:7" ht="25.5">
      <c r="A196" s="28" t="s">
        <v>98</v>
      </c>
      <c r="B196" s="60" t="s">
        <v>409</v>
      </c>
      <c r="C196" s="59" t="s">
        <v>68</v>
      </c>
      <c r="D196" s="59" t="s">
        <v>78</v>
      </c>
      <c r="E196" s="161" t="s">
        <v>443</v>
      </c>
      <c r="F196" s="59" t="s">
        <v>99</v>
      </c>
      <c r="G196" s="58">
        <f>G197</f>
        <v>50</v>
      </c>
    </row>
    <row r="197" spans="1:7" ht="25.5">
      <c r="A197" s="28" t="s">
        <v>100</v>
      </c>
      <c r="B197" s="60" t="s">
        <v>409</v>
      </c>
      <c r="C197" s="59" t="s">
        <v>68</v>
      </c>
      <c r="D197" s="59" t="s">
        <v>78</v>
      </c>
      <c r="E197" s="161" t="s">
        <v>443</v>
      </c>
      <c r="F197" s="59" t="s">
        <v>101</v>
      </c>
      <c r="G197" s="58">
        <f>'МП пр.5'!G803</f>
        <v>50</v>
      </c>
    </row>
    <row r="198" spans="1:7" s="30" customFormat="1" ht="18" customHeight="1">
      <c r="A198" s="152" t="s">
        <v>631</v>
      </c>
      <c r="B198" s="62" t="s">
        <v>409</v>
      </c>
      <c r="C198" s="62" t="s">
        <v>72</v>
      </c>
      <c r="D198" s="62" t="s">
        <v>36</v>
      </c>
      <c r="E198" s="76"/>
      <c r="F198" s="63"/>
      <c r="G198" s="64">
        <f>G199+G215</f>
        <v>20404.8</v>
      </c>
    </row>
    <row r="199" spans="1:7" s="30" customFormat="1" ht="14.25" customHeight="1">
      <c r="A199" s="152" t="s">
        <v>150</v>
      </c>
      <c r="B199" s="62" t="s">
        <v>409</v>
      </c>
      <c r="C199" s="62" t="s">
        <v>72</v>
      </c>
      <c r="D199" s="62" t="s">
        <v>66</v>
      </c>
      <c r="E199" s="161"/>
      <c r="F199" s="59"/>
      <c r="G199" s="64">
        <f aca="true" t="shared" si="1" ref="G199:G204">G200</f>
        <v>343.09999999999997</v>
      </c>
    </row>
    <row r="200" spans="1:7" s="30" customFormat="1" ht="16.5" customHeight="1">
      <c r="A200" s="154" t="s">
        <v>206</v>
      </c>
      <c r="B200" s="60" t="s">
        <v>409</v>
      </c>
      <c r="C200" s="60" t="s">
        <v>72</v>
      </c>
      <c r="D200" s="60" t="s">
        <v>66</v>
      </c>
      <c r="E200" s="59" t="s">
        <v>217</v>
      </c>
      <c r="F200" s="59"/>
      <c r="G200" s="58">
        <f>G201+G206</f>
        <v>343.09999999999997</v>
      </c>
    </row>
    <row r="201" spans="1:7" s="30" customFormat="1" ht="15.75" customHeight="1">
      <c r="A201" s="28" t="s">
        <v>282</v>
      </c>
      <c r="B201" s="60" t="s">
        <v>409</v>
      </c>
      <c r="C201" s="60" t="s">
        <v>72</v>
      </c>
      <c r="D201" s="60" t="s">
        <v>66</v>
      </c>
      <c r="E201" s="59" t="s">
        <v>365</v>
      </c>
      <c r="F201" s="59"/>
      <c r="G201" s="58">
        <f t="shared" si="1"/>
        <v>15</v>
      </c>
    </row>
    <row r="202" spans="1:7" s="30" customFormat="1" ht="13.5" customHeight="1">
      <c r="A202" s="28" t="s">
        <v>283</v>
      </c>
      <c r="B202" s="60" t="s">
        <v>409</v>
      </c>
      <c r="C202" s="60" t="s">
        <v>72</v>
      </c>
      <c r="D202" s="60" t="s">
        <v>66</v>
      </c>
      <c r="E202" s="59" t="s">
        <v>366</v>
      </c>
      <c r="F202" s="59"/>
      <c r="G202" s="58">
        <f t="shared" si="1"/>
        <v>15</v>
      </c>
    </row>
    <row r="203" spans="1:7" s="30" customFormat="1" ht="31.5" customHeight="1">
      <c r="A203" s="28" t="s">
        <v>610</v>
      </c>
      <c r="B203" s="60" t="s">
        <v>409</v>
      </c>
      <c r="C203" s="60" t="s">
        <v>72</v>
      </c>
      <c r="D203" s="60" t="s">
        <v>66</v>
      </c>
      <c r="E203" s="59" t="s">
        <v>366</v>
      </c>
      <c r="F203" s="59" t="s">
        <v>104</v>
      </c>
      <c r="G203" s="58">
        <f t="shared" si="1"/>
        <v>15</v>
      </c>
    </row>
    <row r="204" spans="1:7" s="30" customFormat="1" ht="24" customHeight="1">
      <c r="A204" s="28" t="s">
        <v>98</v>
      </c>
      <c r="B204" s="60" t="s">
        <v>409</v>
      </c>
      <c r="C204" s="60" t="s">
        <v>72</v>
      </c>
      <c r="D204" s="60" t="s">
        <v>66</v>
      </c>
      <c r="E204" s="59" t="s">
        <v>366</v>
      </c>
      <c r="F204" s="59" t="s">
        <v>99</v>
      </c>
      <c r="G204" s="58">
        <f t="shared" si="1"/>
        <v>15</v>
      </c>
    </row>
    <row r="205" spans="1:7" s="30" customFormat="1" ht="24" customHeight="1">
      <c r="A205" s="28" t="s">
        <v>100</v>
      </c>
      <c r="B205" s="60" t="s">
        <v>409</v>
      </c>
      <c r="C205" s="60" t="s">
        <v>72</v>
      </c>
      <c r="D205" s="60" t="s">
        <v>66</v>
      </c>
      <c r="E205" s="59" t="s">
        <v>366</v>
      </c>
      <c r="F205" s="59" t="s">
        <v>101</v>
      </c>
      <c r="G205" s="58">
        <v>15</v>
      </c>
    </row>
    <row r="206" spans="1:7" s="30" customFormat="1" ht="24" customHeight="1">
      <c r="A206" s="28" t="s">
        <v>702</v>
      </c>
      <c r="B206" s="60" t="s">
        <v>409</v>
      </c>
      <c r="C206" s="60" t="s">
        <v>72</v>
      </c>
      <c r="D206" s="60" t="s">
        <v>66</v>
      </c>
      <c r="E206" s="59" t="s">
        <v>704</v>
      </c>
      <c r="F206" s="59"/>
      <c r="G206" s="58">
        <f>G207+G211</f>
        <v>328.09999999999997</v>
      </c>
    </row>
    <row r="207" spans="1:7" s="30" customFormat="1" ht="24" customHeight="1">
      <c r="A207" s="28" t="s">
        <v>703</v>
      </c>
      <c r="B207" s="60" t="s">
        <v>409</v>
      </c>
      <c r="C207" s="60" t="s">
        <v>72</v>
      </c>
      <c r="D207" s="60" t="s">
        <v>66</v>
      </c>
      <c r="E207" s="59" t="s">
        <v>705</v>
      </c>
      <c r="F207" s="59"/>
      <c r="G207" s="58">
        <f>G208</f>
        <v>318.7</v>
      </c>
    </row>
    <row r="208" spans="1:7" s="30" customFormat="1" ht="24" customHeight="1">
      <c r="A208" s="28" t="s">
        <v>128</v>
      </c>
      <c r="B208" s="60" t="s">
        <v>409</v>
      </c>
      <c r="C208" s="60" t="s">
        <v>72</v>
      </c>
      <c r="D208" s="60" t="s">
        <v>66</v>
      </c>
      <c r="E208" s="59" t="s">
        <v>705</v>
      </c>
      <c r="F208" s="59" t="s">
        <v>129</v>
      </c>
      <c r="G208" s="58">
        <f>G209</f>
        <v>318.7</v>
      </c>
    </row>
    <row r="209" spans="1:7" s="30" customFormat="1" ht="24" customHeight="1">
      <c r="A209" s="28" t="s">
        <v>634</v>
      </c>
      <c r="B209" s="60" t="s">
        <v>409</v>
      </c>
      <c r="C209" s="60" t="s">
        <v>72</v>
      </c>
      <c r="D209" s="60" t="s">
        <v>66</v>
      </c>
      <c r="E209" s="59" t="s">
        <v>705</v>
      </c>
      <c r="F209" s="59" t="s">
        <v>635</v>
      </c>
      <c r="G209" s="58">
        <f>G210</f>
        <v>318.7</v>
      </c>
    </row>
    <row r="210" spans="1:7" s="30" customFormat="1" ht="24" customHeight="1">
      <c r="A210" s="155" t="s">
        <v>636</v>
      </c>
      <c r="B210" s="60" t="s">
        <v>409</v>
      </c>
      <c r="C210" s="60" t="s">
        <v>72</v>
      </c>
      <c r="D210" s="60" t="s">
        <v>66</v>
      </c>
      <c r="E210" s="59" t="s">
        <v>705</v>
      </c>
      <c r="F210" s="59" t="s">
        <v>637</v>
      </c>
      <c r="G210" s="58">
        <v>318.7</v>
      </c>
    </row>
    <row r="211" spans="1:7" s="30" customFormat="1" ht="24" customHeight="1">
      <c r="A211" s="28" t="s">
        <v>700</v>
      </c>
      <c r="B211" s="59" t="s">
        <v>409</v>
      </c>
      <c r="C211" s="60" t="s">
        <v>72</v>
      </c>
      <c r="D211" s="60" t="s">
        <v>66</v>
      </c>
      <c r="E211" s="59" t="s">
        <v>706</v>
      </c>
      <c r="F211" s="59"/>
      <c r="G211" s="58">
        <f>G212</f>
        <v>9.4</v>
      </c>
    </row>
    <row r="212" spans="1:7" s="30" customFormat="1" ht="24" customHeight="1">
      <c r="A212" s="28" t="s">
        <v>128</v>
      </c>
      <c r="B212" s="59" t="s">
        <v>409</v>
      </c>
      <c r="C212" s="60" t="s">
        <v>72</v>
      </c>
      <c r="D212" s="60" t="s">
        <v>66</v>
      </c>
      <c r="E212" s="59" t="s">
        <v>706</v>
      </c>
      <c r="F212" s="59" t="s">
        <v>129</v>
      </c>
      <c r="G212" s="58">
        <f>G213</f>
        <v>9.4</v>
      </c>
    </row>
    <row r="213" spans="1:7" s="30" customFormat="1" ht="24" customHeight="1">
      <c r="A213" s="28" t="s">
        <v>634</v>
      </c>
      <c r="B213" s="59" t="s">
        <v>409</v>
      </c>
      <c r="C213" s="60" t="s">
        <v>72</v>
      </c>
      <c r="D213" s="60" t="s">
        <v>66</v>
      </c>
      <c r="E213" s="59" t="s">
        <v>706</v>
      </c>
      <c r="F213" s="59" t="s">
        <v>635</v>
      </c>
      <c r="G213" s="58">
        <f>G214</f>
        <v>9.4</v>
      </c>
    </row>
    <row r="214" spans="1:7" s="30" customFormat="1" ht="24" customHeight="1">
      <c r="A214" s="155" t="s">
        <v>636</v>
      </c>
      <c r="B214" s="59" t="s">
        <v>409</v>
      </c>
      <c r="C214" s="60" t="s">
        <v>72</v>
      </c>
      <c r="D214" s="60" t="s">
        <v>66</v>
      </c>
      <c r="E214" s="59" t="s">
        <v>706</v>
      </c>
      <c r="F214" s="59" t="s">
        <v>637</v>
      </c>
      <c r="G214" s="58">
        <v>9.4</v>
      </c>
    </row>
    <row r="215" spans="1:7" s="30" customFormat="1" ht="15.75" customHeight="1">
      <c r="A215" s="61" t="s">
        <v>208</v>
      </c>
      <c r="B215" s="62" t="s">
        <v>409</v>
      </c>
      <c r="C215" s="62" t="s">
        <v>72</v>
      </c>
      <c r="D215" s="62" t="s">
        <v>67</v>
      </c>
      <c r="E215" s="63"/>
      <c r="F215" s="63"/>
      <c r="G215" s="64">
        <f>G216+G226</f>
        <v>20061.7</v>
      </c>
    </row>
    <row r="216" spans="1:7" s="30" customFormat="1" ht="12" customHeight="1">
      <c r="A216" s="28" t="s">
        <v>418</v>
      </c>
      <c r="B216" s="60" t="s">
        <v>409</v>
      </c>
      <c r="C216" s="60" t="s">
        <v>72</v>
      </c>
      <c r="D216" s="60" t="s">
        <v>67</v>
      </c>
      <c r="E216" s="59" t="s">
        <v>419</v>
      </c>
      <c r="F216" s="59"/>
      <c r="G216" s="58">
        <f>G217</f>
        <v>5899.8</v>
      </c>
    </row>
    <row r="217" spans="1:7" s="30" customFormat="1" ht="24" customHeight="1">
      <c r="A217" s="28" t="s">
        <v>707</v>
      </c>
      <c r="B217" s="60" t="s">
        <v>409</v>
      </c>
      <c r="C217" s="60" t="s">
        <v>72</v>
      </c>
      <c r="D217" s="60" t="s">
        <v>67</v>
      </c>
      <c r="E217" s="59" t="s">
        <v>708</v>
      </c>
      <c r="F217" s="59"/>
      <c r="G217" s="58">
        <f>G218+G222</f>
        <v>5899.8</v>
      </c>
    </row>
    <row r="218" spans="1:7" s="30" customFormat="1" ht="24" customHeight="1">
      <c r="A218" s="28" t="s">
        <v>709</v>
      </c>
      <c r="B218" s="60" t="s">
        <v>409</v>
      </c>
      <c r="C218" s="60" t="s">
        <v>72</v>
      </c>
      <c r="D218" s="60" t="s">
        <v>67</v>
      </c>
      <c r="E218" s="59" t="s">
        <v>710</v>
      </c>
      <c r="F218" s="59"/>
      <c r="G218" s="58">
        <f>G219</f>
        <v>5749.5</v>
      </c>
    </row>
    <row r="219" spans="1:7" s="30" customFormat="1" ht="15" customHeight="1">
      <c r="A219" s="28" t="s">
        <v>128</v>
      </c>
      <c r="B219" s="60" t="s">
        <v>409</v>
      </c>
      <c r="C219" s="60" t="s">
        <v>72</v>
      </c>
      <c r="D219" s="60" t="s">
        <v>67</v>
      </c>
      <c r="E219" s="59" t="s">
        <v>710</v>
      </c>
      <c r="F219" s="59" t="s">
        <v>129</v>
      </c>
      <c r="G219" s="58">
        <f>G220</f>
        <v>5749.5</v>
      </c>
    </row>
    <row r="220" spans="1:7" s="30" customFormat="1" ht="24" customHeight="1">
      <c r="A220" s="28" t="s">
        <v>164</v>
      </c>
      <c r="B220" s="60" t="s">
        <v>409</v>
      </c>
      <c r="C220" s="60" t="s">
        <v>72</v>
      </c>
      <c r="D220" s="60" t="s">
        <v>67</v>
      </c>
      <c r="E220" s="59" t="s">
        <v>710</v>
      </c>
      <c r="F220" s="59" t="s">
        <v>130</v>
      </c>
      <c r="G220" s="58">
        <f>G221</f>
        <v>5749.5</v>
      </c>
    </row>
    <row r="221" spans="1:7" s="30" customFormat="1" ht="24" customHeight="1">
      <c r="A221" s="28" t="s">
        <v>609</v>
      </c>
      <c r="B221" s="60" t="s">
        <v>409</v>
      </c>
      <c r="C221" s="60" t="s">
        <v>72</v>
      </c>
      <c r="D221" s="60" t="s">
        <v>67</v>
      </c>
      <c r="E221" s="59" t="s">
        <v>710</v>
      </c>
      <c r="F221" s="59" t="s">
        <v>608</v>
      </c>
      <c r="G221" s="58">
        <v>5749.5</v>
      </c>
    </row>
    <row r="222" spans="1:7" s="30" customFormat="1" ht="14.25" customHeight="1">
      <c r="A222" s="28" t="s">
        <v>700</v>
      </c>
      <c r="B222" s="59" t="s">
        <v>409</v>
      </c>
      <c r="C222" s="60" t="s">
        <v>72</v>
      </c>
      <c r="D222" s="60" t="s">
        <v>67</v>
      </c>
      <c r="E222" s="59" t="s">
        <v>711</v>
      </c>
      <c r="F222" s="59"/>
      <c r="G222" s="58">
        <f>G223</f>
        <v>150.3</v>
      </c>
    </row>
    <row r="223" spans="1:7" s="30" customFormat="1" ht="14.25" customHeight="1">
      <c r="A223" s="28" t="s">
        <v>128</v>
      </c>
      <c r="B223" s="59" t="s">
        <v>409</v>
      </c>
      <c r="C223" s="60" t="s">
        <v>72</v>
      </c>
      <c r="D223" s="60" t="s">
        <v>67</v>
      </c>
      <c r="E223" s="59" t="s">
        <v>711</v>
      </c>
      <c r="F223" s="59" t="s">
        <v>129</v>
      </c>
      <c r="G223" s="58">
        <f>G224</f>
        <v>150.3</v>
      </c>
    </row>
    <row r="224" spans="1:7" s="30" customFormat="1" ht="14.25" customHeight="1">
      <c r="A224" s="28" t="s">
        <v>634</v>
      </c>
      <c r="B224" s="59" t="s">
        <v>409</v>
      </c>
      <c r="C224" s="60" t="s">
        <v>72</v>
      </c>
      <c r="D224" s="60" t="s">
        <v>67</v>
      </c>
      <c r="E224" s="59" t="s">
        <v>711</v>
      </c>
      <c r="F224" s="59" t="s">
        <v>635</v>
      </c>
      <c r="G224" s="58">
        <f>G225</f>
        <v>150.3</v>
      </c>
    </row>
    <row r="225" spans="1:7" s="30" customFormat="1" ht="30.75" customHeight="1">
      <c r="A225" s="155" t="s">
        <v>636</v>
      </c>
      <c r="B225" s="59" t="s">
        <v>409</v>
      </c>
      <c r="C225" s="60" t="s">
        <v>72</v>
      </c>
      <c r="D225" s="60" t="s">
        <v>67</v>
      </c>
      <c r="E225" s="59" t="s">
        <v>711</v>
      </c>
      <c r="F225" s="59" t="s">
        <v>637</v>
      </c>
      <c r="G225" s="58">
        <v>150.3</v>
      </c>
    </row>
    <row r="226" spans="1:8" s="30" customFormat="1" ht="25.5" customHeight="1">
      <c r="A226" s="155" t="s">
        <v>632</v>
      </c>
      <c r="B226" s="59" t="s">
        <v>409</v>
      </c>
      <c r="C226" s="60" t="s">
        <v>72</v>
      </c>
      <c r="D226" s="60" t="s">
        <v>67</v>
      </c>
      <c r="E226" s="59" t="s">
        <v>808</v>
      </c>
      <c r="F226" s="59"/>
      <c r="G226" s="58">
        <f>G227</f>
        <v>14161.9</v>
      </c>
      <c r="H226" s="11"/>
    </row>
    <row r="227" spans="1:7" s="30" customFormat="1" ht="36.75" customHeight="1">
      <c r="A227" s="155" t="s">
        <v>633</v>
      </c>
      <c r="B227" s="59" t="s">
        <v>409</v>
      </c>
      <c r="C227" s="60" t="s">
        <v>72</v>
      </c>
      <c r="D227" s="60" t="s">
        <v>67</v>
      </c>
      <c r="E227" s="59" t="s">
        <v>809</v>
      </c>
      <c r="F227" s="59"/>
      <c r="G227" s="58">
        <f>G228</f>
        <v>14161.9</v>
      </c>
    </row>
    <row r="228" spans="1:7" s="30" customFormat="1" ht="24" customHeight="1">
      <c r="A228" s="28" t="s">
        <v>128</v>
      </c>
      <c r="B228" s="59" t="s">
        <v>409</v>
      </c>
      <c r="C228" s="60" t="s">
        <v>72</v>
      </c>
      <c r="D228" s="60" t="s">
        <v>67</v>
      </c>
      <c r="E228" s="59" t="s">
        <v>809</v>
      </c>
      <c r="F228" s="59" t="s">
        <v>129</v>
      </c>
      <c r="G228" s="58">
        <f>G229</f>
        <v>14161.9</v>
      </c>
    </row>
    <row r="229" spans="1:7" s="30" customFormat="1" ht="24" customHeight="1">
      <c r="A229" s="28" t="s">
        <v>634</v>
      </c>
      <c r="B229" s="59" t="s">
        <v>409</v>
      </c>
      <c r="C229" s="60" t="s">
        <v>72</v>
      </c>
      <c r="D229" s="60" t="s">
        <v>67</v>
      </c>
      <c r="E229" s="59" t="s">
        <v>809</v>
      </c>
      <c r="F229" s="59" t="s">
        <v>635</v>
      </c>
      <c r="G229" s="58">
        <f>G230</f>
        <v>14161.9</v>
      </c>
    </row>
    <row r="230" spans="1:7" s="30" customFormat="1" ht="24" customHeight="1">
      <c r="A230" s="155" t="s">
        <v>636</v>
      </c>
      <c r="B230" s="59" t="s">
        <v>409</v>
      </c>
      <c r="C230" s="60" t="s">
        <v>72</v>
      </c>
      <c r="D230" s="60" t="s">
        <v>67</v>
      </c>
      <c r="E230" s="59" t="s">
        <v>809</v>
      </c>
      <c r="F230" s="59" t="s">
        <v>637</v>
      </c>
      <c r="G230" s="58">
        <v>14161.9</v>
      </c>
    </row>
    <row r="231" spans="1:7" ht="18.75" customHeight="1">
      <c r="A231" s="61" t="s">
        <v>8</v>
      </c>
      <c r="B231" s="63" t="s">
        <v>409</v>
      </c>
      <c r="C231" s="163" t="s">
        <v>69</v>
      </c>
      <c r="D231" s="163" t="s">
        <v>36</v>
      </c>
      <c r="E231" s="76"/>
      <c r="F231" s="163"/>
      <c r="G231" s="64">
        <f aca="true" t="shared" si="2" ref="G231:G236">G232</f>
        <v>1752.9</v>
      </c>
    </row>
    <row r="232" spans="1:7" ht="12.75">
      <c r="A232" s="61" t="s">
        <v>11</v>
      </c>
      <c r="B232" s="63" t="s">
        <v>409</v>
      </c>
      <c r="C232" s="163" t="s">
        <v>69</v>
      </c>
      <c r="D232" s="163" t="s">
        <v>75</v>
      </c>
      <c r="E232" s="76"/>
      <c r="F232" s="163"/>
      <c r="G232" s="64">
        <f t="shared" si="2"/>
        <v>1752.9</v>
      </c>
    </row>
    <row r="233" spans="1:7" ht="25.5">
      <c r="A233" s="126" t="s">
        <v>444</v>
      </c>
      <c r="B233" s="59" t="s">
        <v>409</v>
      </c>
      <c r="C233" s="59" t="s">
        <v>69</v>
      </c>
      <c r="D233" s="59" t="s">
        <v>75</v>
      </c>
      <c r="E233" s="59" t="s">
        <v>445</v>
      </c>
      <c r="F233" s="59"/>
      <c r="G233" s="58">
        <f t="shared" si="2"/>
        <v>1752.9</v>
      </c>
    </row>
    <row r="234" spans="1:7" ht="25.5">
      <c r="A234" s="28" t="s">
        <v>446</v>
      </c>
      <c r="B234" s="59" t="s">
        <v>409</v>
      </c>
      <c r="C234" s="59" t="s">
        <v>69</v>
      </c>
      <c r="D234" s="59" t="s">
        <v>75</v>
      </c>
      <c r="E234" s="59" t="s">
        <v>502</v>
      </c>
      <c r="F234" s="59"/>
      <c r="G234" s="58">
        <f t="shared" si="2"/>
        <v>1752.9</v>
      </c>
    </row>
    <row r="235" spans="1:7" ht="38.25">
      <c r="A235" s="28" t="s">
        <v>447</v>
      </c>
      <c r="B235" s="59" t="s">
        <v>409</v>
      </c>
      <c r="C235" s="59" t="s">
        <v>69</v>
      </c>
      <c r="D235" s="59" t="s">
        <v>75</v>
      </c>
      <c r="E235" s="59" t="s">
        <v>614</v>
      </c>
      <c r="F235" s="59"/>
      <c r="G235" s="58">
        <f t="shared" si="2"/>
        <v>1752.9</v>
      </c>
    </row>
    <row r="236" spans="1:7" ht="45.75" customHeight="1">
      <c r="A236" s="28" t="s">
        <v>102</v>
      </c>
      <c r="B236" s="59" t="s">
        <v>409</v>
      </c>
      <c r="C236" s="59" t="s">
        <v>69</v>
      </c>
      <c r="D236" s="59" t="s">
        <v>75</v>
      </c>
      <c r="E236" s="59" t="s">
        <v>614</v>
      </c>
      <c r="F236" s="59" t="s">
        <v>103</v>
      </c>
      <c r="G236" s="58">
        <f t="shared" si="2"/>
        <v>1752.9</v>
      </c>
    </row>
    <row r="237" spans="1:7" ht="12.75">
      <c r="A237" s="28" t="s">
        <v>93</v>
      </c>
      <c r="B237" s="59" t="s">
        <v>409</v>
      </c>
      <c r="C237" s="59" t="s">
        <v>69</v>
      </c>
      <c r="D237" s="59" t="s">
        <v>75</v>
      </c>
      <c r="E237" s="59" t="s">
        <v>614</v>
      </c>
      <c r="F237" s="59" t="s">
        <v>94</v>
      </c>
      <c r="G237" s="58">
        <f>G238+G239</f>
        <v>1752.9</v>
      </c>
    </row>
    <row r="238" spans="1:7" ht="12.75">
      <c r="A238" s="28" t="s">
        <v>158</v>
      </c>
      <c r="B238" s="59" t="s">
        <v>409</v>
      </c>
      <c r="C238" s="59" t="s">
        <v>69</v>
      </c>
      <c r="D238" s="59" t="s">
        <v>75</v>
      </c>
      <c r="E238" s="59" t="s">
        <v>614</v>
      </c>
      <c r="F238" s="59" t="s">
        <v>95</v>
      </c>
      <c r="G238" s="58">
        <f>'МП пр.5'!G245</f>
        <v>1346.3</v>
      </c>
    </row>
    <row r="239" spans="1:7" ht="25.5">
      <c r="A239" s="28" t="s">
        <v>160</v>
      </c>
      <c r="B239" s="59" t="s">
        <v>409</v>
      </c>
      <c r="C239" s="59" t="s">
        <v>69</v>
      </c>
      <c r="D239" s="59" t="s">
        <v>75</v>
      </c>
      <c r="E239" s="59" t="s">
        <v>614</v>
      </c>
      <c r="F239" s="59" t="s">
        <v>159</v>
      </c>
      <c r="G239" s="58">
        <f>'МП пр.5'!G247</f>
        <v>406.6</v>
      </c>
    </row>
    <row r="240" spans="1:7" ht="12.75">
      <c r="A240" s="61" t="s">
        <v>62</v>
      </c>
      <c r="B240" s="63" t="s">
        <v>409</v>
      </c>
      <c r="C240" s="63" t="s">
        <v>71</v>
      </c>
      <c r="D240" s="63" t="s">
        <v>36</v>
      </c>
      <c r="E240" s="59"/>
      <c r="F240" s="59"/>
      <c r="G240" s="64">
        <f>G242+G247+G259</f>
        <v>7324.17</v>
      </c>
    </row>
    <row r="241" spans="1:7" ht="13.5" customHeight="1">
      <c r="A241" s="61" t="s">
        <v>58</v>
      </c>
      <c r="B241" s="63" t="s">
        <v>409</v>
      </c>
      <c r="C241" s="63" t="s">
        <v>71</v>
      </c>
      <c r="D241" s="63" t="s">
        <v>66</v>
      </c>
      <c r="E241" s="59"/>
      <c r="F241" s="59"/>
      <c r="G241" s="64">
        <f>G242</f>
        <v>3569</v>
      </c>
    </row>
    <row r="242" spans="1:7" ht="18" customHeight="1">
      <c r="A242" s="28" t="s">
        <v>18</v>
      </c>
      <c r="B242" s="59" t="s">
        <v>409</v>
      </c>
      <c r="C242" s="59" t="s">
        <v>71</v>
      </c>
      <c r="D242" s="59" t="s">
        <v>66</v>
      </c>
      <c r="E242" s="59" t="s">
        <v>216</v>
      </c>
      <c r="F242" s="59"/>
      <c r="G242" s="58">
        <f>G243</f>
        <v>3569</v>
      </c>
    </row>
    <row r="243" spans="1:7" ht="12.75">
      <c r="A243" s="28" t="s">
        <v>398</v>
      </c>
      <c r="B243" s="59" t="s">
        <v>409</v>
      </c>
      <c r="C243" s="59" t="s">
        <v>71</v>
      </c>
      <c r="D243" s="59" t="s">
        <v>66</v>
      </c>
      <c r="E243" s="59" t="s">
        <v>401</v>
      </c>
      <c r="F243" s="59"/>
      <c r="G243" s="58">
        <f>G244</f>
        <v>3569</v>
      </c>
    </row>
    <row r="244" spans="1:7" ht="12.75">
      <c r="A244" s="28" t="s">
        <v>117</v>
      </c>
      <c r="B244" s="59" t="s">
        <v>409</v>
      </c>
      <c r="C244" s="59" t="s">
        <v>71</v>
      </c>
      <c r="D244" s="59" t="s">
        <v>66</v>
      </c>
      <c r="E244" s="59" t="s">
        <v>401</v>
      </c>
      <c r="F244" s="59" t="s">
        <v>118</v>
      </c>
      <c r="G244" s="58">
        <f>G245</f>
        <v>3569</v>
      </c>
    </row>
    <row r="245" spans="1:7" ht="12.75">
      <c r="A245" s="28" t="s">
        <v>119</v>
      </c>
      <c r="B245" s="59" t="s">
        <v>409</v>
      </c>
      <c r="C245" s="59" t="s">
        <v>71</v>
      </c>
      <c r="D245" s="59" t="s">
        <v>66</v>
      </c>
      <c r="E245" s="59" t="s">
        <v>401</v>
      </c>
      <c r="F245" s="59" t="s">
        <v>120</v>
      </c>
      <c r="G245" s="58">
        <f>G246</f>
        <v>3569</v>
      </c>
    </row>
    <row r="246" spans="1:7" ht="19.5" customHeight="1">
      <c r="A246" s="28" t="s">
        <v>121</v>
      </c>
      <c r="B246" s="59" t="s">
        <v>409</v>
      </c>
      <c r="C246" s="59" t="s">
        <v>71</v>
      </c>
      <c r="D246" s="59" t="s">
        <v>66</v>
      </c>
      <c r="E246" s="59" t="s">
        <v>401</v>
      </c>
      <c r="F246" s="59" t="s">
        <v>122</v>
      </c>
      <c r="G246" s="58">
        <f>3500+69</f>
        <v>3569</v>
      </c>
    </row>
    <row r="247" spans="1:7" ht="12.75">
      <c r="A247" s="156" t="s">
        <v>61</v>
      </c>
      <c r="B247" s="63" t="s">
        <v>409</v>
      </c>
      <c r="C247" s="62" t="s">
        <v>71</v>
      </c>
      <c r="D247" s="62" t="s">
        <v>70</v>
      </c>
      <c r="E247" s="60"/>
      <c r="F247" s="60"/>
      <c r="G247" s="142">
        <f>G248</f>
        <v>695.2</v>
      </c>
    </row>
    <row r="248" spans="1:7" ht="25.5">
      <c r="A248" s="28" t="s">
        <v>449</v>
      </c>
      <c r="B248" s="59" t="s">
        <v>409</v>
      </c>
      <c r="C248" s="59" t="s">
        <v>71</v>
      </c>
      <c r="D248" s="59" t="s">
        <v>70</v>
      </c>
      <c r="E248" s="59" t="s">
        <v>450</v>
      </c>
      <c r="F248" s="59"/>
      <c r="G248" s="58">
        <f>G249</f>
        <v>695.2</v>
      </c>
    </row>
    <row r="249" spans="1:7" ht="29.25" customHeight="1">
      <c r="A249" s="126" t="s">
        <v>451</v>
      </c>
      <c r="B249" s="59" t="s">
        <v>409</v>
      </c>
      <c r="C249" s="59" t="s">
        <v>71</v>
      </c>
      <c r="D249" s="59" t="s">
        <v>70</v>
      </c>
      <c r="E249" s="59" t="s">
        <v>452</v>
      </c>
      <c r="F249" s="59"/>
      <c r="G249" s="58">
        <f>G250+G256+G253</f>
        <v>695.2</v>
      </c>
    </row>
    <row r="250" spans="1:7" ht="12.75">
      <c r="A250" s="126" t="s">
        <v>168</v>
      </c>
      <c r="B250" s="59" t="s">
        <v>409</v>
      </c>
      <c r="C250" s="59" t="s">
        <v>71</v>
      </c>
      <c r="D250" s="59" t="s">
        <v>70</v>
      </c>
      <c r="E250" s="59" t="s">
        <v>453</v>
      </c>
      <c r="F250" s="59"/>
      <c r="G250" s="143">
        <f>G251</f>
        <v>610.3000000000001</v>
      </c>
    </row>
    <row r="251" spans="1:7" ht="12.75">
      <c r="A251" s="28" t="s">
        <v>117</v>
      </c>
      <c r="B251" s="59" t="s">
        <v>409</v>
      </c>
      <c r="C251" s="59" t="s">
        <v>71</v>
      </c>
      <c r="D251" s="59" t="s">
        <v>70</v>
      </c>
      <c r="E251" s="59" t="s">
        <v>453</v>
      </c>
      <c r="F251" s="59" t="s">
        <v>118</v>
      </c>
      <c r="G251" s="143">
        <f>G252</f>
        <v>610.3000000000001</v>
      </c>
    </row>
    <row r="252" spans="1:7" ht="12.75">
      <c r="A252" s="28" t="s">
        <v>123</v>
      </c>
      <c r="B252" s="59" t="s">
        <v>409</v>
      </c>
      <c r="C252" s="59" t="s">
        <v>71</v>
      </c>
      <c r="D252" s="59" t="s">
        <v>70</v>
      </c>
      <c r="E252" s="59" t="s">
        <v>453</v>
      </c>
      <c r="F252" s="59" t="s">
        <v>124</v>
      </c>
      <c r="G252" s="143">
        <f>'МП пр.5'!G24</f>
        <v>610.3000000000001</v>
      </c>
    </row>
    <row r="253" spans="1:7" ht="12.75">
      <c r="A253" s="126" t="s">
        <v>454</v>
      </c>
      <c r="B253" s="59" t="s">
        <v>409</v>
      </c>
      <c r="C253" s="59" t="s">
        <v>71</v>
      </c>
      <c r="D253" s="59" t="s">
        <v>70</v>
      </c>
      <c r="E253" s="59" t="s">
        <v>455</v>
      </c>
      <c r="F253" s="59"/>
      <c r="G253" s="143">
        <f>G254</f>
        <v>5.2</v>
      </c>
    </row>
    <row r="254" spans="1:7" ht="12.75">
      <c r="A254" s="28" t="s">
        <v>117</v>
      </c>
      <c r="B254" s="59" t="s">
        <v>409</v>
      </c>
      <c r="C254" s="59" t="s">
        <v>71</v>
      </c>
      <c r="D254" s="59" t="s">
        <v>70</v>
      </c>
      <c r="E254" s="59" t="s">
        <v>455</v>
      </c>
      <c r="F254" s="59" t="s">
        <v>118</v>
      </c>
      <c r="G254" s="143">
        <f>G255</f>
        <v>5.2</v>
      </c>
    </row>
    <row r="255" spans="1:7" ht="12.75">
      <c r="A255" s="28" t="s">
        <v>123</v>
      </c>
      <c r="B255" s="59" t="s">
        <v>409</v>
      </c>
      <c r="C255" s="59" t="s">
        <v>71</v>
      </c>
      <c r="D255" s="59" t="s">
        <v>70</v>
      </c>
      <c r="E255" s="59" t="s">
        <v>455</v>
      </c>
      <c r="F255" s="59" t="s">
        <v>124</v>
      </c>
      <c r="G255" s="143">
        <f>'МП пр.5'!G30</f>
        <v>5.2</v>
      </c>
    </row>
    <row r="256" spans="1:7" ht="12.75">
      <c r="A256" s="126" t="s">
        <v>456</v>
      </c>
      <c r="B256" s="59" t="s">
        <v>409</v>
      </c>
      <c r="C256" s="59" t="s">
        <v>71</v>
      </c>
      <c r="D256" s="59" t="s">
        <v>70</v>
      </c>
      <c r="E256" s="59" t="s">
        <v>457</v>
      </c>
      <c r="F256" s="59"/>
      <c r="G256" s="143">
        <f>G257</f>
        <v>79.69999999999999</v>
      </c>
    </row>
    <row r="257" spans="1:7" ht="12.75">
      <c r="A257" s="28" t="s">
        <v>117</v>
      </c>
      <c r="B257" s="59" t="s">
        <v>409</v>
      </c>
      <c r="C257" s="59" t="s">
        <v>71</v>
      </c>
      <c r="D257" s="59" t="s">
        <v>70</v>
      </c>
      <c r="E257" s="59" t="s">
        <v>457</v>
      </c>
      <c r="F257" s="59" t="s">
        <v>118</v>
      </c>
      <c r="G257" s="143">
        <f>G258</f>
        <v>79.69999999999999</v>
      </c>
    </row>
    <row r="258" spans="1:7" ht="12.75">
      <c r="A258" s="28" t="s">
        <v>123</v>
      </c>
      <c r="B258" s="59" t="s">
        <v>409</v>
      </c>
      <c r="C258" s="59" t="s">
        <v>71</v>
      </c>
      <c r="D258" s="59" t="s">
        <v>70</v>
      </c>
      <c r="E258" s="59" t="s">
        <v>457</v>
      </c>
      <c r="F258" s="59" t="s">
        <v>124</v>
      </c>
      <c r="G258" s="143">
        <f>'МП пр.5'!G36</f>
        <v>79.69999999999999</v>
      </c>
    </row>
    <row r="259" spans="1:7" ht="12.75">
      <c r="A259" s="61" t="s">
        <v>152</v>
      </c>
      <c r="B259" s="63" t="s">
        <v>409</v>
      </c>
      <c r="C259" s="63" t="s">
        <v>71</v>
      </c>
      <c r="D259" s="63" t="s">
        <v>76</v>
      </c>
      <c r="E259" s="63"/>
      <c r="F259" s="63"/>
      <c r="G259" s="142">
        <f>G260+G271</f>
        <v>3059.9700000000003</v>
      </c>
    </row>
    <row r="260" spans="1:7" ht="25.5">
      <c r="A260" s="126" t="s">
        <v>444</v>
      </c>
      <c r="B260" s="59" t="s">
        <v>409</v>
      </c>
      <c r="C260" s="59" t="s">
        <v>71</v>
      </c>
      <c r="D260" s="59" t="s">
        <v>76</v>
      </c>
      <c r="E260" s="59" t="s">
        <v>445</v>
      </c>
      <c r="F260" s="59"/>
      <c r="G260" s="58">
        <f>G261</f>
        <v>2319.17</v>
      </c>
    </row>
    <row r="261" spans="1:7" ht="25.5">
      <c r="A261" s="28" t="s">
        <v>446</v>
      </c>
      <c r="B261" s="59" t="s">
        <v>409</v>
      </c>
      <c r="C261" s="59" t="s">
        <v>71</v>
      </c>
      <c r="D261" s="59" t="s">
        <v>76</v>
      </c>
      <c r="E261" s="59" t="s">
        <v>502</v>
      </c>
      <c r="F261" s="59"/>
      <c r="G261" s="58">
        <f>G262</f>
        <v>2319.17</v>
      </c>
    </row>
    <row r="262" spans="1:7" ht="25.5">
      <c r="A262" s="28" t="s">
        <v>458</v>
      </c>
      <c r="B262" s="59" t="s">
        <v>409</v>
      </c>
      <c r="C262" s="59" t="s">
        <v>71</v>
      </c>
      <c r="D262" s="59" t="s">
        <v>76</v>
      </c>
      <c r="E262" s="59" t="s">
        <v>622</v>
      </c>
      <c r="F262" s="59"/>
      <c r="G262" s="58">
        <f>G263+G268</f>
        <v>2319.17</v>
      </c>
    </row>
    <row r="263" spans="1:7" ht="38.25">
      <c r="A263" s="28" t="s">
        <v>102</v>
      </c>
      <c r="B263" s="59" t="s">
        <v>409</v>
      </c>
      <c r="C263" s="59" t="s">
        <v>71</v>
      </c>
      <c r="D263" s="59" t="s">
        <v>76</v>
      </c>
      <c r="E263" s="59" t="s">
        <v>622</v>
      </c>
      <c r="F263" s="59" t="s">
        <v>103</v>
      </c>
      <c r="G263" s="58">
        <f>G264</f>
        <v>2122.4700000000003</v>
      </c>
    </row>
    <row r="264" spans="1:7" ht="12.75">
      <c r="A264" s="28" t="s">
        <v>93</v>
      </c>
      <c r="B264" s="59" t="s">
        <v>409</v>
      </c>
      <c r="C264" s="59" t="s">
        <v>71</v>
      </c>
      <c r="D264" s="59" t="s">
        <v>76</v>
      </c>
      <c r="E264" s="59" t="s">
        <v>622</v>
      </c>
      <c r="F264" s="59" t="s">
        <v>94</v>
      </c>
      <c r="G264" s="58">
        <f>G265+G266+G267</f>
        <v>2122.4700000000003</v>
      </c>
    </row>
    <row r="265" spans="1:7" ht="12.75">
      <c r="A265" s="28" t="s">
        <v>158</v>
      </c>
      <c r="B265" s="59" t="s">
        <v>409</v>
      </c>
      <c r="C265" s="59" t="s">
        <v>71</v>
      </c>
      <c r="D265" s="59" t="s">
        <v>76</v>
      </c>
      <c r="E265" s="59" t="s">
        <v>622</v>
      </c>
      <c r="F265" s="59" t="s">
        <v>95</v>
      </c>
      <c r="G265" s="58">
        <f>'МП пр.5'!G254</f>
        <v>1537</v>
      </c>
    </row>
    <row r="266" spans="1:7" ht="25.5">
      <c r="A266" s="28" t="s">
        <v>96</v>
      </c>
      <c r="B266" s="59" t="s">
        <v>409</v>
      </c>
      <c r="C266" s="59" t="s">
        <v>71</v>
      </c>
      <c r="D266" s="59" t="s">
        <v>76</v>
      </c>
      <c r="E266" s="59" t="s">
        <v>622</v>
      </c>
      <c r="F266" s="59" t="s">
        <v>97</v>
      </c>
      <c r="G266" s="58">
        <f>'МП пр.5'!G256</f>
        <v>130.67000000000002</v>
      </c>
    </row>
    <row r="267" spans="1:7" ht="25.5">
      <c r="A267" s="28" t="s">
        <v>160</v>
      </c>
      <c r="B267" s="59" t="s">
        <v>409</v>
      </c>
      <c r="C267" s="59" t="s">
        <v>71</v>
      </c>
      <c r="D267" s="59" t="s">
        <v>76</v>
      </c>
      <c r="E267" s="59" t="s">
        <v>622</v>
      </c>
      <c r="F267" s="59" t="s">
        <v>159</v>
      </c>
      <c r="G267" s="58">
        <f>'МП пр.5'!G257</f>
        <v>454.8</v>
      </c>
    </row>
    <row r="268" spans="1:7" ht="25.5">
      <c r="A268" s="28" t="s">
        <v>610</v>
      </c>
      <c r="B268" s="59" t="s">
        <v>409</v>
      </c>
      <c r="C268" s="59" t="s">
        <v>71</v>
      </c>
      <c r="D268" s="59" t="s">
        <v>76</v>
      </c>
      <c r="E268" s="59" t="s">
        <v>622</v>
      </c>
      <c r="F268" s="59" t="s">
        <v>104</v>
      </c>
      <c r="G268" s="58">
        <f>G269</f>
        <v>196.7</v>
      </c>
    </row>
    <row r="269" spans="1:7" ht="25.5">
      <c r="A269" s="28" t="s">
        <v>98</v>
      </c>
      <c r="B269" s="59" t="s">
        <v>409</v>
      </c>
      <c r="C269" s="59" t="s">
        <v>71</v>
      </c>
      <c r="D269" s="59" t="s">
        <v>76</v>
      </c>
      <c r="E269" s="59" t="s">
        <v>622</v>
      </c>
      <c r="F269" s="59" t="s">
        <v>99</v>
      </c>
      <c r="G269" s="58">
        <f>G270</f>
        <v>196.7</v>
      </c>
    </row>
    <row r="270" spans="1:7" ht="25.5">
      <c r="A270" s="28" t="s">
        <v>100</v>
      </c>
      <c r="B270" s="59" t="s">
        <v>409</v>
      </c>
      <c r="C270" s="59" t="s">
        <v>71</v>
      </c>
      <c r="D270" s="59" t="s">
        <v>76</v>
      </c>
      <c r="E270" s="59" t="s">
        <v>622</v>
      </c>
      <c r="F270" s="59" t="s">
        <v>101</v>
      </c>
      <c r="G270" s="58">
        <f>'МП пр.5'!G262</f>
        <v>196.7</v>
      </c>
    </row>
    <row r="271" spans="1:7" ht="25.5">
      <c r="A271" s="28" t="s">
        <v>449</v>
      </c>
      <c r="B271" s="59" t="s">
        <v>409</v>
      </c>
      <c r="C271" s="59" t="s">
        <v>71</v>
      </c>
      <c r="D271" s="59" t="s">
        <v>76</v>
      </c>
      <c r="E271" s="59" t="s">
        <v>450</v>
      </c>
      <c r="F271" s="59"/>
      <c r="G271" s="143">
        <f>G272+G281</f>
        <v>740.8</v>
      </c>
    </row>
    <row r="272" spans="1:7" ht="25.5">
      <c r="A272" s="28" t="s">
        <v>446</v>
      </c>
      <c r="B272" s="59" t="s">
        <v>409</v>
      </c>
      <c r="C272" s="59" t="s">
        <v>71</v>
      </c>
      <c r="D272" s="59" t="s">
        <v>76</v>
      </c>
      <c r="E272" s="59" t="s">
        <v>459</v>
      </c>
      <c r="F272" s="59"/>
      <c r="G272" s="143">
        <f>G273</f>
        <v>660.8</v>
      </c>
    </row>
    <row r="273" spans="1:7" ht="25.5">
      <c r="A273" s="28" t="s">
        <v>458</v>
      </c>
      <c r="B273" s="59" t="s">
        <v>409</v>
      </c>
      <c r="C273" s="59" t="s">
        <v>71</v>
      </c>
      <c r="D273" s="59" t="s">
        <v>76</v>
      </c>
      <c r="E273" s="59" t="s">
        <v>460</v>
      </c>
      <c r="F273" s="59"/>
      <c r="G273" s="143">
        <f>G274+G278</f>
        <v>660.8</v>
      </c>
    </row>
    <row r="274" spans="1:7" ht="25.5" customHeight="1">
      <c r="A274" s="28" t="s">
        <v>102</v>
      </c>
      <c r="B274" s="59" t="s">
        <v>409</v>
      </c>
      <c r="C274" s="59" t="s">
        <v>71</v>
      </c>
      <c r="D274" s="59" t="s">
        <v>76</v>
      </c>
      <c r="E274" s="59" t="s">
        <v>460</v>
      </c>
      <c r="F274" s="59" t="s">
        <v>103</v>
      </c>
      <c r="G274" s="58">
        <f>G275</f>
        <v>537.9</v>
      </c>
    </row>
    <row r="275" spans="1:7" ht="12.75">
      <c r="A275" s="28" t="s">
        <v>93</v>
      </c>
      <c r="B275" s="59" t="s">
        <v>409</v>
      </c>
      <c r="C275" s="59" t="s">
        <v>71</v>
      </c>
      <c r="D275" s="59" t="s">
        <v>76</v>
      </c>
      <c r="E275" s="59" t="s">
        <v>460</v>
      </c>
      <c r="F275" s="59" t="s">
        <v>94</v>
      </c>
      <c r="G275" s="58">
        <f>G276+G277</f>
        <v>537.9</v>
      </c>
    </row>
    <row r="276" spans="1:7" ht="17.25" customHeight="1">
      <c r="A276" s="28" t="s">
        <v>158</v>
      </c>
      <c r="B276" s="59" t="s">
        <v>409</v>
      </c>
      <c r="C276" s="59" t="s">
        <v>71</v>
      </c>
      <c r="D276" s="59" t="s">
        <v>76</v>
      </c>
      <c r="E276" s="59" t="s">
        <v>460</v>
      </c>
      <c r="F276" s="59" t="s">
        <v>95</v>
      </c>
      <c r="G276" s="58">
        <f>'МП пр.5'!G44</f>
        <v>413.1</v>
      </c>
    </row>
    <row r="277" spans="1:7" ht="30" customHeight="1">
      <c r="A277" s="28" t="s">
        <v>160</v>
      </c>
      <c r="B277" s="59" t="s">
        <v>409</v>
      </c>
      <c r="C277" s="59" t="s">
        <v>71</v>
      </c>
      <c r="D277" s="59" t="s">
        <v>76</v>
      </c>
      <c r="E277" s="59" t="s">
        <v>460</v>
      </c>
      <c r="F277" s="59" t="s">
        <v>159</v>
      </c>
      <c r="G277" s="58">
        <f>'МП пр.5'!G46</f>
        <v>124.8</v>
      </c>
    </row>
    <row r="278" spans="1:7" ht="36" customHeight="1">
      <c r="A278" s="28" t="s">
        <v>610</v>
      </c>
      <c r="B278" s="59" t="s">
        <v>409</v>
      </c>
      <c r="C278" s="59" t="s">
        <v>71</v>
      </c>
      <c r="D278" s="59" t="s">
        <v>76</v>
      </c>
      <c r="E278" s="59" t="s">
        <v>460</v>
      </c>
      <c r="F278" s="59" t="s">
        <v>104</v>
      </c>
      <c r="G278" s="58">
        <f>G279</f>
        <v>122.9</v>
      </c>
    </row>
    <row r="279" spans="1:7" ht="28.5" customHeight="1">
      <c r="A279" s="28" t="s">
        <v>98</v>
      </c>
      <c r="B279" s="59" t="s">
        <v>409</v>
      </c>
      <c r="C279" s="59" t="s">
        <v>71</v>
      </c>
      <c r="D279" s="59" t="s">
        <v>76</v>
      </c>
      <c r="E279" s="59" t="s">
        <v>460</v>
      </c>
      <c r="F279" s="59" t="s">
        <v>99</v>
      </c>
      <c r="G279" s="58">
        <f>G280</f>
        <v>122.9</v>
      </c>
    </row>
    <row r="280" spans="1:7" ht="30" customHeight="1">
      <c r="A280" s="28" t="s">
        <v>100</v>
      </c>
      <c r="B280" s="59" t="s">
        <v>409</v>
      </c>
      <c r="C280" s="59" t="s">
        <v>71</v>
      </c>
      <c r="D280" s="59" t="s">
        <v>76</v>
      </c>
      <c r="E280" s="59" t="s">
        <v>460</v>
      </c>
      <c r="F280" s="59" t="s">
        <v>101</v>
      </c>
      <c r="G280" s="58">
        <f>'МП пр.5'!G50</f>
        <v>122.9</v>
      </c>
    </row>
    <row r="281" spans="1:7" ht="30" customHeight="1">
      <c r="A281" s="126" t="s">
        <v>465</v>
      </c>
      <c r="B281" s="59" t="s">
        <v>409</v>
      </c>
      <c r="C281" s="59" t="s">
        <v>71</v>
      </c>
      <c r="D281" s="59" t="s">
        <v>76</v>
      </c>
      <c r="E281" s="59" t="s">
        <v>466</v>
      </c>
      <c r="F281" s="59"/>
      <c r="G281" s="58">
        <f>G286+G282</f>
        <v>80</v>
      </c>
    </row>
    <row r="282" spans="1:7" ht="15" customHeight="1">
      <c r="A282" s="27" t="s">
        <v>829</v>
      </c>
      <c r="B282" s="59" t="s">
        <v>409</v>
      </c>
      <c r="C282" s="59" t="s">
        <v>71</v>
      </c>
      <c r="D282" s="59" t="s">
        <v>76</v>
      </c>
      <c r="E282" s="59" t="s">
        <v>830</v>
      </c>
      <c r="F282" s="59"/>
      <c r="G282" s="58">
        <f>'МП пр.5'!G84</f>
        <v>50</v>
      </c>
    </row>
    <row r="283" spans="1:7" ht="30" customHeight="1">
      <c r="A283" s="28" t="s">
        <v>105</v>
      </c>
      <c r="B283" s="59" t="s">
        <v>409</v>
      </c>
      <c r="C283" s="59" t="s">
        <v>71</v>
      </c>
      <c r="D283" s="59" t="s">
        <v>76</v>
      </c>
      <c r="E283" s="59" t="s">
        <v>830</v>
      </c>
      <c r="F283" s="59" t="s">
        <v>106</v>
      </c>
      <c r="G283" s="58">
        <f>'МП пр.5'!G85</f>
        <v>50</v>
      </c>
    </row>
    <row r="284" spans="1:7" ht="30" customHeight="1">
      <c r="A284" s="28" t="s">
        <v>469</v>
      </c>
      <c r="B284" s="59" t="s">
        <v>409</v>
      </c>
      <c r="C284" s="59" t="s">
        <v>71</v>
      </c>
      <c r="D284" s="59" t="s">
        <v>76</v>
      </c>
      <c r="E284" s="59" t="s">
        <v>830</v>
      </c>
      <c r="F284" s="59" t="s">
        <v>470</v>
      </c>
      <c r="G284" s="58">
        <f>'МП пр.5'!G86</f>
        <v>50</v>
      </c>
    </row>
    <row r="285" spans="1:7" ht="30" customHeight="1">
      <c r="A285" s="28" t="s">
        <v>630</v>
      </c>
      <c r="B285" s="59" t="s">
        <v>409</v>
      </c>
      <c r="C285" s="59" t="s">
        <v>71</v>
      </c>
      <c r="D285" s="59" t="s">
        <v>76</v>
      </c>
      <c r="E285" s="59" t="s">
        <v>830</v>
      </c>
      <c r="F285" s="59" t="s">
        <v>629</v>
      </c>
      <c r="G285" s="58">
        <f>'МП пр.5'!G87</f>
        <v>50</v>
      </c>
    </row>
    <row r="286" spans="1:7" ht="25.5">
      <c r="A286" s="28" t="s">
        <v>467</v>
      </c>
      <c r="B286" s="60" t="s">
        <v>409</v>
      </c>
      <c r="C286" s="59" t="s">
        <v>71</v>
      </c>
      <c r="D286" s="59" t="s">
        <v>76</v>
      </c>
      <c r="E286" s="59" t="s">
        <v>468</v>
      </c>
      <c r="F286" s="59"/>
      <c r="G286" s="58">
        <f>G287</f>
        <v>30</v>
      </c>
    </row>
    <row r="287" spans="1:7" ht="25.5">
      <c r="A287" s="28" t="s">
        <v>105</v>
      </c>
      <c r="B287" s="60" t="s">
        <v>409</v>
      </c>
      <c r="C287" s="59" t="s">
        <v>71</v>
      </c>
      <c r="D287" s="59" t="s">
        <v>76</v>
      </c>
      <c r="E287" s="59" t="s">
        <v>468</v>
      </c>
      <c r="F287" s="59" t="s">
        <v>106</v>
      </c>
      <c r="G287" s="58">
        <f>G288</f>
        <v>30</v>
      </c>
    </row>
    <row r="288" spans="1:7" ht="25.5">
      <c r="A288" s="28" t="s">
        <v>469</v>
      </c>
      <c r="B288" s="60" t="s">
        <v>409</v>
      </c>
      <c r="C288" s="59" t="s">
        <v>71</v>
      </c>
      <c r="D288" s="59" t="s">
        <v>76</v>
      </c>
      <c r="E288" s="59" t="s">
        <v>468</v>
      </c>
      <c r="F288" s="59" t="s">
        <v>470</v>
      </c>
      <c r="G288" s="58">
        <f>G289</f>
        <v>30</v>
      </c>
    </row>
    <row r="289" spans="1:7" ht="25.5">
      <c r="A289" s="28" t="s">
        <v>630</v>
      </c>
      <c r="B289" s="60" t="s">
        <v>409</v>
      </c>
      <c r="C289" s="59" t="s">
        <v>71</v>
      </c>
      <c r="D289" s="59" t="s">
        <v>76</v>
      </c>
      <c r="E289" s="59" t="s">
        <v>468</v>
      </c>
      <c r="F289" s="59" t="s">
        <v>629</v>
      </c>
      <c r="G289" s="58">
        <f>'МП пр.5'!G94</f>
        <v>30</v>
      </c>
    </row>
    <row r="290" spans="1:7" ht="15.75" customHeight="1">
      <c r="A290" s="61" t="s">
        <v>154</v>
      </c>
      <c r="B290" s="62" t="s">
        <v>410</v>
      </c>
      <c r="C290" s="63"/>
      <c r="D290" s="63"/>
      <c r="E290" s="63"/>
      <c r="F290" s="63"/>
      <c r="G290" s="64">
        <f>G291+G325</f>
        <v>18108.000000000004</v>
      </c>
    </row>
    <row r="291" spans="1:7" ht="12.75">
      <c r="A291" s="61" t="s">
        <v>2</v>
      </c>
      <c r="B291" s="62" t="s">
        <v>410</v>
      </c>
      <c r="C291" s="63" t="s">
        <v>66</v>
      </c>
      <c r="D291" s="63" t="s">
        <v>36</v>
      </c>
      <c r="E291" s="63"/>
      <c r="F291" s="63"/>
      <c r="G291" s="64">
        <f>G292+G320</f>
        <v>18068.600000000002</v>
      </c>
    </row>
    <row r="292" spans="1:7" ht="25.5">
      <c r="A292" s="61" t="s">
        <v>79</v>
      </c>
      <c r="B292" s="62" t="s">
        <v>410</v>
      </c>
      <c r="C292" s="63" t="s">
        <v>66</v>
      </c>
      <c r="D292" s="63" t="s">
        <v>76</v>
      </c>
      <c r="E292" s="63"/>
      <c r="F292" s="63"/>
      <c r="G292" s="64">
        <f>G293+G303</f>
        <v>17068.600000000002</v>
      </c>
    </row>
    <row r="293" spans="1:7" ht="12.75">
      <c r="A293" s="28" t="s">
        <v>360</v>
      </c>
      <c r="B293" s="60" t="s">
        <v>410</v>
      </c>
      <c r="C293" s="59" t="s">
        <v>66</v>
      </c>
      <c r="D293" s="59" t="s">
        <v>76</v>
      </c>
      <c r="E293" s="59" t="s">
        <v>215</v>
      </c>
      <c r="F293" s="59"/>
      <c r="G293" s="58">
        <f>G294</f>
        <v>265.8</v>
      </c>
    </row>
    <row r="294" spans="1:7" ht="12.75">
      <c r="A294" s="28" t="s">
        <v>361</v>
      </c>
      <c r="B294" s="60" t="s">
        <v>410</v>
      </c>
      <c r="C294" s="59" t="s">
        <v>66</v>
      </c>
      <c r="D294" s="59" t="s">
        <v>76</v>
      </c>
      <c r="E294" s="59" t="s">
        <v>358</v>
      </c>
      <c r="F294" s="59"/>
      <c r="G294" s="58">
        <f>G295+G299</f>
        <v>265.8</v>
      </c>
    </row>
    <row r="295" spans="1:7" ht="39" customHeight="1">
      <c r="A295" s="28" t="s">
        <v>234</v>
      </c>
      <c r="B295" s="60" t="s">
        <v>410</v>
      </c>
      <c r="C295" s="59" t="s">
        <v>66</v>
      </c>
      <c r="D295" s="59" t="s">
        <v>76</v>
      </c>
      <c r="E295" s="59" t="s">
        <v>359</v>
      </c>
      <c r="F295" s="59"/>
      <c r="G295" s="58">
        <f>G296</f>
        <v>248.9</v>
      </c>
    </row>
    <row r="296" spans="1:7" ht="38.25">
      <c r="A296" s="28" t="s">
        <v>102</v>
      </c>
      <c r="B296" s="60" t="s">
        <v>410</v>
      </c>
      <c r="C296" s="59" t="s">
        <v>66</v>
      </c>
      <c r="D296" s="59" t="s">
        <v>76</v>
      </c>
      <c r="E296" s="59" t="s">
        <v>359</v>
      </c>
      <c r="F296" s="59" t="s">
        <v>103</v>
      </c>
      <c r="G296" s="58">
        <f>G297</f>
        <v>248.9</v>
      </c>
    </row>
    <row r="297" spans="1:7" ht="12.75">
      <c r="A297" s="28" t="s">
        <v>93</v>
      </c>
      <c r="B297" s="60" t="s">
        <v>410</v>
      </c>
      <c r="C297" s="59" t="s">
        <v>66</v>
      </c>
      <c r="D297" s="59" t="s">
        <v>76</v>
      </c>
      <c r="E297" s="59" t="s">
        <v>359</v>
      </c>
      <c r="F297" s="59" t="s">
        <v>94</v>
      </c>
      <c r="G297" s="58">
        <f>G298</f>
        <v>248.9</v>
      </c>
    </row>
    <row r="298" spans="1:7" ht="25.5">
      <c r="A298" s="28" t="s">
        <v>96</v>
      </c>
      <c r="B298" s="60" t="s">
        <v>410</v>
      </c>
      <c r="C298" s="59" t="s">
        <v>66</v>
      </c>
      <c r="D298" s="59" t="s">
        <v>76</v>
      </c>
      <c r="E298" s="59" t="s">
        <v>359</v>
      </c>
      <c r="F298" s="59" t="s">
        <v>97</v>
      </c>
      <c r="G298" s="58">
        <f>500-251.1</f>
        <v>248.9</v>
      </c>
    </row>
    <row r="299" spans="1:7" ht="13.5" customHeight="1">
      <c r="A299" s="28" t="s">
        <v>235</v>
      </c>
      <c r="B299" s="60" t="s">
        <v>410</v>
      </c>
      <c r="C299" s="59" t="s">
        <v>66</v>
      </c>
      <c r="D299" s="59" t="s">
        <v>76</v>
      </c>
      <c r="E299" s="59" t="s">
        <v>362</v>
      </c>
      <c r="F299" s="59"/>
      <c r="G299" s="58">
        <f>G300</f>
        <v>16.900000000000006</v>
      </c>
    </row>
    <row r="300" spans="1:7" ht="13.5" customHeight="1">
      <c r="A300" s="28" t="s">
        <v>102</v>
      </c>
      <c r="B300" s="60" t="s">
        <v>410</v>
      </c>
      <c r="C300" s="59" t="s">
        <v>66</v>
      </c>
      <c r="D300" s="59" t="s">
        <v>76</v>
      </c>
      <c r="E300" s="59" t="s">
        <v>362</v>
      </c>
      <c r="F300" s="59" t="s">
        <v>103</v>
      </c>
      <c r="G300" s="58">
        <f>G301</f>
        <v>16.900000000000006</v>
      </c>
    </row>
    <row r="301" spans="1:7" ht="13.5" customHeight="1">
      <c r="A301" s="28" t="s">
        <v>93</v>
      </c>
      <c r="B301" s="60" t="s">
        <v>410</v>
      </c>
      <c r="C301" s="59" t="s">
        <v>66</v>
      </c>
      <c r="D301" s="59" t="s">
        <v>76</v>
      </c>
      <c r="E301" s="59" t="s">
        <v>362</v>
      </c>
      <c r="F301" s="59" t="s">
        <v>94</v>
      </c>
      <c r="G301" s="58">
        <f>G302</f>
        <v>16.900000000000006</v>
      </c>
    </row>
    <row r="302" spans="1:7" ht="27" customHeight="1">
      <c r="A302" s="28" t="s">
        <v>96</v>
      </c>
      <c r="B302" s="60" t="s">
        <v>410</v>
      </c>
      <c r="C302" s="59" t="s">
        <v>66</v>
      </c>
      <c r="D302" s="59" t="s">
        <v>76</v>
      </c>
      <c r="E302" s="59" t="s">
        <v>362</v>
      </c>
      <c r="F302" s="59" t="s">
        <v>97</v>
      </c>
      <c r="G302" s="58">
        <f>130-113.1</f>
        <v>16.900000000000006</v>
      </c>
    </row>
    <row r="303" spans="1:7" ht="24" customHeight="1">
      <c r="A303" s="28" t="s">
        <v>416</v>
      </c>
      <c r="B303" s="60" t="s">
        <v>410</v>
      </c>
      <c r="C303" s="59" t="s">
        <v>66</v>
      </c>
      <c r="D303" s="59" t="s">
        <v>76</v>
      </c>
      <c r="E303" s="59" t="s">
        <v>214</v>
      </c>
      <c r="F303" s="59"/>
      <c r="G303" s="58">
        <f>G304</f>
        <v>16802.800000000003</v>
      </c>
    </row>
    <row r="304" spans="1:7" ht="14.25" customHeight="1">
      <c r="A304" s="28" t="s">
        <v>50</v>
      </c>
      <c r="B304" s="60" t="s">
        <v>410</v>
      </c>
      <c r="C304" s="59" t="s">
        <v>66</v>
      </c>
      <c r="D304" s="59" t="s">
        <v>76</v>
      </c>
      <c r="E304" s="59" t="s">
        <v>240</v>
      </c>
      <c r="F304" s="59"/>
      <c r="G304" s="58">
        <f>G305+G311</f>
        <v>16802.800000000003</v>
      </c>
    </row>
    <row r="305" spans="1:7" ht="12.75">
      <c r="A305" s="28" t="s">
        <v>236</v>
      </c>
      <c r="B305" s="60" t="s">
        <v>410</v>
      </c>
      <c r="C305" s="59" t="s">
        <v>66</v>
      </c>
      <c r="D305" s="59" t="s">
        <v>76</v>
      </c>
      <c r="E305" s="59" t="s">
        <v>241</v>
      </c>
      <c r="F305" s="59"/>
      <c r="G305" s="58">
        <f>G306</f>
        <v>15627.300000000001</v>
      </c>
    </row>
    <row r="306" spans="1:7" ht="38.25">
      <c r="A306" s="28" t="s">
        <v>102</v>
      </c>
      <c r="B306" s="60" t="s">
        <v>410</v>
      </c>
      <c r="C306" s="59" t="s">
        <v>66</v>
      </c>
      <c r="D306" s="59" t="s">
        <v>76</v>
      </c>
      <c r="E306" s="59" t="s">
        <v>241</v>
      </c>
      <c r="F306" s="59" t="s">
        <v>103</v>
      </c>
      <c r="G306" s="58">
        <f>G307</f>
        <v>15627.300000000001</v>
      </c>
    </row>
    <row r="307" spans="1:7" ht="12.75">
      <c r="A307" s="28" t="s">
        <v>93</v>
      </c>
      <c r="B307" s="60" t="s">
        <v>410</v>
      </c>
      <c r="C307" s="59" t="s">
        <v>66</v>
      </c>
      <c r="D307" s="59" t="s">
        <v>76</v>
      </c>
      <c r="E307" s="59" t="s">
        <v>241</v>
      </c>
      <c r="F307" s="59" t="s">
        <v>94</v>
      </c>
      <c r="G307" s="58">
        <f>G308+G309+G310</f>
        <v>15627.300000000001</v>
      </c>
    </row>
    <row r="308" spans="1:7" ht="12.75">
      <c r="A308" s="28" t="s">
        <v>158</v>
      </c>
      <c r="B308" s="60" t="s">
        <v>410</v>
      </c>
      <c r="C308" s="59" t="s">
        <v>66</v>
      </c>
      <c r="D308" s="59" t="s">
        <v>76</v>
      </c>
      <c r="E308" s="59" t="s">
        <v>241</v>
      </c>
      <c r="F308" s="59" t="s">
        <v>95</v>
      </c>
      <c r="G308" s="58">
        <f>12022.5+300.6</f>
        <v>12323.1</v>
      </c>
    </row>
    <row r="309" spans="1:7" ht="25.5">
      <c r="A309" s="28" t="s">
        <v>96</v>
      </c>
      <c r="B309" s="60" t="s">
        <v>410</v>
      </c>
      <c r="C309" s="59" t="s">
        <v>66</v>
      </c>
      <c r="D309" s="59" t="s">
        <v>76</v>
      </c>
      <c r="E309" s="59" t="s">
        <v>241</v>
      </c>
      <c r="F309" s="59" t="s">
        <v>97</v>
      </c>
      <c r="G309" s="58">
        <f>162-124.4</f>
        <v>37.599999999999994</v>
      </c>
    </row>
    <row r="310" spans="1:7" ht="26.25" customHeight="1">
      <c r="A310" s="28" t="s">
        <v>160</v>
      </c>
      <c r="B310" s="60" t="s">
        <v>410</v>
      </c>
      <c r="C310" s="59" t="s">
        <v>66</v>
      </c>
      <c r="D310" s="59" t="s">
        <v>76</v>
      </c>
      <c r="E310" s="59" t="s">
        <v>241</v>
      </c>
      <c r="F310" s="59" t="s">
        <v>159</v>
      </c>
      <c r="G310" s="58">
        <f>3005.6+226+35</f>
        <v>3266.6</v>
      </c>
    </row>
    <row r="311" spans="1:7" ht="12.75">
      <c r="A311" s="28" t="s">
        <v>237</v>
      </c>
      <c r="B311" s="60" t="s">
        <v>410</v>
      </c>
      <c r="C311" s="59" t="s">
        <v>66</v>
      </c>
      <c r="D311" s="59" t="s">
        <v>76</v>
      </c>
      <c r="E311" s="59" t="s">
        <v>242</v>
      </c>
      <c r="F311" s="59"/>
      <c r="G311" s="58">
        <f>G312+G315</f>
        <v>1175.5</v>
      </c>
    </row>
    <row r="312" spans="1:7" ht="25.5">
      <c r="A312" s="28" t="s">
        <v>610</v>
      </c>
      <c r="B312" s="60" t="s">
        <v>410</v>
      </c>
      <c r="C312" s="59" t="s">
        <v>66</v>
      </c>
      <c r="D312" s="59" t="s">
        <v>76</v>
      </c>
      <c r="E312" s="59" t="s">
        <v>242</v>
      </c>
      <c r="F312" s="59" t="s">
        <v>104</v>
      </c>
      <c r="G312" s="58">
        <f>G313</f>
        <v>1168.8</v>
      </c>
    </row>
    <row r="313" spans="1:7" ht="24.75" customHeight="1">
      <c r="A313" s="28" t="s">
        <v>98</v>
      </c>
      <c r="B313" s="60" t="s">
        <v>410</v>
      </c>
      <c r="C313" s="59" t="s">
        <v>66</v>
      </c>
      <c r="D313" s="59" t="s">
        <v>76</v>
      </c>
      <c r="E313" s="59" t="s">
        <v>242</v>
      </c>
      <c r="F313" s="59" t="s">
        <v>99</v>
      </c>
      <c r="G313" s="58">
        <f>G314</f>
        <v>1168.8</v>
      </c>
    </row>
    <row r="314" spans="1:7" ht="25.5">
      <c r="A314" s="28" t="s">
        <v>100</v>
      </c>
      <c r="B314" s="60" t="s">
        <v>410</v>
      </c>
      <c r="C314" s="59" t="s">
        <v>66</v>
      </c>
      <c r="D314" s="59" t="s">
        <v>76</v>
      </c>
      <c r="E314" s="59" t="s">
        <v>242</v>
      </c>
      <c r="F314" s="59" t="s">
        <v>101</v>
      </c>
      <c r="G314" s="58">
        <f>1245.2-41.4-35</f>
        <v>1168.8</v>
      </c>
    </row>
    <row r="315" spans="1:7" ht="12.75">
      <c r="A315" s="28" t="s">
        <v>128</v>
      </c>
      <c r="B315" s="60" t="s">
        <v>410</v>
      </c>
      <c r="C315" s="59" t="s">
        <v>66</v>
      </c>
      <c r="D315" s="59" t="s">
        <v>76</v>
      </c>
      <c r="E315" s="59" t="s">
        <v>242</v>
      </c>
      <c r="F315" s="59" t="s">
        <v>129</v>
      </c>
      <c r="G315" s="58">
        <f>G316</f>
        <v>6.7</v>
      </c>
    </row>
    <row r="316" spans="1:7" ht="12.75">
      <c r="A316" s="28" t="s">
        <v>131</v>
      </c>
      <c r="B316" s="60" t="s">
        <v>410</v>
      </c>
      <c r="C316" s="59" t="s">
        <v>66</v>
      </c>
      <c r="D316" s="59" t="s">
        <v>76</v>
      </c>
      <c r="E316" s="59" t="s">
        <v>242</v>
      </c>
      <c r="F316" s="59" t="s">
        <v>132</v>
      </c>
      <c r="G316" s="58">
        <f>G317+G318+G319</f>
        <v>6.7</v>
      </c>
    </row>
    <row r="317" spans="1:7" ht="12.75">
      <c r="A317" s="28" t="s">
        <v>133</v>
      </c>
      <c r="B317" s="60" t="s">
        <v>410</v>
      </c>
      <c r="C317" s="59" t="s">
        <v>66</v>
      </c>
      <c r="D317" s="59" t="s">
        <v>76</v>
      </c>
      <c r="E317" s="59" t="s">
        <v>242</v>
      </c>
      <c r="F317" s="59" t="s">
        <v>134</v>
      </c>
      <c r="G317" s="58">
        <f>4.2-0.4</f>
        <v>3.8000000000000003</v>
      </c>
    </row>
    <row r="318" spans="1:7" ht="12.75">
      <c r="A318" s="28" t="s">
        <v>161</v>
      </c>
      <c r="B318" s="60" t="s">
        <v>410</v>
      </c>
      <c r="C318" s="59" t="s">
        <v>66</v>
      </c>
      <c r="D318" s="59" t="s">
        <v>76</v>
      </c>
      <c r="E318" s="59" t="s">
        <v>242</v>
      </c>
      <c r="F318" s="59" t="s">
        <v>135</v>
      </c>
      <c r="G318" s="58">
        <f>2.5-0.4</f>
        <v>2.1</v>
      </c>
    </row>
    <row r="319" spans="1:7" ht="12.75">
      <c r="A319" s="28" t="s">
        <v>162</v>
      </c>
      <c r="B319" s="60" t="s">
        <v>410</v>
      </c>
      <c r="C319" s="59" t="s">
        <v>66</v>
      </c>
      <c r="D319" s="59" t="s">
        <v>76</v>
      </c>
      <c r="E319" s="59" t="s">
        <v>242</v>
      </c>
      <c r="F319" s="59" t="s">
        <v>163</v>
      </c>
      <c r="G319" s="58">
        <v>0.8</v>
      </c>
    </row>
    <row r="320" spans="1:7" ht="12.75">
      <c r="A320" s="61" t="s">
        <v>3</v>
      </c>
      <c r="B320" s="62" t="s">
        <v>410</v>
      </c>
      <c r="C320" s="63" t="s">
        <v>66</v>
      </c>
      <c r="D320" s="63" t="s">
        <v>74</v>
      </c>
      <c r="E320" s="63"/>
      <c r="F320" s="63"/>
      <c r="G320" s="64">
        <f>G321</f>
        <v>1000</v>
      </c>
    </row>
    <row r="321" spans="1:7" ht="12.75">
      <c r="A321" s="28" t="s">
        <v>3</v>
      </c>
      <c r="B321" s="60" t="s">
        <v>410</v>
      </c>
      <c r="C321" s="59" t="s">
        <v>66</v>
      </c>
      <c r="D321" s="59" t="s">
        <v>74</v>
      </c>
      <c r="E321" s="59" t="s">
        <v>221</v>
      </c>
      <c r="F321" s="59"/>
      <c r="G321" s="58">
        <f>G322</f>
        <v>1000</v>
      </c>
    </row>
    <row r="322" spans="1:7" ht="12.75">
      <c r="A322" s="28" t="s">
        <v>402</v>
      </c>
      <c r="B322" s="60" t="s">
        <v>410</v>
      </c>
      <c r="C322" s="59" t="s">
        <v>66</v>
      </c>
      <c r="D322" s="59" t="s">
        <v>74</v>
      </c>
      <c r="E322" s="59" t="s">
        <v>403</v>
      </c>
      <c r="F322" s="59"/>
      <c r="G322" s="58">
        <f>G323</f>
        <v>1000</v>
      </c>
    </row>
    <row r="323" spans="1:7" ht="12.75">
      <c r="A323" s="28" t="s">
        <v>128</v>
      </c>
      <c r="B323" s="60" t="s">
        <v>410</v>
      </c>
      <c r="C323" s="59" t="s">
        <v>66</v>
      </c>
      <c r="D323" s="59" t="s">
        <v>74</v>
      </c>
      <c r="E323" s="59" t="s">
        <v>403</v>
      </c>
      <c r="F323" s="59" t="s">
        <v>129</v>
      </c>
      <c r="G323" s="58">
        <f>G324</f>
        <v>1000</v>
      </c>
    </row>
    <row r="324" spans="1:7" ht="12.75">
      <c r="A324" s="28" t="s">
        <v>140</v>
      </c>
      <c r="B324" s="60" t="s">
        <v>410</v>
      </c>
      <c r="C324" s="59" t="s">
        <v>66</v>
      </c>
      <c r="D324" s="59" t="s">
        <v>74</v>
      </c>
      <c r="E324" s="59" t="s">
        <v>403</v>
      </c>
      <c r="F324" s="59" t="s">
        <v>141</v>
      </c>
      <c r="G324" s="58">
        <v>1000</v>
      </c>
    </row>
    <row r="325" spans="1:7" ht="12.75">
      <c r="A325" s="61" t="s">
        <v>273</v>
      </c>
      <c r="B325" s="62" t="s">
        <v>410</v>
      </c>
      <c r="C325" s="63" t="s">
        <v>87</v>
      </c>
      <c r="D325" s="63" t="s">
        <v>36</v>
      </c>
      <c r="E325" s="63"/>
      <c r="F325" s="63"/>
      <c r="G325" s="64">
        <f>G326</f>
        <v>39.4</v>
      </c>
    </row>
    <row r="326" spans="1:7" ht="12.75">
      <c r="A326" s="61" t="s">
        <v>91</v>
      </c>
      <c r="B326" s="62" t="s">
        <v>410</v>
      </c>
      <c r="C326" s="63" t="s">
        <v>87</v>
      </c>
      <c r="D326" s="63" t="s">
        <v>66</v>
      </c>
      <c r="E326" s="63"/>
      <c r="F326" s="63"/>
      <c r="G326" s="64">
        <f>G327</f>
        <v>39.4</v>
      </c>
    </row>
    <row r="327" spans="1:7" ht="12.75">
      <c r="A327" s="28" t="s">
        <v>89</v>
      </c>
      <c r="B327" s="60" t="s">
        <v>410</v>
      </c>
      <c r="C327" s="59" t="s">
        <v>87</v>
      </c>
      <c r="D327" s="59" t="s">
        <v>66</v>
      </c>
      <c r="E327" s="59" t="s">
        <v>222</v>
      </c>
      <c r="F327" s="59"/>
      <c r="G327" s="58">
        <f>G328</f>
        <v>39.4</v>
      </c>
    </row>
    <row r="328" spans="1:7" ht="12.75">
      <c r="A328" s="28" t="s">
        <v>90</v>
      </c>
      <c r="B328" s="60" t="s">
        <v>410</v>
      </c>
      <c r="C328" s="59" t="s">
        <v>87</v>
      </c>
      <c r="D328" s="59" t="s">
        <v>66</v>
      </c>
      <c r="E328" s="59" t="s">
        <v>399</v>
      </c>
      <c r="F328" s="59"/>
      <c r="G328" s="58">
        <f>G329</f>
        <v>39.4</v>
      </c>
    </row>
    <row r="329" spans="1:7" ht="12.75">
      <c r="A329" s="28" t="s">
        <v>88</v>
      </c>
      <c r="B329" s="60" t="s">
        <v>410</v>
      </c>
      <c r="C329" s="59" t="s">
        <v>87</v>
      </c>
      <c r="D329" s="59" t="s">
        <v>66</v>
      </c>
      <c r="E329" s="59" t="s">
        <v>399</v>
      </c>
      <c r="F329" s="59" t="s">
        <v>125</v>
      </c>
      <c r="G329" s="58">
        <f>G330</f>
        <v>39.4</v>
      </c>
    </row>
    <row r="330" spans="1:7" ht="12.75">
      <c r="A330" s="28" t="s">
        <v>126</v>
      </c>
      <c r="B330" s="60" t="s">
        <v>410</v>
      </c>
      <c r="C330" s="59" t="s">
        <v>87</v>
      </c>
      <c r="D330" s="59" t="s">
        <v>66</v>
      </c>
      <c r="E330" s="59" t="s">
        <v>399</v>
      </c>
      <c r="F330" s="59" t="s">
        <v>127</v>
      </c>
      <c r="G330" s="58">
        <f>36+3.4</f>
        <v>39.4</v>
      </c>
    </row>
    <row r="331" spans="1:7" ht="12.75">
      <c r="A331" s="152" t="s">
        <v>155</v>
      </c>
      <c r="B331" s="62" t="s">
        <v>411</v>
      </c>
      <c r="C331" s="63"/>
      <c r="D331" s="63"/>
      <c r="E331" s="63"/>
      <c r="F331" s="63"/>
      <c r="G331" s="64">
        <f>G332</f>
        <v>7273.8</v>
      </c>
    </row>
    <row r="332" spans="1:7" ht="12.75">
      <c r="A332" s="152" t="s">
        <v>2</v>
      </c>
      <c r="B332" s="62" t="s">
        <v>411</v>
      </c>
      <c r="C332" s="63" t="s">
        <v>66</v>
      </c>
      <c r="D332" s="63" t="s">
        <v>36</v>
      </c>
      <c r="E332" s="63"/>
      <c r="F332" s="63"/>
      <c r="G332" s="64">
        <f>G333+G363</f>
        <v>7273.8</v>
      </c>
    </row>
    <row r="333" spans="1:7" ht="28.5" customHeight="1">
      <c r="A333" s="152" t="s">
        <v>20</v>
      </c>
      <c r="B333" s="62" t="s">
        <v>411</v>
      </c>
      <c r="C333" s="63" t="s">
        <v>66</v>
      </c>
      <c r="D333" s="63" t="s">
        <v>70</v>
      </c>
      <c r="E333" s="63"/>
      <c r="F333" s="63"/>
      <c r="G333" s="64">
        <f>G334+G340</f>
        <v>4940.6</v>
      </c>
    </row>
    <row r="334" spans="1:7" ht="12.75">
      <c r="A334" s="28" t="s">
        <v>360</v>
      </c>
      <c r="B334" s="60" t="s">
        <v>411</v>
      </c>
      <c r="C334" s="59" t="s">
        <v>66</v>
      </c>
      <c r="D334" s="59" t="s">
        <v>70</v>
      </c>
      <c r="E334" s="59" t="s">
        <v>215</v>
      </c>
      <c r="F334" s="59"/>
      <c r="G334" s="58">
        <f>G335</f>
        <v>185</v>
      </c>
    </row>
    <row r="335" spans="1:7" ht="12.75">
      <c r="A335" s="28" t="s">
        <v>361</v>
      </c>
      <c r="B335" s="60" t="s">
        <v>411</v>
      </c>
      <c r="C335" s="59" t="s">
        <v>66</v>
      </c>
      <c r="D335" s="59" t="s">
        <v>70</v>
      </c>
      <c r="E335" s="59" t="s">
        <v>358</v>
      </c>
      <c r="F335" s="59"/>
      <c r="G335" s="58">
        <f>G336</f>
        <v>185</v>
      </c>
    </row>
    <row r="336" spans="1:7" ht="51">
      <c r="A336" s="28" t="s">
        <v>287</v>
      </c>
      <c r="B336" s="60" t="s">
        <v>411</v>
      </c>
      <c r="C336" s="59" t="s">
        <v>66</v>
      </c>
      <c r="D336" s="59" t="s">
        <v>70</v>
      </c>
      <c r="E336" s="59" t="s">
        <v>359</v>
      </c>
      <c r="F336" s="59"/>
      <c r="G336" s="58">
        <f>G337</f>
        <v>185</v>
      </c>
    </row>
    <row r="337" spans="1:7" ht="38.25">
      <c r="A337" s="28" t="s">
        <v>102</v>
      </c>
      <c r="B337" s="60" t="s">
        <v>411</v>
      </c>
      <c r="C337" s="59" t="s">
        <v>66</v>
      </c>
      <c r="D337" s="59" t="s">
        <v>70</v>
      </c>
      <c r="E337" s="59" t="s">
        <v>359</v>
      </c>
      <c r="F337" s="59" t="s">
        <v>103</v>
      </c>
      <c r="G337" s="58">
        <f>G338</f>
        <v>185</v>
      </c>
    </row>
    <row r="338" spans="1:7" ht="12.75">
      <c r="A338" s="28" t="s">
        <v>93</v>
      </c>
      <c r="B338" s="60" t="s">
        <v>411</v>
      </c>
      <c r="C338" s="59" t="s">
        <v>66</v>
      </c>
      <c r="D338" s="59" t="s">
        <v>70</v>
      </c>
      <c r="E338" s="59" t="s">
        <v>359</v>
      </c>
      <c r="F338" s="59" t="s">
        <v>94</v>
      </c>
      <c r="G338" s="58">
        <f>G339</f>
        <v>185</v>
      </c>
    </row>
    <row r="339" spans="1:7" ht="25.5">
      <c r="A339" s="28" t="s">
        <v>96</v>
      </c>
      <c r="B339" s="60" t="s">
        <v>411</v>
      </c>
      <c r="C339" s="59" t="s">
        <v>66</v>
      </c>
      <c r="D339" s="59" t="s">
        <v>70</v>
      </c>
      <c r="E339" s="59" t="s">
        <v>359</v>
      </c>
      <c r="F339" s="59" t="s">
        <v>97</v>
      </c>
      <c r="G339" s="58">
        <f>144+40+1</f>
        <v>185</v>
      </c>
    </row>
    <row r="340" spans="1:7" ht="25.5">
      <c r="A340" s="28" t="s">
        <v>416</v>
      </c>
      <c r="B340" s="60" t="s">
        <v>411</v>
      </c>
      <c r="C340" s="59" t="s">
        <v>66</v>
      </c>
      <c r="D340" s="59" t="s">
        <v>70</v>
      </c>
      <c r="E340" s="59" t="s">
        <v>214</v>
      </c>
      <c r="F340" s="59"/>
      <c r="G340" s="58">
        <f>G341+G357</f>
        <v>4755.6</v>
      </c>
    </row>
    <row r="341" spans="1:7" ht="12.75">
      <c r="A341" s="28" t="s">
        <v>50</v>
      </c>
      <c r="B341" s="60" t="s">
        <v>411</v>
      </c>
      <c r="C341" s="59" t="s">
        <v>66</v>
      </c>
      <c r="D341" s="59" t="s">
        <v>70</v>
      </c>
      <c r="E341" s="59" t="s">
        <v>240</v>
      </c>
      <c r="F341" s="59"/>
      <c r="G341" s="58">
        <f>G342+G348</f>
        <v>1302.6</v>
      </c>
    </row>
    <row r="342" spans="1:7" ht="12.75">
      <c r="A342" s="28" t="s">
        <v>236</v>
      </c>
      <c r="B342" s="60" t="s">
        <v>411</v>
      </c>
      <c r="C342" s="59" t="s">
        <v>66</v>
      </c>
      <c r="D342" s="59" t="s">
        <v>70</v>
      </c>
      <c r="E342" s="59" t="s">
        <v>241</v>
      </c>
      <c r="F342" s="59"/>
      <c r="G342" s="58">
        <f>G343</f>
        <v>964.6</v>
      </c>
    </row>
    <row r="343" spans="1:7" ht="38.25">
      <c r="A343" s="28" t="s">
        <v>102</v>
      </c>
      <c r="B343" s="60" t="s">
        <v>411</v>
      </c>
      <c r="C343" s="59" t="s">
        <v>66</v>
      </c>
      <c r="D343" s="59" t="s">
        <v>70</v>
      </c>
      <c r="E343" s="59" t="s">
        <v>241</v>
      </c>
      <c r="F343" s="59" t="s">
        <v>103</v>
      </c>
      <c r="G343" s="58">
        <f>G344</f>
        <v>964.6</v>
      </c>
    </row>
    <row r="344" spans="1:7" ht="15.75" customHeight="1">
      <c r="A344" s="28" t="s">
        <v>93</v>
      </c>
      <c r="B344" s="60" t="s">
        <v>411</v>
      </c>
      <c r="C344" s="59" t="s">
        <v>66</v>
      </c>
      <c r="D344" s="59" t="s">
        <v>70</v>
      </c>
      <c r="E344" s="59" t="s">
        <v>241</v>
      </c>
      <c r="F344" s="59" t="s">
        <v>94</v>
      </c>
      <c r="G344" s="58">
        <f>G345+G346+G347</f>
        <v>964.6</v>
      </c>
    </row>
    <row r="345" spans="1:7" ht="12.75">
      <c r="A345" s="28" t="s">
        <v>158</v>
      </c>
      <c r="B345" s="60" t="s">
        <v>411</v>
      </c>
      <c r="C345" s="59" t="s">
        <v>66</v>
      </c>
      <c r="D345" s="59" t="s">
        <v>70</v>
      </c>
      <c r="E345" s="59" t="s">
        <v>241</v>
      </c>
      <c r="F345" s="59" t="s">
        <v>95</v>
      </c>
      <c r="G345" s="58">
        <f>752-16</f>
        <v>736</v>
      </c>
    </row>
    <row r="346" spans="1:7" ht="25.5">
      <c r="A346" s="28" t="s">
        <v>96</v>
      </c>
      <c r="B346" s="60" t="s">
        <v>411</v>
      </c>
      <c r="C346" s="59" t="s">
        <v>66</v>
      </c>
      <c r="D346" s="59" t="s">
        <v>70</v>
      </c>
      <c r="E346" s="59" t="s">
        <v>241</v>
      </c>
      <c r="F346" s="59" t="s">
        <v>97</v>
      </c>
      <c r="G346" s="58">
        <f>26-15.5</f>
        <v>10.5</v>
      </c>
    </row>
    <row r="347" spans="1:7" ht="25.5">
      <c r="A347" s="28" t="s">
        <v>160</v>
      </c>
      <c r="B347" s="60" t="s">
        <v>411</v>
      </c>
      <c r="C347" s="59" t="s">
        <v>66</v>
      </c>
      <c r="D347" s="59" t="s">
        <v>70</v>
      </c>
      <c r="E347" s="59" t="s">
        <v>241</v>
      </c>
      <c r="F347" s="59" t="s">
        <v>159</v>
      </c>
      <c r="G347" s="58">
        <f>227.1-9</f>
        <v>218.1</v>
      </c>
    </row>
    <row r="348" spans="1:7" ht="12.75">
      <c r="A348" s="28" t="s">
        <v>237</v>
      </c>
      <c r="B348" s="60" t="s">
        <v>411</v>
      </c>
      <c r="C348" s="59" t="s">
        <v>66</v>
      </c>
      <c r="D348" s="59" t="s">
        <v>70</v>
      </c>
      <c r="E348" s="59" t="s">
        <v>242</v>
      </c>
      <c r="F348" s="59"/>
      <c r="G348" s="58">
        <f>G349+G352</f>
        <v>338</v>
      </c>
    </row>
    <row r="349" spans="1:7" ht="25.5">
      <c r="A349" s="28" t="s">
        <v>610</v>
      </c>
      <c r="B349" s="60" t="s">
        <v>411</v>
      </c>
      <c r="C349" s="59" t="s">
        <v>66</v>
      </c>
      <c r="D349" s="59" t="s">
        <v>70</v>
      </c>
      <c r="E349" s="59" t="s">
        <v>242</v>
      </c>
      <c r="F349" s="59" t="s">
        <v>104</v>
      </c>
      <c r="G349" s="58">
        <f>G350</f>
        <v>337</v>
      </c>
    </row>
    <row r="350" spans="1:7" ht="25.5">
      <c r="A350" s="28" t="s">
        <v>98</v>
      </c>
      <c r="B350" s="60" t="s">
        <v>411</v>
      </c>
      <c r="C350" s="59" t="s">
        <v>66</v>
      </c>
      <c r="D350" s="59" t="s">
        <v>70</v>
      </c>
      <c r="E350" s="59" t="s">
        <v>242</v>
      </c>
      <c r="F350" s="59" t="s">
        <v>99</v>
      </c>
      <c r="G350" s="58">
        <f>G351</f>
        <v>337</v>
      </c>
    </row>
    <row r="351" spans="1:7" ht="27.75" customHeight="1">
      <c r="A351" s="28" t="s">
        <v>100</v>
      </c>
      <c r="B351" s="60" t="s">
        <v>411</v>
      </c>
      <c r="C351" s="59" t="s">
        <v>66</v>
      </c>
      <c r="D351" s="59" t="s">
        <v>70</v>
      </c>
      <c r="E351" s="59" t="s">
        <v>242</v>
      </c>
      <c r="F351" s="59" t="s">
        <v>101</v>
      </c>
      <c r="G351" s="58">
        <f>541-40-164</f>
        <v>337</v>
      </c>
    </row>
    <row r="352" spans="1:7" ht="12" customHeight="1">
      <c r="A352" s="28" t="s">
        <v>128</v>
      </c>
      <c r="B352" s="60" t="s">
        <v>411</v>
      </c>
      <c r="C352" s="59" t="s">
        <v>66</v>
      </c>
      <c r="D352" s="59" t="s">
        <v>70</v>
      </c>
      <c r="E352" s="59" t="s">
        <v>242</v>
      </c>
      <c r="F352" s="59" t="s">
        <v>129</v>
      </c>
      <c r="G352" s="58">
        <f>G353</f>
        <v>1</v>
      </c>
    </row>
    <row r="353" spans="1:7" ht="12" customHeight="1">
      <c r="A353" s="28" t="s">
        <v>131</v>
      </c>
      <c r="B353" s="60" t="s">
        <v>411</v>
      </c>
      <c r="C353" s="59" t="s">
        <v>66</v>
      </c>
      <c r="D353" s="59" t="s">
        <v>70</v>
      </c>
      <c r="E353" s="59" t="s">
        <v>242</v>
      </c>
      <c r="F353" s="59" t="s">
        <v>132</v>
      </c>
      <c r="G353" s="58">
        <f>G354+G355+G356</f>
        <v>1</v>
      </c>
    </row>
    <row r="354" spans="1:7" ht="12" customHeight="1">
      <c r="A354" s="28" t="s">
        <v>133</v>
      </c>
      <c r="B354" s="60" t="s">
        <v>411</v>
      </c>
      <c r="C354" s="59" t="s">
        <v>66</v>
      </c>
      <c r="D354" s="59" t="s">
        <v>70</v>
      </c>
      <c r="E354" s="59" t="s">
        <v>242</v>
      </c>
      <c r="F354" s="59" t="s">
        <v>134</v>
      </c>
      <c r="G354" s="58">
        <f>0.5-0.5</f>
        <v>0</v>
      </c>
    </row>
    <row r="355" spans="1:7" ht="12" customHeight="1">
      <c r="A355" s="28" t="s">
        <v>161</v>
      </c>
      <c r="B355" s="60" t="s">
        <v>411</v>
      </c>
      <c r="C355" s="59" t="s">
        <v>66</v>
      </c>
      <c r="D355" s="59" t="s">
        <v>70</v>
      </c>
      <c r="E355" s="59" t="s">
        <v>242</v>
      </c>
      <c r="F355" s="59" t="s">
        <v>135</v>
      </c>
      <c r="G355" s="58">
        <f>1-1</f>
        <v>0</v>
      </c>
    </row>
    <row r="356" spans="1:7" ht="12" customHeight="1">
      <c r="A356" s="28" t="s">
        <v>162</v>
      </c>
      <c r="B356" s="60" t="s">
        <v>411</v>
      </c>
      <c r="C356" s="59" t="s">
        <v>66</v>
      </c>
      <c r="D356" s="59" t="s">
        <v>70</v>
      </c>
      <c r="E356" s="59" t="s">
        <v>242</v>
      </c>
      <c r="F356" s="59" t="s">
        <v>163</v>
      </c>
      <c r="G356" s="58">
        <v>1</v>
      </c>
    </row>
    <row r="357" spans="1:7" ht="16.5" customHeight="1">
      <c r="A357" s="154" t="s">
        <v>166</v>
      </c>
      <c r="B357" s="60" t="s">
        <v>411</v>
      </c>
      <c r="C357" s="59" t="s">
        <v>66</v>
      </c>
      <c r="D357" s="59" t="s">
        <v>70</v>
      </c>
      <c r="E357" s="59" t="s">
        <v>245</v>
      </c>
      <c r="F357" s="59"/>
      <c r="G357" s="58">
        <f>G358</f>
        <v>3453</v>
      </c>
    </row>
    <row r="358" spans="1:7" ht="13.5" customHeight="1">
      <c r="A358" s="28" t="s">
        <v>236</v>
      </c>
      <c r="B358" s="60" t="s">
        <v>411</v>
      </c>
      <c r="C358" s="59" t="s">
        <v>66</v>
      </c>
      <c r="D358" s="59" t="s">
        <v>70</v>
      </c>
      <c r="E358" s="59" t="s">
        <v>244</v>
      </c>
      <c r="F358" s="59"/>
      <c r="G358" s="58">
        <f>G359</f>
        <v>3453</v>
      </c>
    </row>
    <row r="359" spans="1:7" ht="43.5" customHeight="1">
      <c r="A359" s="28" t="s">
        <v>102</v>
      </c>
      <c r="B359" s="60" t="s">
        <v>411</v>
      </c>
      <c r="C359" s="59" t="s">
        <v>66</v>
      </c>
      <c r="D359" s="59" t="s">
        <v>70</v>
      </c>
      <c r="E359" s="59" t="s">
        <v>244</v>
      </c>
      <c r="F359" s="59" t="s">
        <v>103</v>
      </c>
      <c r="G359" s="58">
        <f>G360</f>
        <v>3453</v>
      </c>
    </row>
    <row r="360" spans="1:7" ht="15" customHeight="1">
      <c r="A360" s="28" t="s">
        <v>93</v>
      </c>
      <c r="B360" s="60" t="s">
        <v>411</v>
      </c>
      <c r="C360" s="59" t="s">
        <v>66</v>
      </c>
      <c r="D360" s="59" t="s">
        <v>70</v>
      </c>
      <c r="E360" s="59" t="s">
        <v>244</v>
      </c>
      <c r="F360" s="59" t="s">
        <v>94</v>
      </c>
      <c r="G360" s="58">
        <f>G361+G362</f>
        <v>3453</v>
      </c>
    </row>
    <row r="361" spans="1:7" ht="18" customHeight="1">
      <c r="A361" s="28" t="s">
        <v>158</v>
      </c>
      <c r="B361" s="60" t="s">
        <v>411</v>
      </c>
      <c r="C361" s="59" t="s">
        <v>66</v>
      </c>
      <c r="D361" s="59" t="s">
        <v>70</v>
      </c>
      <c r="E361" s="59" t="s">
        <v>244</v>
      </c>
      <c r="F361" s="59" t="s">
        <v>95</v>
      </c>
      <c r="G361" s="58">
        <f>2866+20</f>
        <v>2886</v>
      </c>
    </row>
    <row r="362" spans="1:7" ht="33" customHeight="1">
      <c r="A362" s="28" t="s">
        <v>160</v>
      </c>
      <c r="B362" s="60" t="s">
        <v>411</v>
      </c>
      <c r="C362" s="59" t="s">
        <v>66</v>
      </c>
      <c r="D362" s="59" t="s">
        <v>70</v>
      </c>
      <c r="E362" s="59" t="s">
        <v>244</v>
      </c>
      <c r="F362" s="59" t="s">
        <v>159</v>
      </c>
      <c r="G362" s="58">
        <f>566+1</f>
        <v>567</v>
      </c>
    </row>
    <row r="363" spans="1:7" ht="27" customHeight="1">
      <c r="A363" s="61" t="s">
        <v>79</v>
      </c>
      <c r="B363" s="62" t="s">
        <v>411</v>
      </c>
      <c r="C363" s="63" t="s">
        <v>66</v>
      </c>
      <c r="D363" s="63" t="s">
        <v>76</v>
      </c>
      <c r="E363" s="63"/>
      <c r="F363" s="63"/>
      <c r="G363" s="64">
        <f>G364+G374+G386</f>
        <v>2333.2</v>
      </c>
    </row>
    <row r="364" spans="1:7" ht="12.75" customHeight="1">
      <c r="A364" s="28" t="s">
        <v>360</v>
      </c>
      <c r="B364" s="60" t="s">
        <v>411</v>
      </c>
      <c r="C364" s="59" t="s">
        <v>66</v>
      </c>
      <c r="D364" s="59" t="s">
        <v>76</v>
      </c>
      <c r="E364" s="59" t="s">
        <v>215</v>
      </c>
      <c r="F364" s="59"/>
      <c r="G364" s="58">
        <f>G365</f>
        <v>132.2</v>
      </c>
    </row>
    <row r="365" spans="1:7" ht="18" customHeight="1">
      <c r="A365" s="28" t="s">
        <v>363</v>
      </c>
      <c r="B365" s="60" t="s">
        <v>411</v>
      </c>
      <c r="C365" s="59" t="s">
        <v>66</v>
      </c>
      <c r="D365" s="59" t="s">
        <v>76</v>
      </c>
      <c r="E365" s="59" t="s">
        <v>358</v>
      </c>
      <c r="F365" s="59"/>
      <c r="G365" s="58">
        <f>G366+G370</f>
        <v>132.2</v>
      </c>
    </row>
    <row r="366" spans="1:7" ht="44.25" customHeight="1">
      <c r="A366" s="28" t="s">
        <v>287</v>
      </c>
      <c r="B366" s="60" t="s">
        <v>411</v>
      </c>
      <c r="C366" s="59" t="s">
        <v>66</v>
      </c>
      <c r="D366" s="59" t="s">
        <v>76</v>
      </c>
      <c r="E366" s="59" t="s">
        <v>359</v>
      </c>
      <c r="F366" s="59"/>
      <c r="G366" s="58">
        <f>G367</f>
        <v>59</v>
      </c>
    </row>
    <row r="367" spans="1:7" ht="39.75" customHeight="1">
      <c r="A367" s="28" t="s">
        <v>102</v>
      </c>
      <c r="B367" s="60" t="s">
        <v>411</v>
      </c>
      <c r="C367" s="59" t="s">
        <v>66</v>
      </c>
      <c r="D367" s="59" t="s">
        <v>76</v>
      </c>
      <c r="E367" s="59" t="s">
        <v>359</v>
      </c>
      <c r="F367" s="59" t="s">
        <v>103</v>
      </c>
      <c r="G367" s="58">
        <f>G368</f>
        <v>59</v>
      </c>
    </row>
    <row r="368" spans="1:7" ht="18.75" customHeight="1">
      <c r="A368" s="28" t="s">
        <v>93</v>
      </c>
      <c r="B368" s="60" t="s">
        <v>411</v>
      </c>
      <c r="C368" s="59" t="s">
        <v>66</v>
      </c>
      <c r="D368" s="59" t="s">
        <v>76</v>
      </c>
      <c r="E368" s="59" t="s">
        <v>359</v>
      </c>
      <c r="F368" s="59" t="s">
        <v>94</v>
      </c>
      <c r="G368" s="58">
        <f>G369</f>
        <v>59</v>
      </c>
    </row>
    <row r="369" spans="1:7" ht="25.5" customHeight="1">
      <c r="A369" s="28" t="s">
        <v>96</v>
      </c>
      <c r="B369" s="60" t="s">
        <v>411</v>
      </c>
      <c r="C369" s="59" t="s">
        <v>66</v>
      </c>
      <c r="D369" s="59" t="s">
        <v>76</v>
      </c>
      <c r="E369" s="59" t="s">
        <v>359</v>
      </c>
      <c r="F369" s="59" t="s">
        <v>97</v>
      </c>
      <c r="G369" s="58">
        <f>165-106</f>
        <v>59</v>
      </c>
    </row>
    <row r="370" spans="1:7" ht="16.5" customHeight="1">
      <c r="A370" s="28" t="s">
        <v>235</v>
      </c>
      <c r="B370" s="60" t="s">
        <v>411</v>
      </c>
      <c r="C370" s="59" t="s">
        <v>66</v>
      </c>
      <c r="D370" s="59" t="s">
        <v>76</v>
      </c>
      <c r="E370" s="59" t="s">
        <v>362</v>
      </c>
      <c r="F370" s="59"/>
      <c r="G370" s="58">
        <f>G371</f>
        <v>73.19999999999999</v>
      </c>
    </row>
    <row r="371" spans="1:7" ht="40.5" customHeight="1">
      <c r="A371" s="28" t="s">
        <v>102</v>
      </c>
      <c r="B371" s="60" t="s">
        <v>411</v>
      </c>
      <c r="C371" s="59" t="s">
        <v>66</v>
      </c>
      <c r="D371" s="59" t="s">
        <v>76</v>
      </c>
      <c r="E371" s="59" t="s">
        <v>362</v>
      </c>
      <c r="F371" s="59" t="s">
        <v>103</v>
      </c>
      <c r="G371" s="58">
        <f>G372</f>
        <v>73.19999999999999</v>
      </c>
    </row>
    <row r="372" spans="1:7" ht="18" customHeight="1">
      <c r="A372" s="28" t="s">
        <v>93</v>
      </c>
      <c r="B372" s="60" t="s">
        <v>411</v>
      </c>
      <c r="C372" s="59" t="s">
        <v>66</v>
      </c>
      <c r="D372" s="59" t="s">
        <v>76</v>
      </c>
      <c r="E372" s="59" t="s">
        <v>362</v>
      </c>
      <c r="F372" s="59" t="s">
        <v>94</v>
      </c>
      <c r="G372" s="58">
        <f>G373</f>
        <v>73.19999999999999</v>
      </c>
    </row>
    <row r="373" spans="1:7" ht="26.25" customHeight="1">
      <c r="A373" s="28" t="s">
        <v>96</v>
      </c>
      <c r="B373" s="60" t="s">
        <v>411</v>
      </c>
      <c r="C373" s="59" t="s">
        <v>66</v>
      </c>
      <c r="D373" s="59" t="s">
        <v>76</v>
      </c>
      <c r="E373" s="59" t="s">
        <v>362</v>
      </c>
      <c r="F373" s="59" t="s">
        <v>97</v>
      </c>
      <c r="G373" s="58">
        <f>250-176.8</f>
        <v>73.19999999999999</v>
      </c>
    </row>
    <row r="374" spans="1:7" ht="26.25" customHeight="1">
      <c r="A374" s="28" t="s">
        <v>416</v>
      </c>
      <c r="B374" s="60" t="s">
        <v>411</v>
      </c>
      <c r="C374" s="59" t="s">
        <v>66</v>
      </c>
      <c r="D374" s="59" t="s">
        <v>76</v>
      </c>
      <c r="E374" s="59" t="s">
        <v>214</v>
      </c>
      <c r="F374" s="59"/>
      <c r="G374" s="58">
        <f>G375</f>
        <v>140</v>
      </c>
    </row>
    <row r="375" spans="1:7" ht="15" customHeight="1">
      <c r="A375" s="28" t="s">
        <v>50</v>
      </c>
      <c r="B375" s="60" t="s">
        <v>411</v>
      </c>
      <c r="C375" s="59" t="s">
        <v>66</v>
      </c>
      <c r="D375" s="59" t="s">
        <v>76</v>
      </c>
      <c r="E375" s="59" t="s">
        <v>240</v>
      </c>
      <c r="F375" s="59"/>
      <c r="G375" s="58">
        <f>G376+G382</f>
        <v>140</v>
      </c>
    </row>
    <row r="376" spans="1:7" ht="18" customHeight="1">
      <c r="A376" s="28" t="s">
        <v>236</v>
      </c>
      <c r="B376" s="60" t="s">
        <v>411</v>
      </c>
      <c r="C376" s="59" t="s">
        <v>66</v>
      </c>
      <c r="D376" s="59" t="s">
        <v>76</v>
      </c>
      <c r="E376" s="59" t="s">
        <v>241</v>
      </c>
      <c r="F376" s="59"/>
      <c r="G376" s="58">
        <f>G377</f>
        <v>80</v>
      </c>
    </row>
    <row r="377" spans="1:7" ht="39" customHeight="1">
      <c r="A377" s="28" t="s">
        <v>102</v>
      </c>
      <c r="B377" s="60" t="s">
        <v>411</v>
      </c>
      <c r="C377" s="59" t="s">
        <v>66</v>
      </c>
      <c r="D377" s="59" t="s">
        <v>76</v>
      </c>
      <c r="E377" s="59" t="s">
        <v>241</v>
      </c>
      <c r="F377" s="59" t="s">
        <v>103</v>
      </c>
      <c r="G377" s="58">
        <f>G378</f>
        <v>80</v>
      </c>
    </row>
    <row r="378" spans="1:7" ht="15" customHeight="1">
      <c r="A378" s="28" t="s">
        <v>93</v>
      </c>
      <c r="B378" s="60" t="s">
        <v>411</v>
      </c>
      <c r="C378" s="59" t="s">
        <v>66</v>
      </c>
      <c r="D378" s="59" t="s">
        <v>76</v>
      </c>
      <c r="E378" s="59" t="s">
        <v>241</v>
      </c>
      <c r="F378" s="59" t="s">
        <v>94</v>
      </c>
      <c r="G378" s="58">
        <f>G380+G379+G381</f>
        <v>80</v>
      </c>
    </row>
    <row r="379" spans="1:7" ht="15" customHeight="1">
      <c r="A379" s="28" t="s">
        <v>158</v>
      </c>
      <c r="B379" s="60" t="s">
        <v>411</v>
      </c>
      <c r="C379" s="59" t="s">
        <v>66</v>
      </c>
      <c r="D379" s="59" t="s">
        <v>76</v>
      </c>
      <c r="E379" s="59" t="s">
        <v>241</v>
      </c>
      <c r="F379" s="59" t="s">
        <v>95</v>
      </c>
      <c r="G379" s="58">
        <v>56</v>
      </c>
    </row>
    <row r="380" spans="1:7" ht="27" customHeight="1">
      <c r="A380" s="28" t="s">
        <v>96</v>
      </c>
      <c r="B380" s="60" t="s">
        <v>411</v>
      </c>
      <c r="C380" s="59" t="s">
        <v>66</v>
      </c>
      <c r="D380" s="59" t="s">
        <v>76</v>
      </c>
      <c r="E380" s="59" t="s">
        <v>241</v>
      </c>
      <c r="F380" s="59" t="s">
        <v>97</v>
      </c>
      <c r="G380" s="58">
        <f>49-42</f>
        <v>7</v>
      </c>
    </row>
    <row r="381" spans="1:7" ht="27" customHeight="1">
      <c r="A381" s="28" t="s">
        <v>160</v>
      </c>
      <c r="B381" s="60" t="s">
        <v>411</v>
      </c>
      <c r="C381" s="59" t="s">
        <v>66</v>
      </c>
      <c r="D381" s="59" t="s">
        <v>76</v>
      </c>
      <c r="E381" s="59" t="s">
        <v>241</v>
      </c>
      <c r="F381" s="59" t="s">
        <v>159</v>
      </c>
      <c r="G381" s="58">
        <v>17</v>
      </c>
    </row>
    <row r="382" spans="1:7" ht="14.25" customHeight="1">
      <c r="A382" s="28" t="s">
        <v>237</v>
      </c>
      <c r="B382" s="60" t="s">
        <v>411</v>
      </c>
      <c r="C382" s="59" t="s">
        <v>66</v>
      </c>
      <c r="D382" s="59" t="s">
        <v>76</v>
      </c>
      <c r="E382" s="59" t="s">
        <v>242</v>
      </c>
      <c r="F382" s="59"/>
      <c r="G382" s="58">
        <f>G383</f>
        <v>60</v>
      </c>
    </row>
    <row r="383" spans="1:7" ht="19.5" customHeight="1">
      <c r="A383" s="28" t="s">
        <v>610</v>
      </c>
      <c r="B383" s="60" t="s">
        <v>411</v>
      </c>
      <c r="C383" s="59" t="s">
        <v>66</v>
      </c>
      <c r="D383" s="59" t="s">
        <v>76</v>
      </c>
      <c r="E383" s="59" t="s">
        <v>242</v>
      </c>
      <c r="F383" s="59" t="s">
        <v>104</v>
      </c>
      <c r="G383" s="58">
        <f>G384</f>
        <v>60</v>
      </c>
    </row>
    <row r="384" spans="1:7" ht="30" customHeight="1">
      <c r="A384" s="28" t="s">
        <v>98</v>
      </c>
      <c r="B384" s="60" t="s">
        <v>411</v>
      </c>
      <c r="C384" s="59" t="s">
        <v>66</v>
      </c>
      <c r="D384" s="59" t="s">
        <v>76</v>
      </c>
      <c r="E384" s="59" t="s">
        <v>242</v>
      </c>
      <c r="F384" s="59" t="s">
        <v>99</v>
      </c>
      <c r="G384" s="58">
        <f>G385</f>
        <v>60</v>
      </c>
    </row>
    <row r="385" spans="1:7" ht="27" customHeight="1">
      <c r="A385" s="28" t="s">
        <v>100</v>
      </c>
      <c r="B385" s="60" t="s">
        <v>411</v>
      </c>
      <c r="C385" s="59" t="s">
        <v>66</v>
      </c>
      <c r="D385" s="59" t="s">
        <v>76</v>
      </c>
      <c r="E385" s="59" t="s">
        <v>242</v>
      </c>
      <c r="F385" s="59" t="s">
        <v>101</v>
      </c>
      <c r="G385" s="58">
        <f>45+15</f>
        <v>60</v>
      </c>
    </row>
    <row r="386" spans="1:7" ht="27" customHeight="1">
      <c r="A386" s="154" t="s">
        <v>21</v>
      </c>
      <c r="B386" s="60" t="s">
        <v>411</v>
      </c>
      <c r="C386" s="59" t="s">
        <v>66</v>
      </c>
      <c r="D386" s="59" t="s">
        <v>76</v>
      </c>
      <c r="E386" s="59" t="s">
        <v>246</v>
      </c>
      <c r="F386" s="59"/>
      <c r="G386" s="58">
        <f>G387</f>
        <v>2061</v>
      </c>
    </row>
    <row r="387" spans="1:7" ht="16.5" customHeight="1">
      <c r="A387" s="28" t="s">
        <v>236</v>
      </c>
      <c r="B387" s="60" t="s">
        <v>411</v>
      </c>
      <c r="C387" s="59" t="s">
        <v>66</v>
      </c>
      <c r="D387" s="59" t="s">
        <v>76</v>
      </c>
      <c r="E387" s="59" t="s">
        <v>247</v>
      </c>
      <c r="F387" s="59"/>
      <c r="G387" s="58">
        <f>G388</f>
        <v>2061</v>
      </c>
    </row>
    <row r="388" spans="1:7" ht="41.25" customHeight="1">
      <c r="A388" s="28" t="s">
        <v>102</v>
      </c>
      <c r="B388" s="60" t="s">
        <v>411</v>
      </c>
      <c r="C388" s="59" t="s">
        <v>66</v>
      </c>
      <c r="D388" s="59" t="s">
        <v>76</v>
      </c>
      <c r="E388" s="59" t="s">
        <v>247</v>
      </c>
      <c r="F388" s="59" t="s">
        <v>103</v>
      </c>
      <c r="G388" s="58">
        <f>G389</f>
        <v>2061</v>
      </c>
    </row>
    <row r="389" spans="1:7" ht="18" customHeight="1">
      <c r="A389" s="28" t="s">
        <v>93</v>
      </c>
      <c r="B389" s="60" t="s">
        <v>411</v>
      </c>
      <c r="C389" s="59" t="s">
        <v>66</v>
      </c>
      <c r="D389" s="59" t="s">
        <v>76</v>
      </c>
      <c r="E389" s="59" t="s">
        <v>247</v>
      </c>
      <c r="F389" s="59" t="s">
        <v>94</v>
      </c>
      <c r="G389" s="58">
        <f>G390+G391</f>
        <v>2061</v>
      </c>
    </row>
    <row r="390" spans="1:7" ht="14.25" customHeight="1">
      <c r="A390" s="28" t="s">
        <v>158</v>
      </c>
      <c r="B390" s="60" t="s">
        <v>411</v>
      </c>
      <c r="C390" s="59" t="s">
        <v>66</v>
      </c>
      <c r="D390" s="59" t="s">
        <v>76</v>
      </c>
      <c r="E390" s="59" t="s">
        <v>247</v>
      </c>
      <c r="F390" s="59" t="s">
        <v>95</v>
      </c>
      <c r="G390" s="58">
        <f>2364.8-650</f>
        <v>1714.8000000000002</v>
      </c>
    </row>
    <row r="391" spans="1:7" ht="24" customHeight="1">
      <c r="A391" s="28" t="s">
        <v>160</v>
      </c>
      <c r="B391" s="60" t="s">
        <v>411</v>
      </c>
      <c r="C391" s="59" t="s">
        <v>66</v>
      </c>
      <c r="D391" s="59" t="s">
        <v>76</v>
      </c>
      <c r="E391" s="59" t="s">
        <v>247</v>
      </c>
      <c r="F391" s="59" t="s">
        <v>159</v>
      </c>
      <c r="G391" s="58">
        <f>616.2-270</f>
        <v>346.20000000000005</v>
      </c>
    </row>
    <row r="392" spans="1:7" ht="25.5">
      <c r="A392" s="152" t="s">
        <v>167</v>
      </c>
      <c r="B392" s="62" t="s">
        <v>412</v>
      </c>
      <c r="C392" s="59"/>
      <c r="D392" s="59"/>
      <c r="E392" s="59"/>
      <c r="F392" s="59"/>
      <c r="G392" s="64">
        <f>G393+G430+G444+G479+G464+G452</f>
        <v>50854</v>
      </c>
    </row>
    <row r="393" spans="1:7" ht="12.75">
      <c r="A393" s="61" t="s">
        <v>2</v>
      </c>
      <c r="B393" s="63" t="s">
        <v>412</v>
      </c>
      <c r="C393" s="63" t="s">
        <v>66</v>
      </c>
      <c r="D393" s="63" t="s">
        <v>36</v>
      </c>
      <c r="E393" s="59"/>
      <c r="F393" s="59"/>
      <c r="G393" s="64">
        <f>G394</f>
        <v>36693</v>
      </c>
    </row>
    <row r="394" spans="1:7" ht="12.75">
      <c r="A394" s="61" t="s">
        <v>63</v>
      </c>
      <c r="B394" s="62" t="s">
        <v>412</v>
      </c>
      <c r="C394" s="63" t="s">
        <v>66</v>
      </c>
      <c r="D394" s="63" t="s">
        <v>87</v>
      </c>
      <c r="E394" s="59"/>
      <c r="F394" s="59"/>
      <c r="G394" s="64">
        <f>G416+G401+G395</f>
        <v>36693</v>
      </c>
    </row>
    <row r="395" spans="1:7" ht="12.75">
      <c r="A395" s="28" t="s">
        <v>360</v>
      </c>
      <c r="B395" s="60" t="s">
        <v>412</v>
      </c>
      <c r="C395" s="59" t="s">
        <v>66</v>
      </c>
      <c r="D395" s="59" t="s">
        <v>87</v>
      </c>
      <c r="E395" s="59" t="s">
        <v>215</v>
      </c>
      <c r="F395" s="59"/>
      <c r="G395" s="58">
        <f>G396</f>
        <v>368</v>
      </c>
    </row>
    <row r="396" spans="1:7" ht="12.75">
      <c r="A396" s="28" t="s">
        <v>361</v>
      </c>
      <c r="B396" s="60" t="s">
        <v>412</v>
      </c>
      <c r="C396" s="59" t="s">
        <v>66</v>
      </c>
      <c r="D396" s="59" t="s">
        <v>87</v>
      </c>
      <c r="E396" s="59" t="s">
        <v>358</v>
      </c>
      <c r="F396" s="59"/>
      <c r="G396" s="58">
        <f>G397</f>
        <v>368</v>
      </c>
    </row>
    <row r="397" spans="1:7" ht="51">
      <c r="A397" s="28" t="s">
        <v>287</v>
      </c>
      <c r="B397" s="60" t="s">
        <v>412</v>
      </c>
      <c r="C397" s="59" t="s">
        <v>66</v>
      </c>
      <c r="D397" s="59" t="s">
        <v>87</v>
      </c>
      <c r="E397" s="59" t="s">
        <v>359</v>
      </c>
      <c r="F397" s="59"/>
      <c r="G397" s="58">
        <f>G398</f>
        <v>368</v>
      </c>
    </row>
    <row r="398" spans="1:7" ht="38.25">
      <c r="A398" s="28" t="s">
        <v>102</v>
      </c>
      <c r="B398" s="60" t="s">
        <v>412</v>
      </c>
      <c r="C398" s="59" t="s">
        <v>66</v>
      </c>
      <c r="D398" s="59" t="s">
        <v>87</v>
      </c>
      <c r="E398" s="59" t="s">
        <v>359</v>
      </c>
      <c r="F398" s="59" t="s">
        <v>103</v>
      </c>
      <c r="G398" s="58">
        <f>G399</f>
        <v>368</v>
      </c>
    </row>
    <row r="399" spans="1:7" ht="12.75">
      <c r="A399" s="28" t="s">
        <v>295</v>
      </c>
      <c r="B399" s="60" t="s">
        <v>412</v>
      </c>
      <c r="C399" s="59" t="s">
        <v>66</v>
      </c>
      <c r="D399" s="59" t="s">
        <v>87</v>
      </c>
      <c r="E399" s="59" t="s">
        <v>359</v>
      </c>
      <c r="F399" s="59" t="s">
        <v>297</v>
      </c>
      <c r="G399" s="58">
        <f>G400</f>
        <v>368</v>
      </c>
    </row>
    <row r="400" spans="1:7" ht="12.75">
      <c r="A400" s="28" t="s">
        <v>434</v>
      </c>
      <c r="B400" s="60" t="s">
        <v>412</v>
      </c>
      <c r="C400" s="59" t="s">
        <v>66</v>
      </c>
      <c r="D400" s="59" t="s">
        <v>87</v>
      </c>
      <c r="E400" s="59" t="s">
        <v>359</v>
      </c>
      <c r="F400" s="59" t="s">
        <v>296</v>
      </c>
      <c r="G400" s="58">
        <f>410-42</f>
        <v>368</v>
      </c>
    </row>
    <row r="401" spans="1:7" ht="18" customHeight="1">
      <c r="A401" s="28" t="s">
        <v>471</v>
      </c>
      <c r="B401" s="60" t="s">
        <v>412</v>
      </c>
      <c r="C401" s="59" t="s">
        <v>66</v>
      </c>
      <c r="D401" s="59" t="s">
        <v>87</v>
      </c>
      <c r="E401" s="161" t="s">
        <v>472</v>
      </c>
      <c r="F401" s="63"/>
      <c r="G401" s="64">
        <f>G402</f>
        <v>34190</v>
      </c>
    </row>
    <row r="402" spans="1:7" ht="38.25">
      <c r="A402" s="28" t="s">
        <v>473</v>
      </c>
      <c r="B402" s="60" t="s">
        <v>412</v>
      </c>
      <c r="C402" s="59" t="s">
        <v>66</v>
      </c>
      <c r="D402" s="59" t="s">
        <v>87</v>
      </c>
      <c r="E402" s="161" t="s">
        <v>474</v>
      </c>
      <c r="F402" s="63"/>
      <c r="G402" s="64">
        <f>G403</f>
        <v>34190</v>
      </c>
    </row>
    <row r="403" spans="1:7" ht="12.75">
      <c r="A403" s="28" t="s">
        <v>249</v>
      </c>
      <c r="B403" s="60" t="s">
        <v>412</v>
      </c>
      <c r="C403" s="59" t="s">
        <v>66</v>
      </c>
      <c r="D403" s="59" t="s">
        <v>87</v>
      </c>
      <c r="E403" s="161" t="s">
        <v>475</v>
      </c>
      <c r="F403" s="63"/>
      <c r="G403" s="64">
        <f>G404+G409+G412</f>
        <v>34190</v>
      </c>
    </row>
    <row r="404" spans="1:7" ht="38.25">
      <c r="A404" s="28" t="s">
        <v>102</v>
      </c>
      <c r="B404" s="60" t="s">
        <v>412</v>
      </c>
      <c r="C404" s="59" t="s">
        <v>66</v>
      </c>
      <c r="D404" s="59" t="s">
        <v>87</v>
      </c>
      <c r="E404" s="161" t="s">
        <v>475</v>
      </c>
      <c r="F404" s="59" t="s">
        <v>103</v>
      </c>
      <c r="G404" s="58">
        <f>G405</f>
        <v>21184</v>
      </c>
    </row>
    <row r="405" spans="1:7" ht="12.75">
      <c r="A405" s="28" t="s">
        <v>295</v>
      </c>
      <c r="B405" s="60" t="s">
        <v>412</v>
      </c>
      <c r="C405" s="59" t="s">
        <v>66</v>
      </c>
      <c r="D405" s="59" t="s">
        <v>87</v>
      </c>
      <c r="E405" s="161" t="s">
        <v>475</v>
      </c>
      <c r="F405" s="59" t="s">
        <v>297</v>
      </c>
      <c r="G405" s="58">
        <f>G406+G407+G408</f>
        <v>21184</v>
      </c>
    </row>
    <row r="406" spans="1:7" ht="12.75">
      <c r="A406" s="28" t="s">
        <v>437</v>
      </c>
      <c r="B406" s="60" t="s">
        <v>412</v>
      </c>
      <c r="C406" s="59" t="s">
        <v>66</v>
      </c>
      <c r="D406" s="59" t="s">
        <v>87</v>
      </c>
      <c r="E406" s="161" t="s">
        <v>475</v>
      </c>
      <c r="F406" s="59" t="s">
        <v>298</v>
      </c>
      <c r="G406" s="58">
        <f>14077+2203</f>
        <v>16280</v>
      </c>
    </row>
    <row r="407" spans="1:7" ht="12.75">
      <c r="A407" s="28" t="s">
        <v>476</v>
      </c>
      <c r="B407" s="60" t="s">
        <v>412</v>
      </c>
      <c r="C407" s="59" t="s">
        <v>66</v>
      </c>
      <c r="D407" s="59" t="s">
        <v>87</v>
      </c>
      <c r="E407" s="161" t="s">
        <v>475</v>
      </c>
      <c r="F407" s="59" t="s">
        <v>296</v>
      </c>
      <c r="G407" s="58">
        <f>120+4</f>
        <v>124</v>
      </c>
    </row>
    <row r="408" spans="1:7" ht="25.5">
      <c r="A408" s="28" t="s">
        <v>477</v>
      </c>
      <c r="B408" s="60" t="s">
        <v>412</v>
      </c>
      <c r="C408" s="59" t="s">
        <v>66</v>
      </c>
      <c r="D408" s="59" t="s">
        <v>87</v>
      </c>
      <c r="E408" s="161" t="s">
        <v>475</v>
      </c>
      <c r="F408" s="59" t="s">
        <v>299</v>
      </c>
      <c r="G408" s="58">
        <f>3800+980</f>
        <v>4780</v>
      </c>
    </row>
    <row r="409" spans="1:7" ht="31.5" customHeight="1">
      <c r="A409" s="28" t="s">
        <v>610</v>
      </c>
      <c r="B409" s="60" t="s">
        <v>412</v>
      </c>
      <c r="C409" s="59" t="s">
        <v>66</v>
      </c>
      <c r="D409" s="59" t="s">
        <v>87</v>
      </c>
      <c r="E409" s="161" t="s">
        <v>475</v>
      </c>
      <c r="F409" s="59" t="s">
        <v>104</v>
      </c>
      <c r="G409" s="58">
        <f>G410</f>
        <v>12902.5</v>
      </c>
    </row>
    <row r="410" spans="1:7" ht="29.25" customHeight="1">
      <c r="A410" s="28" t="s">
        <v>98</v>
      </c>
      <c r="B410" s="60" t="s">
        <v>412</v>
      </c>
      <c r="C410" s="59" t="s">
        <v>66</v>
      </c>
      <c r="D410" s="59" t="s">
        <v>87</v>
      </c>
      <c r="E410" s="161" t="s">
        <v>475</v>
      </c>
      <c r="F410" s="59" t="s">
        <v>99</v>
      </c>
      <c r="G410" s="58">
        <f>G411</f>
        <v>12902.5</v>
      </c>
    </row>
    <row r="411" spans="1:7" ht="27.75" customHeight="1">
      <c r="A411" s="28" t="s">
        <v>100</v>
      </c>
      <c r="B411" s="60" t="s">
        <v>412</v>
      </c>
      <c r="C411" s="59" t="s">
        <v>66</v>
      </c>
      <c r="D411" s="59" t="s">
        <v>87</v>
      </c>
      <c r="E411" s="161" t="s">
        <v>475</v>
      </c>
      <c r="F411" s="59" t="s">
        <v>101</v>
      </c>
      <c r="G411" s="58">
        <f>16096.4-3193.9</f>
        <v>12902.5</v>
      </c>
    </row>
    <row r="412" spans="1:7" ht="12.75">
      <c r="A412" s="28" t="s">
        <v>128</v>
      </c>
      <c r="B412" s="60" t="s">
        <v>412</v>
      </c>
      <c r="C412" s="59" t="s">
        <v>66</v>
      </c>
      <c r="D412" s="59" t="s">
        <v>87</v>
      </c>
      <c r="E412" s="161" t="s">
        <v>475</v>
      </c>
      <c r="F412" s="59" t="s">
        <v>129</v>
      </c>
      <c r="G412" s="58">
        <f>G413</f>
        <v>103.5</v>
      </c>
    </row>
    <row r="413" spans="1:7" ht="12.75">
      <c r="A413" s="28" t="s">
        <v>131</v>
      </c>
      <c r="B413" s="60" t="s">
        <v>412</v>
      </c>
      <c r="C413" s="59" t="s">
        <v>66</v>
      </c>
      <c r="D413" s="59" t="s">
        <v>87</v>
      </c>
      <c r="E413" s="161" t="s">
        <v>475</v>
      </c>
      <c r="F413" s="59" t="s">
        <v>132</v>
      </c>
      <c r="G413" s="58">
        <f>G415+G414</f>
        <v>103.5</v>
      </c>
    </row>
    <row r="414" spans="1:7" ht="12.75">
      <c r="A414" s="28" t="s">
        <v>133</v>
      </c>
      <c r="B414" s="60" t="s">
        <v>412</v>
      </c>
      <c r="C414" s="59" t="s">
        <v>66</v>
      </c>
      <c r="D414" s="59" t="s">
        <v>87</v>
      </c>
      <c r="E414" s="161" t="s">
        <v>475</v>
      </c>
      <c r="F414" s="59" t="s">
        <v>134</v>
      </c>
      <c r="G414" s="58">
        <f>43.7+9.4+6.9</f>
        <v>60</v>
      </c>
    </row>
    <row r="415" spans="1:7" ht="12.75">
      <c r="A415" s="28" t="s">
        <v>161</v>
      </c>
      <c r="B415" s="60" t="s">
        <v>412</v>
      </c>
      <c r="C415" s="59" t="s">
        <v>66</v>
      </c>
      <c r="D415" s="59" t="s">
        <v>87</v>
      </c>
      <c r="E415" s="161" t="s">
        <v>475</v>
      </c>
      <c r="F415" s="59" t="s">
        <v>135</v>
      </c>
      <c r="G415" s="58">
        <v>43.5</v>
      </c>
    </row>
    <row r="416" spans="1:7" ht="25.5">
      <c r="A416" s="154" t="s">
        <v>205</v>
      </c>
      <c r="B416" s="60" t="s">
        <v>412</v>
      </c>
      <c r="C416" s="59" t="s">
        <v>66</v>
      </c>
      <c r="D416" s="59" t="s">
        <v>87</v>
      </c>
      <c r="E416" s="59" t="s">
        <v>223</v>
      </c>
      <c r="F416" s="59"/>
      <c r="G416" s="58">
        <f>G417</f>
        <v>2135</v>
      </c>
    </row>
    <row r="417" spans="1:7" ht="25.5">
      <c r="A417" s="28" t="s">
        <v>416</v>
      </c>
      <c r="B417" s="60" t="s">
        <v>412</v>
      </c>
      <c r="C417" s="59" t="s">
        <v>66</v>
      </c>
      <c r="D417" s="59" t="s">
        <v>87</v>
      </c>
      <c r="E417" s="59" t="s">
        <v>364</v>
      </c>
      <c r="F417" s="59"/>
      <c r="G417" s="58">
        <f>G418+G422</f>
        <v>2135</v>
      </c>
    </row>
    <row r="418" spans="1:7" ht="12.75">
      <c r="A418" s="154" t="s">
        <v>392</v>
      </c>
      <c r="B418" s="60" t="s">
        <v>412</v>
      </c>
      <c r="C418" s="59" t="s">
        <v>66</v>
      </c>
      <c r="D418" s="59" t="s">
        <v>87</v>
      </c>
      <c r="E418" s="59" t="s">
        <v>393</v>
      </c>
      <c r="F418" s="59"/>
      <c r="G418" s="58">
        <f>G419</f>
        <v>1325</v>
      </c>
    </row>
    <row r="419" spans="1:7" ht="25.5">
      <c r="A419" s="28" t="s">
        <v>610</v>
      </c>
      <c r="B419" s="60" t="s">
        <v>412</v>
      </c>
      <c r="C419" s="59" t="s">
        <v>66</v>
      </c>
      <c r="D419" s="59" t="s">
        <v>87</v>
      </c>
      <c r="E419" s="59" t="s">
        <v>393</v>
      </c>
      <c r="F419" s="59" t="s">
        <v>104</v>
      </c>
      <c r="G419" s="58">
        <f>G420</f>
        <v>1325</v>
      </c>
    </row>
    <row r="420" spans="1:7" ht="25.5">
      <c r="A420" s="28" t="s">
        <v>98</v>
      </c>
      <c r="B420" s="60" t="s">
        <v>412</v>
      </c>
      <c r="C420" s="59" t="s">
        <v>66</v>
      </c>
      <c r="D420" s="59" t="s">
        <v>87</v>
      </c>
      <c r="E420" s="59" t="s">
        <v>393</v>
      </c>
      <c r="F420" s="59" t="s">
        <v>99</v>
      </c>
      <c r="G420" s="58">
        <f>G421</f>
        <v>1325</v>
      </c>
    </row>
    <row r="421" spans="1:7" ht="25.5">
      <c r="A421" s="28" t="s">
        <v>100</v>
      </c>
      <c r="B421" s="60" t="s">
        <v>412</v>
      </c>
      <c r="C421" s="59" t="s">
        <v>66</v>
      </c>
      <c r="D421" s="59" t="s">
        <v>87</v>
      </c>
      <c r="E421" s="59" t="s">
        <v>393</v>
      </c>
      <c r="F421" s="59" t="s">
        <v>101</v>
      </c>
      <c r="G421" s="58">
        <f>600+1025-300</f>
        <v>1325</v>
      </c>
    </row>
    <row r="422" spans="1:7" ht="25.5">
      <c r="A422" s="154" t="s">
        <v>603</v>
      </c>
      <c r="B422" s="60" t="s">
        <v>412</v>
      </c>
      <c r="C422" s="59" t="s">
        <v>66</v>
      </c>
      <c r="D422" s="59" t="s">
        <v>87</v>
      </c>
      <c r="E422" s="59" t="s">
        <v>478</v>
      </c>
      <c r="F422" s="59"/>
      <c r="G422" s="58">
        <f>G423+G429+G428</f>
        <v>810</v>
      </c>
    </row>
    <row r="423" spans="1:7" ht="25.5">
      <c r="A423" s="28" t="s">
        <v>610</v>
      </c>
      <c r="B423" s="60" t="s">
        <v>412</v>
      </c>
      <c r="C423" s="59" t="s">
        <v>66</v>
      </c>
      <c r="D423" s="59" t="s">
        <v>87</v>
      </c>
      <c r="E423" s="59" t="s">
        <v>478</v>
      </c>
      <c r="F423" s="59" t="s">
        <v>104</v>
      </c>
      <c r="G423" s="58">
        <f>G424</f>
        <v>800</v>
      </c>
    </row>
    <row r="424" spans="1:7" ht="25.5">
      <c r="A424" s="28" t="s">
        <v>98</v>
      </c>
      <c r="B424" s="60" t="s">
        <v>412</v>
      </c>
      <c r="C424" s="59" t="s">
        <v>66</v>
      </c>
      <c r="D424" s="59" t="s">
        <v>87</v>
      </c>
      <c r="E424" s="59" t="s">
        <v>478</v>
      </c>
      <c r="F424" s="59" t="s">
        <v>99</v>
      </c>
      <c r="G424" s="58">
        <f>G425</f>
        <v>800</v>
      </c>
    </row>
    <row r="425" spans="1:7" ht="25.5">
      <c r="A425" s="28" t="s">
        <v>100</v>
      </c>
      <c r="B425" s="60" t="s">
        <v>412</v>
      </c>
      <c r="C425" s="59" t="s">
        <v>66</v>
      </c>
      <c r="D425" s="59" t="s">
        <v>87</v>
      </c>
      <c r="E425" s="59" t="s">
        <v>478</v>
      </c>
      <c r="F425" s="59" t="s">
        <v>101</v>
      </c>
      <c r="G425" s="58">
        <v>800</v>
      </c>
    </row>
    <row r="426" spans="1:7" ht="12.75">
      <c r="A426" s="28" t="s">
        <v>128</v>
      </c>
      <c r="B426" s="60" t="s">
        <v>412</v>
      </c>
      <c r="C426" s="59" t="s">
        <v>66</v>
      </c>
      <c r="D426" s="59" t="s">
        <v>87</v>
      </c>
      <c r="E426" s="59" t="s">
        <v>478</v>
      </c>
      <c r="F426" s="59" t="s">
        <v>129</v>
      </c>
      <c r="G426" s="58">
        <f>G427</f>
        <v>10</v>
      </c>
    </row>
    <row r="427" spans="1:7" ht="12.75">
      <c r="A427" s="28" t="s">
        <v>131</v>
      </c>
      <c r="B427" s="60" t="s">
        <v>412</v>
      </c>
      <c r="C427" s="59" t="s">
        <v>66</v>
      </c>
      <c r="D427" s="59" t="s">
        <v>87</v>
      </c>
      <c r="E427" s="59" t="s">
        <v>478</v>
      </c>
      <c r="F427" s="59" t="s">
        <v>132</v>
      </c>
      <c r="G427" s="58">
        <f>G428+G429</f>
        <v>10</v>
      </c>
    </row>
    <row r="428" spans="1:7" ht="12.75">
      <c r="A428" s="16" t="s">
        <v>161</v>
      </c>
      <c r="B428" s="60" t="s">
        <v>412</v>
      </c>
      <c r="C428" s="59" t="s">
        <v>66</v>
      </c>
      <c r="D428" s="59" t="s">
        <v>87</v>
      </c>
      <c r="E428" s="59" t="s">
        <v>478</v>
      </c>
      <c r="F428" s="59" t="s">
        <v>135</v>
      </c>
      <c r="G428" s="58">
        <v>2.9</v>
      </c>
    </row>
    <row r="429" spans="1:7" ht="12.75">
      <c r="A429" s="28" t="s">
        <v>162</v>
      </c>
      <c r="B429" s="60" t="s">
        <v>412</v>
      </c>
      <c r="C429" s="59" t="s">
        <v>66</v>
      </c>
      <c r="D429" s="59" t="s">
        <v>87</v>
      </c>
      <c r="E429" s="59" t="s">
        <v>478</v>
      </c>
      <c r="F429" s="59" t="s">
        <v>163</v>
      </c>
      <c r="G429" s="58">
        <f>10-2.9</f>
        <v>7.1</v>
      </c>
    </row>
    <row r="430" spans="1:7" ht="12.75">
      <c r="A430" s="61" t="s">
        <v>5</v>
      </c>
      <c r="B430" s="62" t="s">
        <v>412</v>
      </c>
      <c r="C430" s="63" t="s">
        <v>68</v>
      </c>
      <c r="D430" s="63" t="s">
        <v>36</v>
      </c>
      <c r="E430" s="63"/>
      <c r="F430" s="63"/>
      <c r="G430" s="64">
        <f>G431+G437</f>
        <v>7000</v>
      </c>
    </row>
    <row r="431" spans="1:7" ht="12.75">
      <c r="A431" s="61" t="s">
        <v>6</v>
      </c>
      <c r="B431" s="62" t="s">
        <v>412</v>
      </c>
      <c r="C431" s="63" t="s">
        <v>68</v>
      </c>
      <c r="D431" s="63" t="s">
        <v>73</v>
      </c>
      <c r="E431" s="63"/>
      <c r="F431" s="63"/>
      <c r="G431" s="64">
        <f>G432</f>
        <v>6600</v>
      </c>
    </row>
    <row r="432" spans="1:7" ht="12.75">
      <c r="A432" s="28" t="s">
        <v>37</v>
      </c>
      <c r="B432" s="60" t="s">
        <v>412</v>
      </c>
      <c r="C432" s="59" t="s">
        <v>68</v>
      </c>
      <c r="D432" s="59" t="s">
        <v>73</v>
      </c>
      <c r="E432" s="59" t="s">
        <v>233</v>
      </c>
      <c r="F432" s="59"/>
      <c r="G432" s="58">
        <f>G433</f>
        <v>6600</v>
      </c>
    </row>
    <row r="433" spans="1:7" ht="12.75">
      <c r="A433" s="28" t="s">
        <v>712</v>
      </c>
      <c r="B433" s="60" t="s">
        <v>412</v>
      </c>
      <c r="C433" s="59" t="s">
        <v>68</v>
      </c>
      <c r="D433" s="59" t="s">
        <v>73</v>
      </c>
      <c r="E433" s="59" t="s">
        <v>713</v>
      </c>
      <c r="F433" s="59"/>
      <c r="G433" s="58">
        <f>G434</f>
        <v>6600</v>
      </c>
    </row>
    <row r="434" spans="1:7" ht="12.75">
      <c r="A434" s="28" t="s">
        <v>128</v>
      </c>
      <c r="B434" s="60" t="s">
        <v>412</v>
      </c>
      <c r="C434" s="59" t="s">
        <v>68</v>
      </c>
      <c r="D434" s="59" t="s">
        <v>73</v>
      </c>
      <c r="E434" s="59" t="s">
        <v>713</v>
      </c>
      <c r="F434" s="59" t="s">
        <v>129</v>
      </c>
      <c r="G434" s="58">
        <f>G435</f>
        <v>6600</v>
      </c>
    </row>
    <row r="435" spans="1:7" ht="25.5">
      <c r="A435" s="28" t="s">
        <v>164</v>
      </c>
      <c r="B435" s="60" t="s">
        <v>412</v>
      </c>
      <c r="C435" s="59" t="s">
        <v>68</v>
      </c>
      <c r="D435" s="59" t="s">
        <v>73</v>
      </c>
      <c r="E435" s="59" t="s">
        <v>713</v>
      </c>
      <c r="F435" s="59" t="s">
        <v>130</v>
      </c>
      <c r="G435" s="58">
        <f>G436</f>
        <v>6600</v>
      </c>
    </row>
    <row r="436" spans="1:7" ht="30" customHeight="1">
      <c r="A436" s="28" t="s">
        <v>609</v>
      </c>
      <c r="B436" s="60" t="s">
        <v>412</v>
      </c>
      <c r="C436" s="59" t="s">
        <v>68</v>
      </c>
      <c r="D436" s="59" t="s">
        <v>73</v>
      </c>
      <c r="E436" s="59" t="s">
        <v>713</v>
      </c>
      <c r="F436" s="59" t="s">
        <v>608</v>
      </c>
      <c r="G436" s="58">
        <f>2450+838+1000+1512+800</f>
        <v>6600</v>
      </c>
    </row>
    <row r="437" spans="1:7" ht="12.75">
      <c r="A437" s="61" t="s">
        <v>7</v>
      </c>
      <c r="B437" s="62" t="s">
        <v>412</v>
      </c>
      <c r="C437" s="63" t="s">
        <v>68</v>
      </c>
      <c r="D437" s="63" t="s">
        <v>78</v>
      </c>
      <c r="E437" s="63"/>
      <c r="F437" s="63"/>
      <c r="G437" s="64">
        <f aca="true" t="shared" si="3" ref="G437:G442">G438</f>
        <v>400</v>
      </c>
    </row>
    <row r="438" spans="1:7" ht="25.5">
      <c r="A438" s="126" t="s">
        <v>479</v>
      </c>
      <c r="B438" s="60" t="s">
        <v>412</v>
      </c>
      <c r="C438" s="59" t="s">
        <v>68</v>
      </c>
      <c r="D438" s="59" t="s">
        <v>78</v>
      </c>
      <c r="E438" s="161" t="s">
        <v>480</v>
      </c>
      <c r="F438" s="59"/>
      <c r="G438" s="58">
        <f t="shared" si="3"/>
        <v>400</v>
      </c>
    </row>
    <row r="439" spans="1:7" ht="25.5">
      <c r="A439" s="126" t="s">
        <v>279</v>
      </c>
      <c r="B439" s="60" t="s">
        <v>412</v>
      </c>
      <c r="C439" s="59" t="s">
        <v>68</v>
      </c>
      <c r="D439" s="59" t="s">
        <v>78</v>
      </c>
      <c r="E439" s="161" t="s">
        <v>481</v>
      </c>
      <c r="F439" s="59"/>
      <c r="G439" s="58">
        <f t="shared" si="3"/>
        <v>400</v>
      </c>
    </row>
    <row r="440" spans="1:7" ht="12.75">
      <c r="A440" s="126" t="s">
        <v>172</v>
      </c>
      <c r="B440" s="60" t="s">
        <v>412</v>
      </c>
      <c r="C440" s="59" t="s">
        <v>68</v>
      </c>
      <c r="D440" s="59" t="s">
        <v>78</v>
      </c>
      <c r="E440" s="161" t="s">
        <v>482</v>
      </c>
      <c r="F440" s="59"/>
      <c r="G440" s="58">
        <f t="shared" si="3"/>
        <v>400</v>
      </c>
    </row>
    <row r="441" spans="1:7" ht="12.75">
      <c r="A441" s="28" t="s">
        <v>128</v>
      </c>
      <c r="B441" s="60" t="s">
        <v>412</v>
      </c>
      <c r="C441" s="59" t="s">
        <v>68</v>
      </c>
      <c r="D441" s="59" t="s">
        <v>78</v>
      </c>
      <c r="E441" s="161" t="s">
        <v>482</v>
      </c>
      <c r="F441" s="59" t="s">
        <v>129</v>
      </c>
      <c r="G441" s="58">
        <f t="shared" si="3"/>
        <v>400</v>
      </c>
    </row>
    <row r="442" spans="1:7" s="30" customFormat="1" ht="25.5" customHeight="1">
      <c r="A442" s="28" t="s">
        <v>164</v>
      </c>
      <c r="B442" s="60" t="s">
        <v>412</v>
      </c>
      <c r="C442" s="59" t="s">
        <v>68</v>
      </c>
      <c r="D442" s="59" t="s">
        <v>78</v>
      </c>
      <c r="E442" s="161" t="s">
        <v>482</v>
      </c>
      <c r="F442" s="59" t="s">
        <v>130</v>
      </c>
      <c r="G442" s="58">
        <f t="shared" si="3"/>
        <v>400</v>
      </c>
    </row>
    <row r="443" spans="1:7" s="30" customFormat="1" ht="38.25" customHeight="1">
      <c r="A443" s="28" t="s">
        <v>609</v>
      </c>
      <c r="B443" s="60" t="s">
        <v>412</v>
      </c>
      <c r="C443" s="59" t="s">
        <v>68</v>
      </c>
      <c r="D443" s="59" t="s">
        <v>78</v>
      </c>
      <c r="E443" s="161" t="s">
        <v>482</v>
      </c>
      <c r="F443" s="59" t="s">
        <v>608</v>
      </c>
      <c r="G443" s="58">
        <f>'МП пр.5'!G16</f>
        <v>400</v>
      </c>
    </row>
    <row r="444" spans="1:7" ht="12.75">
      <c r="A444" s="152" t="s">
        <v>151</v>
      </c>
      <c r="B444" s="62" t="s">
        <v>412</v>
      </c>
      <c r="C444" s="62" t="s">
        <v>72</v>
      </c>
      <c r="D444" s="62" t="s">
        <v>36</v>
      </c>
      <c r="E444" s="59"/>
      <c r="F444" s="59"/>
      <c r="G444" s="64">
        <f>G445</f>
        <v>530</v>
      </c>
    </row>
    <row r="445" spans="1:7" ht="12.75">
      <c r="A445" s="154" t="s">
        <v>150</v>
      </c>
      <c r="B445" s="60" t="s">
        <v>412</v>
      </c>
      <c r="C445" s="60" t="s">
        <v>72</v>
      </c>
      <c r="D445" s="60" t="s">
        <v>66</v>
      </c>
      <c r="E445" s="59"/>
      <c r="F445" s="59"/>
      <c r="G445" s="58">
        <f>G447</f>
        <v>530</v>
      </c>
    </row>
    <row r="446" spans="1:7" ht="12.75">
      <c r="A446" s="154" t="s">
        <v>206</v>
      </c>
      <c r="B446" s="60" t="s">
        <v>412</v>
      </c>
      <c r="C446" s="60" t="s">
        <v>72</v>
      </c>
      <c r="D446" s="60" t="s">
        <v>66</v>
      </c>
      <c r="E446" s="59" t="s">
        <v>217</v>
      </c>
      <c r="F446" s="59"/>
      <c r="G446" s="58">
        <f>G447</f>
        <v>530</v>
      </c>
    </row>
    <row r="447" spans="1:7" ht="12.75">
      <c r="A447" s="28" t="s">
        <v>282</v>
      </c>
      <c r="B447" s="60" t="s">
        <v>412</v>
      </c>
      <c r="C447" s="60" t="s">
        <v>72</v>
      </c>
      <c r="D447" s="60" t="s">
        <v>66</v>
      </c>
      <c r="E447" s="59" t="s">
        <v>365</v>
      </c>
      <c r="F447" s="59"/>
      <c r="G447" s="58">
        <f>G448</f>
        <v>530</v>
      </c>
    </row>
    <row r="448" spans="1:7" ht="12.75">
      <c r="A448" s="28" t="s">
        <v>283</v>
      </c>
      <c r="B448" s="60" t="s">
        <v>412</v>
      </c>
      <c r="C448" s="60" t="s">
        <v>72</v>
      </c>
      <c r="D448" s="60" t="s">
        <v>66</v>
      </c>
      <c r="E448" s="59" t="s">
        <v>366</v>
      </c>
      <c r="F448" s="59"/>
      <c r="G448" s="58">
        <f>G449</f>
        <v>530</v>
      </c>
    </row>
    <row r="449" spans="1:7" ht="25.5">
      <c r="A449" s="28" t="s">
        <v>610</v>
      </c>
      <c r="B449" s="60" t="s">
        <v>412</v>
      </c>
      <c r="C449" s="60" t="s">
        <v>72</v>
      </c>
      <c r="D449" s="60" t="s">
        <v>66</v>
      </c>
      <c r="E449" s="59" t="s">
        <v>366</v>
      </c>
      <c r="F449" s="59" t="s">
        <v>104</v>
      </c>
      <c r="G449" s="58">
        <f>G450</f>
        <v>530</v>
      </c>
    </row>
    <row r="450" spans="1:7" ht="25.5">
      <c r="A450" s="28" t="s">
        <v>98</v>
      </c>
      <c r="B450" s="60" t="s">
        <v>412</v>
      </c>
      <c r="C450" s="60" t="s">
        <v>72</v>
      </c>
      <c r="D450" s="60" t="s">
        <v>66</v>
      </c>
      <c r="E450" s="59" t="s">
        <v>366</v>
      </c>
      <c r="F450" s="59" t="s">
        <v>99</v>
      </c>
      <c r="G450" s="58">
        <f>G451</f>
        <v>530</v>
      </c>
    </row>
    <row r="451" spans="1:7" ht="25.5">
      <c r="A451" s="28" t="s">
        <v>100</v>
      </c>
      <c r="B451" s="60" t="s">
        <v>412</v>
      </c>
      <c r="C451" s="60" t="s">
        <v>72</v>
      </c>
      <c r="D451" s="60" t="s">
        <v>66</v>
      </c>
      <c r="E451" s="59" t="s">
        <v>366</v>
      </c>
      <c r="F451" s="59" t="s">
        <v>101</v>
      </c>
      <c r="G451" s="58">
        <f>600-70</f>
        <v>530</v>
      </c>
    </row>
    <row r="452" spans="1:7" ht="12.75">
      <c r="A452" s="61" t="s">
        <v>604</v>
      </c>
      <c r="B452" s="62" t="s">
        <v>412</v>
      </c>
      <c r="C452" s="62" t="s">
        <v>76</v>
      </c>
      <c r="D452" s="62" t="s">
        <v>36</v>
      </c>
      <c r="E452" s="76"/>
      <c r="F452" s="63"/>
      <c r="G452" s="144">
        <f>G453</f>
        <v>550</v>
      </c>
    </row>
    <row r="453" spans="1:7" ht="12.75">
      <c r="A453" s="61" t="s">
        <v>483</v>
      </c>
      <c r="B453" s="62" t="s">
        <v>412</v>
      </c>
      <c r="C453" s="62" t="s">
        <v>76</v>
      </c>
      <c r="D453" s="62" t="s">
        <v>72</v>
      </c>
      <c r="E453" s="76"/>
      <c r="F453" s="63"/>
      <c r="G453" s="144">
        <f>G454</f>
        <v>550</v>
      </c>
    </row>
    <row r="454" spans="1:7" ht="38.25">
      <c r="A454" s="28" t="s">
        <v>484</v>
      </c>
      <c r="B454" s="60" t="s">
        <v>412</v>
      </c>
      <c r="C454" s="60" t="s">
        <v>76</v>
      </c>
      <c r="D454" s="60" t="s">
        <v>72</v>
      </c>
      <c r="E454" s="161" t="s">
        <v>485</v>
      </c>
      <c r="F454" s="59"/>
      <c r="G454" s="145">
        <f>G455</f>
        <v>550</v>
      </c>
    </row>
    <row r="455" spans="1:7" ht="27" customHeight="1">
      <c r="A455" s="28" t="s">
        <v>489</v>
      </c>
      <c r="B455" s="60" t="s">
        <v>412</v>
      </c>
      <c r="C455" s="60" t="s">
        <v>76</v>
      </c>
      <c r="D455" s="60" t="s">
        <v>72</v>
      </c>
      <c r="E455" s="161" t="s">
        <v>490</v>
      </c>
      <c r="F455" s="59"/>
      <c r="G455" s="145">
        <f>G456+G460</f>
        <v>550</v>
      </c>
    </row>
    <row r="456" spans="1:7" s="30" customFormat="1" ht="24.75" customHeight="1">
      <c r="A456" s="28" t="str">
        <f>'МП пр.5'!A918</f>
        <v>Приобретение оборудования для термического уничтожения различного типа (вида) отходов (утилизации отходов) для Сусуманского городского округа </v>
      </c>
      <c r="B456" s="60" t="s">
        <v>412</v>
      </c>
      <c r="C456" s="60" t="s">
        <v>76</v>
      </c>
      <c r="D456" s="60" t="s">
        <v>72</v>
      </c>
      <c r="E456" s="161" t="s">
        <v>623</v>
      </c>
      <c r="F456" s="59"/>
      <c r="G456" s="145">
        <f>G457</f>
        <v>495</v>
      </c>
    </row>
    <row r="457" spans="1:7" ht="25.5">
      <c r="A457" s="28" t="s">
        <v>610</v>
      </c>
      <c r="B457" s="60" t="s">
        <v>412</v>
      </c>
      <c r="C457" s="60" t="s">
        <v>76</v>
      </c>
      <c r="D457" s="60" t="s">
        <v>72</v>
      </c>
      <c r="E457" s="161" t="s">
        <v>623</v>
      </c>
      <c r="F457" s="59" t="s">
        <v>104</v>
      </c>
      <c r="G457" s="145">
        <f>G458</f>
        <v>495</v>
      </c>
    </row>
    <row r="458" spans="1:7" ht="25.5">
      <c r="A458" s="28" t="s">
        <v>98</v>
      </c>
      <c r="B458" s="60" t="s">
        <v>412</v>
      </c>
      <c r="C458" s="60" t="s">
        <v>76</v>
      </c>
      <c r="D458" s="60" t="s">
        <v>72</v>
      </c>
      <c r="E458" s="161" t="s">
        <v>623</v>
      </c>
      <c r="F458" s="59" t="s">
        <v>99</v>
      </c>
      <c r="G458" s="145">
        <f>G459</f>
        <v>495</v>
      </c>
    </row>
    <row r="459" spans="1:7" ht="25.5">
      <c r="A459" s="28" t="s">
        <v>100</v>
      </c>
      <c r="B459" s="60" t="s">
        <v>412</v>
      </c>
      <c r="C459" s="60" t="s">
        <v>76</v>
      </c>
      <c r="D459" s="60" t="s">
        <v>72</v>
      </c>
      <c r="E459" s="161" t="s">
        <v>623</v>
      </c>
      <c r="F459" s="59" t="s">
        <v>101</v>
      </c>
      <c r="G459" s="145">
        <f>'МП пр.5'!G925</f>
        <v>495</v>
      </c>
    </row>
    <row r="460" spans="1:7" s="30" customFormat="1" ht="38.25">
      <c r="A460" s="28" t="str">
        <f>'МП пр.5'!A926</f>
        <v>Приобретение оборудования для термического уничтожения различного типа (вида) отходов (утилизации отходов) для Сусуманского городского округа за счет средств местного бюджета</v>
      </c>
      <c r="B460" s="60" t="s">
        <v>412</v>
      </c>
      <c r="C460" s="60" t="s">
        <v>76</v>
      </c>
      <c r="D460" s="60" t="s">
        <v>72</v>
      </c>
      <c r="E460" s="161" t="s">
        <v>624</v>
      </c>
      <c r="F460" s="59"/>
      <c r="G460" s="145">
        <f>G461</f>
        <v>55</v>
      </c>
    </row>
    <row r="461" spans="1:7" ht="25.5">
      <c r="A461" s="28" t="s">
        <v>610</v>
      </c>
      <c r="B461" s="60" t="s">
        <v>412</v>
      </c>
      <c r="C461" s="60" t="s">
        <v>76</v>
      </c>
      <c r="D461" s="60" t="s">
        <v>72</v>
      </c>
      <c r="E461" s="161" t="s">
        <v>624</v>
      </c>
      <c r="F461" s="59" t="s">
        <v>104</v>
      </c>
      <c r="G461" s="145">
        <f>G462</f>
        <v>55</v>
      </c>
    </row>
    <row r="462" spans="1:7" ht="25.5">
      <c r="A462" s="28" t="s">
        <v>98</v>
      </c>
      <c r="B462" s="60" t="s">
        <v>412</v>
      </c>
      <c r="C462" s="60" t="s">
        <v>76</v>
      </c>
      <c r="D462" s="60" t="s">
        <v>72</v>
      </c>
      <c r="E462" s="161" t="s">
        <v>624</v>
      </c>
      <c r="F462" s="59" t="s">
        <v>99</v>
      </c>
      <c r="G462" s="145">
        <f>G463</f>
        <v>55</v>
      </c>
    </row>
    <row r="463" spans="1:7" ht="25.5">
      <c r="A463" s="28" t="s">
        <v>100</v>
      </c>
      <c r="B463" s="60" t="s">
        <v>412</v>
      </c>
      <c r="C463" s="60" t="s">
        <v>76</v>
      </c>
      <c r="D463" s="60" t="s">
        <v>72</v>
      </c>
      <c r="E463" s="161" t="s">
        <v>624</v>
      </c>
      <c r="F463" s="59" t="s">
        <v>101</v>
      </c>
      <c r="G463" s="145">
        <f>'МП пр.5'!G932</f>
        <v>55</v>
      </c>
    </row>
    <row r="464" spans="1:7" ht="17.25" customHeight="1">
      <c r="A464" s="152" t="s">
        <v>62</v>
      </c>
      <c r="B464" s="63" t="s">
        <v>412</v>
      </c>
      <c r="C464" s="63" t="s">
        <v>71</v>
      </c>
      <c r="D464" s="63" t="s">
        <v>36</v>
      </c>
      <c r="E464" s="63"/>
      <c r="F464" s="63"/>
      <c r="G464" s="64">
        <f>G466+G472</f>
        <v>464.00000000000006</v>
      </c>
    </row>
    <row r="465" spans="1:7" ht="12.75">
      <c r="A465" s="61" t="s">
        <v>491</v>
      </c>
      <c r="B465" s="63" t="s">
        <v>412</v>
      </c>
      <c r="C465" s="63" t="s">
        <v>71</v>
      </c>
      <c r="D465" s="63" t="s">
        <v>68</v>
      </c>
      <c r="E465" s="63"/>
      <c r="F465" s="63"/>
      <c r="G465" s="64">
        <f aca="true" t="shared" si="4" ref="G465:G470">G466</f>
        <v>454.00000000000006</v>
      </c>
    </row>
    <row r="466" spans="1:7" ht="25.5">
      <c r="A466" s="28" t="s">
        <v>449</v>
      </c>
      <c r="B466" s="59" t="s">
        <v>412</v>
      </c>
      <c r="C466" s="59" t="s">
        <v>71</v>
      </c>
      <c r="D466" s="59" t="s">
        <v>68</v>
      </c>
      <c r="E466" s="149" t="s">
        <v>450</v>
      </c>
      <c r="F466" s="59"/>
      <c r="G466" s="58">
        <f t="shared" si="4"/>
        <v>454.00000000000006</v>
      </c>
    </row>
    <row r="467" spans="1:7" ht="45">
      <c r="A467" s="157" t="s">
        <v>492</v>
      </c>
      <c r="B467" s="59" t="s">
        <v>412</v>
      </c>
      <c r="C467" s="59" t="s">
        <v>71</v>
      </c>
      <c r="D467" s="59" t="s">
        <v>68</v>
      </c>
      <c r="E467" s="149" t="str">
        <f>'МП пр.5'!B95</f>
        <v>7G 0 05 00000</v>
      </c>
      <c r="F467" s="59"/>
      <c r="G467" s="58">
        <f>G468</f>
        <v>454.00000000000006</v>
      </c>
    </row>
    <row r="468" spans="1:7" ht="38.25">
      <c r="A468" s="28" t="s">
        <v>494</v>
      </c>
      <c r="B468" s="59" t="s">
        <v>412</v>
      </c>
      <c r="C468" s="59" t="s">
        <v>71</v>
      </c>
      <c r="D468" s="59" t="s">
        <v>68</v>
      </c>
      <c r="E468" s="149" t="str">
        <f>'МП пр.5'!B96</f>
        <v>7G 0 05 R0820</v>
      </c>
      <c r="F468" s="59"/>
      <c r="G468" s="58">
        <f t="shared" si="4"/>
        <v>454.00000000000006</v>
      </c>
    </row>
    <row r="469" spans="1:7" ht="12.75">
      <c r="A469" s="28" t="s">
        <v>495</v>
      </c>
      <c r="B469" s="59" t="s">
        <v>412</v>
      </c>
      <c r="C469" s="59" t="s">
        <v>71</v>
      </c>
      <c r="D469" s="59" t="s">
        <v>68</v>
      </c>
      <c r="E469" s="149" t="str">
        <f>'МП пр.5'!B97</f>
        <v>7G 0 05 R0820</v>
      </c>
      <c r="F469" s="59" t="s">
        <v>496</v>
      </c>
      <c r="G469" s="58">
        <f t="shared" si="4"/>
        <v>454.00000000000006</v>
      </c>
    </row>
    <row r="470" spans="1:7" ht="12.75">
      <c r="A470" s="28" t="s">
        <v>497</v>
      </c>
      <c r="B470" s="59" t="s">
        <v>412</v>
      </c>
      <c r="C470" s="59" t="s">
        <v>71</v>
      </c>
      <c r="D470" s="59" t="s">
        <v>68</v>
      </c>
      <c r="E470" s="149" t="str">
        <f>'МП пр.5'!B98</f>
        <v>7G 0 05 R0820</v>
      </c>
      <c r="F470" s="59" t="s">
        <v>498</v>
      </c>
      <c r="G470" s="58">
        <f t="shared" si="4"/>
        <v>454.00000000000006</v>
      </c>
    </row>
    <row r="471" spans="1:7" ht="25.5">
      <c r="A471" s="28" t="s">
        <v>499</v>
      </c>
      <c r="B471" s="59" t="s">
        <v>412</v>
      </c>
      <c r="C471" s="59" t="s">
        <v>71</v>
      </c>
      <c r="D471" s="59" t="s">
        <v>68</v>
      </c>
      <c r="E471" s="149" t="str">
        <f>'МП пр.5'!B99</f>
        <v>7G 0 05 R0820</v>
      </c>
      <c r="F471" s="59" t="s">
        <v>500</v>
      </c>
      <c r="G471" s="58">
        <f>'МП пр.5'!G102</f>
        <v>454.00000000000006</v>
      </c>
    </row>
    <row r="472" spans="1:7" ht="18.75" customHeight="1">
      <c r="A472" s="61" t="s">
        <v>152</v>
      </c>
      <c r="B472" s="63" t="s">
        <v>412</v>
      </c>
      <c r="C472" s="63" t="s">
        <v>71</v>
      </c>
      <c r="D472" s="63" t="s">
        <v>76</v>
      </c>
      <c r="E472" s="149"/>
      <c r="F472" s="59"/>
      <c r="G472" s="64">
        <f>G476</f>
        <v>10</v>
      </c>
    </row>
    <row r="473" spans="1:7" s="30" customFormat="1" ht="30" customHeight="1">
      <c r="A473" s="27" t="str">
        <f>'МП пр.5'!A17</f>
        <v>Муниципальная  программа "Социальная защита населения Сусуманского городского округа  на 2017 год"</v>
      </c>
      <c r="B473" s="19" t="s">
        <v>412</v>
      </c>
      <c r="C473" s="169" t="s">
        <v>71</v>
      </c>
      <c r="D473" s="169" t="s">
        <v>76</v>
      </c>
      <c r="E473" s="19" t="str">
        <f>'МП пр.5'!B17</f>
        <v>7G 0 00 00000</v>
      </c>
      <c r="F473" s="170"/>
      <c r="G473" s="171">
        <f>G474</f>
        <v>10</v>
      </c>
    </row>
    <row r="474" spans="1:7" s="30" customFormat="1" ht="25.5">
      <c r="A474" s="28" t="str">
        <f>'МП пр.5'!A51</f>
        <v>Основное мероприятие "Формирование доступной среды в Сусуманском городском округе"</v>
      </c>
      <c r="B474" s="59" t="s">
        <v>412</v>
      </c>
      <c r="C474" s="60" t="s">
        <v>71</v>
      </c>
      <c r="D474" s="60" t="s">
        <v>76</v>
      </c>
      <c r="E474" s="59" t="str">
        <f>'МП пр.5'!B51</f>
        <v>7G 0 03 00000</v>
      </c>
      <c r="F474" s="165"/>
      <c r="G474" s="58">
        <f>G475</f>
        <v>10</v>
      </c>
    </row>
    <row r="475" spans="1:7" s="30" customFormat="1" ht="27" customHeight="1">
      <c r="A475" s="28" t="str">
        <f>'МП пр.5'!A52</f>
        <v>Софинансирование мероприятий, направленных на адаптацию социально-значимых объектов для инвалидов и маломобильных групп населения </v>
      </c>
      <c r="B475" s="59" t="s">
        <v>412</v>
      </c>
      <c r="C475" s="60" t="s">
        <v>71</v>
      </c>
      <c r="D475" s="60" t="s">
        <v>76</v>
      </c>
      <c r="E475" s="59" t="str">
        <f>'МП пр.5'!B52</f>
        <v>7G 0 03 S3330</v>
      </c>
      <c r="F475" s="165"/>
      <c r="G475" s="58">
        <f>G476</f>
        <v>10</v>
      </c>
    </row>
    <row r="476" spans="1:7" ht="30">
      <c r="A476" s="158" t="s">
        <v>610</v>
      </c>
      <c r="B476" s="59" t="s">
        <v>412</v>
      </c>
      <c r="C476" s="60" t="s">
        <v>71</v>
      </c>
      <c r="D476" s="60" t="s">
        <v>76</v>
      </c>
      <c r="E476" s="59" t="s">
        <v>464</v>
      </c>
      <c r="F476" s="59" t="s">
        <v>104</v>
      </c>
      <c r="G476" s="58">
        <f>G477</f>
        <v>10</v>
      </c>
    </row>
    <row r="477" spans="1:7" ht="30">
      <c r="A477" s="158" t="s">
        <v>98</v>
      </c>
      <c r="B477" s="59" t="s">
        <v>412</v>
      </c>
      <c r="C477" s="60" t="s">
        <v>71</v>
      </c>
      <c r="D477" s="60" t="s">
        <v>76</v>
      </c>
      <c r="E477" s="59" t="s">
        <v>464</v>
      </c>
      <c r="F477" s="59" t="s">
        <v>99</v>
      </c>
      <c r="G477" s="58">
        <f>G478</f>
        <v>10</v>
      </c>
    </row>
    <row r="478" spans="1:7" ht="30">
      <c r="A478" s="158" t="s">
        <v>100</v>
      </c>
      <c r="B478" s="59" t="s">
        <v>412</v>
      </c>
      <c r="C478" s="60" t="s">
        <v>71</v>
      </c>
      <c r="D478" s="60" t="s">
        <v>76</v>
      </c>
      <c r="E478" s="59" t="s">
        <v>464</v>
      </c>
      <c r="F478" s="59" t="s">
        <v>101</v>
      </c>
      <c r="G478" s="58">
        <f>'МП пр.5'!G81</f>
        <v>10</v>
      </c>
    </row>
    <row r="479" spans="1:7" ht="24" customHeight="1">
      <c r="A479" s="61" t="s">
        <v>85</v>
      </c>
      <c r="B479" s="62" t="s">
        <v>412</v>
      </c>
      <c r="C479" s="63" t="s">
        <v>78</v>
      </c>
      <c r="D479" s="63" t="s">
        <v>36</v>
      </c>
      <c r="E479" s="59"/>
      <c r="F479" s="59"/>
      <c r="G479" s="64">
        <f>G480</f>
        <v>5617</v>
      </c>
    </row>
    <row r="480" spans="1:7" ht="12.75">
      <c r="A480" s="61" t="s">
        <v>13</v>
      </c>
      <c r="B480" s="62" t="s">
        <v>412</v>
      </c>
      <c r="C480" s="63" t="s">
        <v>78</v>
      </c>
      <c r="D480" s="63" t="s">
        <v>67</v>
      </c>
      <c r="E480" s="63"/>
      <c r="F480" s="59"/>
      <c r="G480" s="64">
        <f aca="true" t="shared" si="5" ref="G480:G485">G481</f>
        <v>5617</v>
      </c>
    </row>
    <row r="481" spans="1:7" ht="12.75">
      <c r="A481" s="28" t="s">
        <v>207</v>
      </c>
      <c r="B481" s="60" t="s">
        <v>412</v>
      </c>
      <c r="C481" s="59" t="s">
        <v>78</v>
      </c>
      <c r="D481" s="59" t="s">
        <v>67</v>
      </c>
      <c r="E481" s="59" t="s">
        <v>224</v>
      </c>
      <c r="F481" s="59"/>
      <c r="G481" s="58">
        <f t="shared" si="5"/>
        <v>5617</v>
      </c>
    </row>
    <row r="482" spans="1:7" ht="30" customHeight="1">
      <c r="A482" s="28" t="s">
        <v>250</v>
      </c>
      <c r="B482" s="60" t="s">
        <v>412</v>
      </c>
      <c r="C482" s="59" t="s">
        <v>78</v>
      </c>
      <c r="D482" s="59" t="s">
        <v>67</v>
      </c>
      <c r="E482" s="59" t="s">
        <v>367</v>
      </c>
      <c r="F482" s="59"/>
      <c r="G482" s="58">
        <f t="shared" si="5"/>
        <v>5617</v>
      </c>
    </row>
    <row r="483" spans="1:7" ht="12.75">
      <c r="A483" s="28" t="s">
        <v>249</v>
      </c>
      <c r="B483" s="60" t="s">
        <v>412</v>
      </c>
      <c r="C483" s="59" t="s">
        <v>78</v>
      </c>
      <c r="D483" s="59" t="s">
        <v>67</v>
      </c>
      <c r="E483" s="59" t="s">
        <v>368</v>
      </c>
      <c r="F483" s="59"/>
      <c r="G483" s="58">
        <f t="shared" si="5"/>
        <v>5617</v>
      </c>
    </row>
    <row r="484" spans="1:7" ht="25.5">
      <c r="A484" s="28" t="s">
        <v>105</v>
      </c>
      <c r="B484" s="60" t="s">
        <v>412</v>
      </c>
      <c r="C484" s="59" t="s">
        <v>78</v>
      </c>
      <c r="D484" s="59" t="s">
        <v>67</v>
      </c>
      <c r="E484" s="59" t="s">
        <v>368</v>
      </c>
      <c r="F484" s="59" t="s">
        <v>106</v>
      </c>
      <c r="G484" s="58">
        <f t="shared" si="5"/>
        <v>5617</v>
      </c>
    </row>
    <row r="485" spans="1:7" ht="12.75">
      <c r="A485" s="28" t="s">
        <v>107</v>
      </c>
      <c r="B485" s="60" t="s">
        <v>412</v>
      </c>
      <c r="C485" s="59" t="s">
        <v>78</v>
      </c>
      <c r="D485" s="59" t="s">
        <v>67</v>
      </c>
      <c r="E485" s="59" t="s">
        <v>368</v>
      </c>
      <c r="F485" s="59" t="s">
        <v>108</v>
      </c>
      <c r="G485" s="58">
        <f t="shared" si="5"/>
        <v>5617</v>
      </c>
    </row>
    <row r="486" spans="1:7" ht="38.25">
      <c r="A486" s="28" t="s">
        <v>109</v>
      </c>
      <c r="B486" s="60" t="s">
        <v>412</v>
      </c>
      <c r="C486" s="59" t="s">
        <v>78</v>
      </c>
      <c r="D486" s="59" t="s">
        <v>67</v>
      </c>
      <c r="E486" s="59" t="s">
        <v>368</v>
      </c>
      <c r="F486" s="59" t="s">
        <v>110</v>
      </c>
      <c r="G486" s="58">
        <v>5617</v>
      </c>
    </row>
    <row r="487" spans="1:7" ht="12.75">
      <c r="A487" s="61" t="s">
        <v>156</v>
      </c>
      <c r="B487" s="62" t="s">
        <v>413</v>
      </c>
      <c r="C487" s="63"/>
      <c r="D487" s="63"/>
      <c r="E487" s="63"/>
      <c r="F487" s="63"/>
      <c r="G487" s="64">
        <f>G488</f>
        <v>322041.9</v>
      </c>
    </row>
    <row r="488" spans="1:7" ht="12.75">
      <c r="A488" s="61" t="s">
        <v>8</v>
      </c>
      <c r="B488" s="62" t="s">
        <v>413</v>
      </c>
      <c r="C488" s="63" t="s">
        <v>69</v>
      </c>
      <c r="D488" s="63" t="s">
        <v>36</v>
      </c>
      <c r="E488" s="59"/>
      <c r="F488" s="59"/>
      <c r="G488" s="64">
        <f>G489+G567+G747+G797+G685</f>
        <v>322041.9</v>
      </c>
    </row>
    <row r="489" spans="1:7" ht="12.75">
      <c r="A489" s="61" t="s">
        <v>9</v>
      </c>
      <c r="B489" s="62" t="s">
        <v>413</v>
      </c>
      <c r="C489" s="63" t="s">
        <v>69</v>
      </c>
      <c r="D489" s="63" t="s">
        <v>66</v>
      </c>
      <c r="E489" s="63"/>
      <c r="F489" s="63"/>
      <c r="G489" s="64">
        <f>G508+G514+G520+G550+G560+G490+G538+G544</f>
        <v>78054.00000000001</v>
      </c>
    </row>
    <row r="490" spans="1:7" ht="25.5">
      <c r="A490" s="126" t="s">
        <v>444</v>
      </c>
      <c r="B490" s="60" t="s">
        <v>413</v>
      </c>
      <c r="C490" s="59" t="s">
        <v>69</v>
      </c>
      <c r="D490" s="59" t="s">
        <v>66</v>
      </c>
      <c r="E490" s="161" t="s">
        <v>191</v>
      </c>
      <c r="F490" s="59"/>
      <c r="G490" s="58">
        <f>G491</f>
        <v>60531.200000000004</v>
      </c>
    </row>
    <row r="491" spans="1:7" ht="12.75">
      <c r="A491" s="28" t="s">
        <v>791</v>
      </c>
      <c r="B491" s="60" t="s">
        <v>413</v>
      </c>
      <c r="C491" s="59" t="s">
        <v>69</v>
      </c>
      <c r="D491" s="59" t="s">
        <v>66</v>
      </c>
      <c r="E491" s="59" t="s">
        <v>615</v>
      </c>
      <c r="F491" s="59"/>
      <c r="G491" s="58">
        <f>G492+G496+G500+G504</f>
        <v>60531.200000000004</v>
      </c>
    </row>
    <row r="492" spans="1:7" ht="36" customHeight="1">
      <c r="A492" s="28" t="s">
        <v>503</v>
      </c>
      <c r="B492" s="60" t="s">
        <v>413</v>
      </c>
      <c r="C492" s="59" t="s">
        <v>69</v>
      </c>
      <c r="D492" s="59" t="s">
        <v>66</v>
      </c>
      <c r="E492" s="59" t="s">
        <v>616</v>
      </c>
      <c r="F492" s="59"/>
      <c r="G492" s="58">
        <f>G493</f>
        <v>236.39999999999998</v>
      </c>
    </row>
    <row r="493" spans="1:7" ht="25.5">
      <c r="A493" s="28" t="s">
        <v>105</v>
      </c>
      <c r="B493" s="60" t="s">
        <v>413</v>
      </c>
      <c r="C493" s="59" t="s">
        <v>69</v>
      </c>
      <c r="D493" s="59" t="s">
        <v>66</v>
      </c>
      <c r="E493" s="59" t="s">
        <v>616</v>
      </c>
      <c r="F493" s="59" t="s">
        <v>106</v>
      </c>
      <c r="G493" s="58">
        <f>G494</f>
        <v>236.39999999999998</v>
      </c>
    </row>
    <row r="494" spans="1:7" ht="12.75">
      <c r="A494" s="28" t="s">
        <v>111</v>
      </c>
      <c r="B494" s="60" t="s">
        <v>413</v>
      </c>
      <c r="C494" s="59" t="s">
        <v>69</v>
      </c>
      <c r="D494" s="59" t="s">
        <v>66</v>
      </c>
      <c r="E494" s="59" t="s">
        <v>616</v>
      </c>
      <c r="F494" s="59" t="s">
        <v>112</v>
      </c>
      <c r="G494" s="58">
        <f>G495</f>
        <v>236.39999999999998</v>
      </c>
    </row>
    <row r="495" spans="1:7" ht="38.25">
      <c r="A495" s="28" t="s">
        <v>113</v>
      </c>
      <c r="B495" s="60" t="s">
        <v>413</v>
      </c>
      <c r="C495" s="59" t="s">
        <v>69</v>
      </c>
      <c r="D495" s="59" t="s">
        <v>66</v>
      </c>
      <c r="E495" s="59" t="s">
        <v>616</v>
      </c>
      <c r="F495" s="59" t="s">
        <v>114</v>
      </c>
      <c r="G495" s="58">
        <f>'МП пр.5'!G176</f>
        <v>236.39999999999998</v>
      </c>
    </row>
    <row r="496" spans="1:7" ht="38.25">
      <c r="A496" s="28" t="s">
        <v>504</v>
      </c>
      <c r="B496" s="60" t="s">
        <v>413</v>
      </c>
      <c r="C496" s="59" t="s">
        <v>69</v>
      </c>
      <c r="D496" s="59" t="s">
        <v>66</v>
      </c>
      <c r="E496" s="59" t="s">
        <v>617</v>
      </c>
      <c r="F496" s="59"/>
      <c r="G496" s="58">
        <f>G497</f>
        <v>1332.6000000000001</v>
      </c>
    </row>
    <row r="497" spans="1:7" ht="27" customHeight="1">
      <c r="A497" s="28" t="s">
        <v>105</v>
      </c>
      <c r="B497" s="60" t="s">
        <v>413</v>
      </c>
      <c r="C497" s="59" t="s">
        <v>69</v>
      </c>
      <c r="D497" s="59" t="s">
        <v>66</v>
      </c>
      <c r="E497" s="59" t="s">
        <v>617</v>
      </c>
      <c r="F497" s="59" t="s">
        <v>106</v>
      </c>
      <c r="G497" s="58">
        <f>G498</f>
        <v>1332.6000000000001</v>
      </c>
    </row>
    <row r="498" spans="1:7" ht="12.75">
      <c r="A498" s="28" t="s">
        <v>111</v>
      </c>
      <c r="B498" s="60" t="s">
        <v>413</v>
      </c>
      <c r="C498" s="59" t="s">
        <v>69</v>
      </c>
      <c r="D498" s="59" t="s">
        <v>66</v>
      </c>
      <c r="E498" s="59" t="s">
        <v>617</v>
      </c>
      <c r="F498" s="59" t="s">
        <v>112</v>
      </c>
      <c r="G498" s="58">
        <f>G499</f>
        <v>1332.6000000000001</v>
      </c>
    </row>
    <row r="499" spans="1:7" ht="38.25">
      <c r="A499" s="28" t="s">
        <v>113</v>
      </c>
      <c r="B499" s="60" t="s">
        <v>413</v>
      </c>
      <c r="C499" s="59" t="s">
        <v>69</v>
      </c>
      <c r="D499" s="59" t="s">
        <v>66</v>
      </c>
      <c r="E499" s="59" t="s">
        <v>617</v>
      </c>
      <c r="F499" s="59" t="s">
        <v>114</v>
      </c>
      <c r="G499" s="58">
        <f>'МП пр.5'!G194</f>
        <v>1332.6000000000001</v>
      </c>
    </row>
    <row r="500" spans="1:7" ht="38.25">
      <c r="A500" s="28" t="s">
        <v>505</v>
      </c>
      <c r="B500" s="60" t="s">
        <v>413</v>
      </c>
      <c r="C500" s="59" t="s">
        <v>69</v>
      </c>
      <c r="D500" s="59" t="s">
        <v>66</v>
      </c>
      <c r="E500" s="59" t="s">
        <v>618</v>
      </c>
      <c r="F500" s="59"/>
      <c r="G500" s="58">
        <f>G501</f>
        <v>56152.3</v>
      </c>
    </row>
    <row r="501" spans="1:7" ht="25.5">
      <c r="A501" s="28" t="s">
        <v>105</v>
      </c>
      <c r="B501" s="60" t="s">
        <v>413</v>
      </c>
      <c r="C501" s="59" t="s">
        <v>69</v>
      </c>
      <c r="D501" s="59" t="s">
        <v>66</v>
      </c>
      <c r="E501" s="59" t="s">
        <v>618</v>
      </c>
      <c r="F501" s="59" t="s">
        <v>106</v>
      </c>
      <c r="G501" s="58">
        <f>G502</f>
        <v>56152.3</v>
      </c>
    </row>
    <row r="502" spans="1:7" ht="12.75">
      <c r="A502" s="28" t="s">
        <v>111</v>
      </c>
      <c r="B502" s="60" t="s">
        <v>413</v>
      </c>
      <c r="C502" s="59" t="s">
        <v>69</v>
      </c>
      <c r="D502" s="59" t="s">
        <v>66</v>
      </c>
      <c r="E502" s="59" t="s">
        <v>618</v>
      </c>
      <c r="F502" s="59" t="s">
        <v>112</v>
      </c>
      <c r="G502" s="58">
        <f>G503</f>
        <v>56152.3</v>
      </c>
    </row>
    <row r="503" spans="1:7" ht="42.75" customHeight="1">
      <c r="A503" s="28" t="s">
        <v>113</v>
      </c>
      <c r="B503" s="60" t="s">
        <v>413</v>
      </c>
      <c r="C503" s="59" t="s">
        <v>69</v>
      </c>
      <c r="D503" s="59" t="s">
        <v>66</v>
      </c>
      <c r="E503" s="59" t="s">
        <v>618</v>
      </c>
      <c r="F503" s="59" t="s">
        <v>114</v>
      </c>
      <c r="G503" s="58">
        <f>'МП пр.5'!G212</f>
        <v>56152.3</v>
      </c>
    </row>
    <row r="504" spans="1:7" ht="38.25">
      <c r="A504" s="28" t="s">
        <v>506</v>
      </c>
      <c r="B504" s="60" t="s">
        <v>413</v>
      </c>
      <c r="C504" s="59" t="s">
        <v>69</v>
      </c>
      <c r="D504" s="59" t="s">
        <v>66</v>
      </c>
      <c r="E504" s="59" t="s">
        <v>619</v>
      </c>
      <c r="F504" s="59"/>
      <c r="G504" s="58">
        <f>G505</f>
        <v>2809.9</v>
      </c>
    </row>
    <row r="505" spans="1:7" ht="25.5">
      <c r="A505" s="28" t="s">
        <v>105</v>
      </c>
      <c r="B505" s="60" t="s">
        <v>413</v>
      </c>
      <c r="C505" s="59" t="s">
        <v>69</v>
      </c>
      <c r="D505" s="59" t="s">
        <v>66</v>
      </c>
      <c r="E505" s="59" t="s">
        <v>619</v>
      </c>
      <c r="F505" s="59" t="s">
        <v>106</v>
      </c>
      <c r="G505" s="58">
        <f>G506</f>
        <v>2809.9</v>
      </c>
    </row>
    <row r="506" spans="1:7" ht="12.75">
      <c r="A506" s="28" t="s">
        <v>111</v>
      </c>
      <c r="B506" s="60" t="s">
        <v>413</v>
      </c>
      <c r="C506" s="59" t="s">
        <v>69</v>
      </c>
      <c r="D506" s="59" t="s">
        <v>66</v>
      </c>
      <c r="E506" s="59" t="s">
        <v>619</v>
      </c>
      <c r="F506" s="59" t="s">
        <v>112</v>
      </c>
      <c r="G506" s="58">
        <f>G507</f>
        <v>2809.9</v>
      </c>
    </row>
    <row r="507" spans="1:7" ht="12.75">
      <c r="A507" s="28" t="s">
        <v>115</v>
      </c>
      <c r="B507" s="60" t="s">
        <v>413</v>
      </c>
      <c r="C507" s="59" t="s">
        <v>69</v>
      </c>
      <c r="D507" s="59" t="s">
        <v>66</v>
      </c>
      <c r="E507" s="59" t="s">
        <v>619</v>
      </c>
      <c r="F507" s="59" t="s">
        <v>116</v>
      </c>
      <c r="G507" s="58">
        <f>'МП пр.5'!G226</f>
        <v>2809.9</v>
      </c>
    </row>
    <row r="508" spans="1:7" ht="25.5">
      <c r="A508" s="126" t="s">
        <v>507</v>
      </c>
      <c r="B508" s="60" t="s">
        <v>413</v>
      </c>
      <c r="C508" s="59" t="s">
        <v>69</v>
      </c>
      <c r="D508" s="59" t="s">
        <v>66</v>
      </c>
      <c r="E508" s="161" t="s">
        <v>176</v>
      </c>
      <c r="F508" s="165"/>
      <c r="G508" s="58">
        <f>G509</f>
        <v>182.9</v>
      </c>
    </row>
    <row r="509" spans="1:7" ht="24.75" customHeight="1">
      <c r="A509" s="126" t="s">
        <v>291</v>
      </c>
      <c r="B509" s="60" t="s">
        <v>413</v>
      </c>
      <c r="C509" s="59" t="s">
        <v>69</v>
      </c>
      <c r="D509" s="59" t="s">
        <v>66</v>
      </c>
      <c r="E509" s="161" t="s">
        <v>508</v>
      </c>
      <c r="F509" s="165"/>
      <c r="G509" s="58">
        <f>G510</f>
        <v>182.9</v>
      </c>
    </row>
    <row r="510" spans="1:7" ht="12.75">
      <c r="A510" s="126" t="s">
        <v>175</v>
      </c>
      <c r="B510" s="60" t="s">
        <v>413</v>
      </c>
      <c r="C510" s="59" t="s">
        <v>69</v>
      </c>
      <c r="D510" s="59" t="s">
        <v>66</v>
      </c>
      <c r="E510" s="161" t="s">
        <v>509</v>
      </c>
      <c r="F510" s="165"/>
      <c r="G510" s="58">
        <f>G511</f>
        <v>182.9</v>
      </c>
    </row>
    <row r="511" spans="1:7" ht="25.5">
      <c r="A511" s="28" t="s">
        <v>105</v>
      </c>
      <c r="B511" s="60" t="s">
        <v>413</v>
      </c>
      <c r="C511" s="59" t="s">
        <v>69</v>
      </c>
      <c r="D511" s="59" t="s">
        <v>66</v>
      </c>
      <c r="E511" s="161" t="s">
        <v>509</v>
      </c>
      <c r="F511" s="59" t="s">
        <v>106</v>
      </c>
      <c r="G511" s="58">
        <f>G512</f>
        <v>182.9</v>
      </c>
    </row>
    <row r="512" spans="1:7" ht="12.75">
      <c r="A512" s="28" t="s">
        <v>111</v>
      </c>
      <c r="B512" s="60" t="s">
        <v>413</v>
      </c>
      <c r="C512" s="59" t="s">
        <v>69</v>
      </c>
      <c r="D512" s="59" t="s">
        <v>66</v>
      </c>
      <c r="E512" s="161" t="s">
        <v>509</v>
      </c>
      <c r="F512" s="59" t="s">
        <v>112</v>
      </c>
      <c r="G512" s="58">
        <f>G513</f>
        <v>182.9</v>
      </c>
    </row>
    <row r="513" spans="1:7" ht="12.75">
      <c r="A513" s="28" t="s">
        <v>115</v>
      </c>
      <c r="B513" s="60" t="s">
        <v>413</v>
      </c>
      <c r="C513" s="59" t="s">
        <v>69</v>
      </c>
      <c r="D513" s="59" t="s">
        <v>66</v>
      </c>
      <c r="E513" s="161" t="s">
        <v>509</v>
      </c>
      <c r="F513" s="59" t="s">
        <v>116</v>
      </c>
      <c r="G513" s="58">
        <f>'МП пр.5'!G111</f>
        <v>182.9</v>
      </c>
    </row>
    <row r="514" spans="1:7" ht="25.5">
      <c r="A514" s="126" t="s">
        <v>510</v>
      </c>
      <c r="B514" s="60" t="s">
        <v>413</v>
      </c>
      <c r="C514" s="59" t="s">
        <v>69</v>
      </c>
      <c r="D514" s="59" t="s">
        <v>66</v>
      </c>
      <c r="E514" s="161" t="s">
        <v>177</v>
      </c>
      <c r="F514" s="59"/>
      <c r="G514" s="58">
        <f>G515</f>
        <v>144.2</v>
      </c>
    </row>
    <row r="515" spans="1:7" ht="25.5">
      <c r="A515" s="126" t="s">
        <v>280</v>
      </c>
      <c r="B515" s="60" t="s">
        <v>413</v>
      </c>
      <c r="C515" s="59" t="s">
        <v>69</v>
      </c>
      <c r="D515" s="59" t="s">
        <v>66</v>
      </c>
      <c r="E515" s="161" t="s">
        <v>324</v>
      </c>
      <c r="F515" s="59"/>
      <c r="G515" s="58">
        <f>G516</f>
        <v>144.2</v>
      </c>
    </row>
    <row r="516" spans="1:7" ht="12.75">
      <c r="A516" s="126" t="s">
        <v>511</v>
      </c>
      <c r="B516" s="60" t="s">
        <v>413</v>
      </c>
      <c r="C516" s="59" t="s">
        <v>69</v>
      </c>
      <c r="D516" s="59" t="s">
        <v>66</v>
      </c>
      <c r="E516" s="161" t="s">
        <v>512</v>
      </c>
      <c r="F516" s="59"/>
      <c r="G516" s="58">
        <f>G517</f>
        <v>144.2</v>
      </c>
    </row>
    <row r="517" spans="1:7" ht="25.5">
      <c r="A517" s="28" t="s">
        <v>105</v>
      </c>
      <c r="B517" s="60" t="s">
        <v>413</v>
      </c>
      <c r="C517" s="59" t="s">
        <v>69</v>
      </c>
      <c r="D517" s="59" t="s">
        <v>66</v>
      </c>
      <c r="E517" s="161" t="s">
        <v>512</v>
      </c>
      <c r="F517" s="59" t="s">
        <v>106</v>
      </c>
      <c r="G517" s="58">
        <f>G518</f>
        <v>144.2</v>
      </c>
    </row>
    <row r="518" spans="1:7" ht="12.75">
      <c r="A518" s="28" t="s">
        <v>111</v>
      </c>
      <c r="B518" s="60" t="s">
        <v>413</v>
      </c>
      <c r="C518" s="59" t="s">
        <v>69</v>
      </c>
      <c r="D518" s="59" t="s">
        <v>66</v>
      </c>
      <c r="E518" s="161" t="s">
        <v>512</v>
      </c>
      <c r="F518" s="59" t="s">
        <v>112</v>
      </c>
      <c r="G518" s="58">
        <f>G519</f>
        <v>144.2</v>
      </c>
    </row>
    <row r="519" spans="1:7" ht="12.75">
      <c r="A519" s="28" t="s">
        <v>115</v>
      </c>
      <c r="B519" s="60" t="s">
        <v>413</v>
      </c>
      <c r="C519" s="59" t="s">
        <v>69</v>
      </c>
      <c r="D519" s="59" t="s">
        <v>66</v>
      </c>
      <c r="E519" s="161" t="s">
        <v>512</v>
      </c>
      <c r="F519" s="59" t="s">
        <v>116</v>
      </c>
      <c r="G519" s="58">
        <f>'МП пр.5'!G457</f>
        <v>144.2</v>
      </c>
    </row>
    <row r="520" spans="1:7" ht="25.5">
      <c r="A520" s="126" t="s">
        <v>513</v>
      </c>
      <c r="B520" s="60" t="s">
        <v>413</v>
      </c>
      <c r="C520" s="59" t="s">
        <v>69</v>
      </c>
      <c r="D520" s="59" t="s">
        <v>66</v>
      </c>
      <c r="E520" s="161" t="s">
        <v>180</v>
      </c>
      <c r="F520" s="59"/>
      <c r="G520" s="58">
        <f>G521</f>
        <v>410.90000000000003</v>
      </c>
    </row>
    <row r="521" spans="1:7" ht="25.5">
      <c r="A521" s="126" t="s">
        <v>251</v>
      </c>
      <c r="B521" s="60" t="s">
        <v>413</v>
      </c>
      <c r="C521" s="59" t="s">
        <v>69</v>
      </c>
      <c r="D521" s="59" t="s">
        <v>66</v>
      </c>
      <c r="E521" s="161" t="s">
        <v>325</v>
      </c>
      <c r="F521" s="59"/>
      <c r="G521" s="58">
        <f>G522+G526+G530+G534</f>
        <v>410.90000000000003</v>
      </c>
    </row>
    <row r="522" spans="1:7" ht="12.75">
      <c r="A522" s="126" t="s">
        <v>179</v>
      </c>
      <c r="B522" s="60" t="s">
        <v>413</v>
      </c>
      <c r="C522" s="59" t="s">
        <v>69</v>
      </c>
      <c r="D522" s="59" t="s">
        <v>66</v>
      </c>
      <c r="E522" s="161" t="s">
        <v>326</v>
      </c>
      <c r="F522" s="59"/>
      <c r="G522" s="58">
        <f>G523</f>
        <v>283.40000000000003</v>
      </c>
    </row>
    <row r="523" spans="1:7" ht="25.5">
      <c r="A523" s="28" t="s">
        <v>105</v>
      </c>
      <c r="B523" s="60" t="s">
        <v>413</v>
      </c>
      <c r="C523" s="59" t="s">
        <v>69</v>
      </c>
      <c r="D523" s="59" t="s">
        <v>66</v>
      </c>
      <c r="E523" s="161" t="s">
        <v>326</v>
      </c>
      <c r="F523" s="59" t="s">
        <v>106</v>
      </c>
      <c r="G523" s="58">
        <f>G524</f>
        <v>283.40000000000003</v>
      </c>
    </row>
    <row r="524" spans="1:7" ht="12.75">
      <c r="A524" s="28" t="s">
        <v>111</v>
      </c>
      <c r="B524" s="60" t="s">
        <v>413</v>
      </c>
      <c r="C524" s="59" t="s">
        <v>69</v>
      </c>
      <c r="D524" s="59" t="s">
        <v>66</v>
      </c>
      <c r="E524" s="161" t="s">
        <v>326</v>
      </c>
      <c r="F524" s="59" t="s">
        <v>112</v>
      </c>
      <c r="G524" s="58">
        <f>G525</f>
        <v>283.40000000000003</v>
      </c>
    </row>
    <row r="525" spans="1:7" ht="12.75">
      <c r="A525" s="28" t="s">
        <v>115</v>
      </c>
      <c r="B525" s="60" t="s">
        <v>413</v>
      </c>
      <c r="C525" s="59" t="s">
        <v>69</v>
      </c>
      <c r="D525" s="59" t="s">
        <v>66</v>
      </c>
      <c r="E525" s="161" t="s">
        <v>326</v>
      </c>
      <c r="F525" s="59" t="s">
        <v>116</v>
      </c>
      <c r="G525" s="58">
        <f>'МП пр.5'!G522</f>
        <v>283.40000000000003</v>
      </c>
    </row>
    <row r="526" spans="1:7" ht="12.75">
      <c r="A526" s="126" t="s">
        <v>290</v>
      </c>
      <c r="B526" s="60" t="s">
        <v>413</v>
      </c>
      <c r="C526" s="59" t="s">
        <v>69</v>
      </c>
      <c r="D526" s="59" t="s">
        <v>66</v>
      </c>
      <c r="E526" s="161" t="s">
        <v>327</v>
      </c>
      <c r="F526" s="59"/>
      <c r="G526" s="58">
        <f>G527</f>
        <v>81.5</v>
      </c>
    </row>
    <row r="527" spans="1:7" ht="25.5">
      <c r="A527" s="28" t="s">
        <v>105</v>
      </c>
      <c r="B527" s="60" t="s">
        <v>413</v>
      </c>
      <c r="C527" s="59" t="s">
        <v>69</v>
      </c>
      <c r="D527" s="59" t="s">
        <v>66</v>
      </c>
      <c r="E527" s="161" t="s">
        <v>327</v>
      </c>
      <c r="F527" s="59" t="s">
        <v>106</v>
      </c>
      <c r="G527" s="58">
        <f>G528</f>
        <v>81.5</v>
      </c>
    </row>
    <row r="528" spans="1:7" ht="12.75">
      <c r="A528" s="28" t="s">
        <v>111</v>
      </c>
      <c r="B528" s="60" t="s">
        <v>413</v>
      </c>
      <c r="C528" s="59" t="s">
        <v>69</v>
      </c>
      <c r="D528" s="59" t="s">
        <v>66</v>
      </c>
      <c r="E528" s="161" t="s">
        <v>327</v>
      </c>
      <c r="F528" s="59" t="s">
        <v>112</v>
      </c>
      <c r="G528" s="58">
        <f>G529</f>
        <v>81.5</v>
      </c>
    </row>
    <row r="529" spans="1:7" ht="12.75">
      <c r="A529" s="28" t="s">
        <v>115</v>
      </c>
      <c r="B529" s="60" t="s">
        <v>413</v>
      </c>
      <c r="C529" s="59" t="s">
        <v>69</v>
      </c>
      <c r="D529" s="59" t="s">
        <v>66</v>
      </c>
      <c r="E529" s="161" t="s">
        <v>327</v>
      </c>
      <c r="F529" s="59" t="s">
        <v>116</v>
      </c>
      <c r="G529" s="58">
        <f>'МП пр.5'!G594</f>
        <v>81.5</v>
      </c>
    </row>
    <row r="530" spans="1:7" ht="25.5">
      <c r="A530" s="126" t="s">
        <v>611</v>
      </c>
      <c r="B530" s="60" t="s">
        <v>413</v>
      </c>
      <c r="C530" s="59" t="s">
        <v>69</v>
      </c>
      <c r="D530" s="59" t="s">
        <v>66</v>
      </c>
      <c r="E530" s="161" t="s">
        <v>328</v>
      </c>
      <c r="F530" s="59"/>
      <c r="G530" s="58">
        <f>G531</f>
        <v>19.2</v>
      </c>
    </row>
    <row r="531" spans="1:7" ht="25.5">
      <c r="A531" s="28" t="s">
        <v>105</v>
      </c>
      <c r="B531" s="60" t="s">
        <v>413</v>
      </c>
      <c r="C531" s="59" t="s">
        <v>69</v>
      </c>
      <c r="D531" s="59" t="s">
        <v>66</v>
      </c>
      <c r="E531" s="161" t="s">
        <v>328</v>
      </c>
      <c r="F531" s="59" t="s">
        <v>106</v>
      </c>
      <c r="G531" s="58">
        <f>G532</f>
        <v>19.2</v>
      </c>
    </row>
    <row r="532" spans="1:7" ht="12.75">
      <c r="A532" s="28" t="s">
        <v>111</v>
      </c>
      <c r="B532" s="60" t="s">
        <v>413</v>
      </c>
      <c r="C532" s="59" t="s">
        <v>69</v>
      </c>
      <c r="D532" s="59" t="s">
        <v>66</v>
      </c>
      <c r="E532" s="161" t="s">
        <v>328</v>
      </c>
      <c r="F532" s="59" t="s">
        <v>112</v>
      </c>
      <c r="G532" s="58">
        <f>G533</f>
        <v>19.2</v>
      </c>
    </row>
    <row r="533" spans="1:7" ht="12.75">
      <c r="A533" s="28" t="s">
        <v>115</v>
      </c>
      <c r="B533" s="60" t="s">
        <v>413</v>
      </c>
      <c r="C533" s="59" t="s">
        <v>69</v>
      </c>
      <c r="D533" s="59" t="s">
        <v>66</v>
      </c>
      <c r="E533" s="161" t="s">
        <v>328</v>
      </c>
      <c r="F533" s="59" t="s">
        <v>116</v>
      </c>
      <c r="G533" s="58">
        <f>'МП пр.5'!G611</f>
        <v>19.2</v>
      </c>
    </row>
    <row r="534" spans="1:7" ht="12.75">
      <c r="A534" s="28" t="s">
        <v>514</v>
      </c>
      <c r="B534" s="60" t="s">
        <v>413</v>
      </c>
      <c r="C534" s="59" t="s">
        <v>69</v>
      </c>
      <c r="D534" s="59" t="s">
        <v>66</v>
      </c>
      <c r="E534" s="161" t="s">
        <v>515</v>
      </c>
      <c r="F534" s="59"/>
      <c r="G534" s="58">
        <f>G535</f>
        <v>26.8</v>
      </c>
    </row>
    <row r="535" spans="1:7" ht="25.5">
      <c r="A535" s="28" t="s">
        <v>105</v>
      </c>
      <c r="B535" s="60" t="s">
        <v>413</v>
      </c>
      <c r="C535" s="59" t="s">
        <v>69</v>
      </c>
      <c r="D535" s="59" t="s">
        <v>66</v>
      </c>
      <c r="E535" s="161" t="s">
        <v>515</v>
      </c>
      <c r="F535" s="59" t="s">
        <v>106</v>
      </c>
      <c r="G535" s="58">
        <f>G536</f>
        <v>26.8</v>
      </c>
    </row>
    <row r="536" spans="1:7" ht="12.75">
      <c r="A536" s="28" t="s">
        <v>111</v>
      </c>
      <c r="B536" s="60" t="s">
        <v>413</v>
      </c>
      <c r="C536" s="59" t="s">
        <v>69</v>
      </c>
      <c r="D536" s="59" t="s">
        <v>66</v>
      </c>
      <c r="E536" s="161" t="s">
        <v>515</v>
      </c>
      <c r="F536" s="59" t="s">
        <v>112</v>
      </c>
      <c r="G536" s="58">
        <f>G537</f>
        <v>26.8</v>
      </c>
    </row>
    <row r="537" spans="1:7" ht="12.75">
      <c r="A537" s="28" t="s">
        <v>115</v>
      </c>
      <c r="B537" s="60" t="s">
        <v>413</v>
      </c>
      <c r="C537" s="59" t="s">
        <v>69</v>
      </c>
      <c r="D537" s="59" t="s">
        <v>66</v>
      </c>
      <c r="E537" s="161" t="s">
        <v>515</v>
      </c>
      <c r="F537" s="59" t="s">
        <v>116</v>
      </c>
      <c r="G537" s="58">
        <f>'МП пр.5'!G640</f>
        <v>26.8</v>
      </c>
    </row>
    <row r="538" spans="1:7" ht="25.5">
      <c r="A538" s="28" t="s">
        <v>449</v>
      </c>
      <c r="B538" s="60" t="s">
        <v>413</v>
      </c>
      <c r="C538" s="59" t="s">
        <v>69</v>
      </c>
      <c r="D538" s="59" t="s">
        <v>66</v>
      </c>
      <c r="E538" s="59" t="s">
        <v>450</v>
      </c>
      <c r="F538" s="59"/>
      <c r="G538" s="58">
        <f>G539</f>
        <v>5</v>
      </c>
    </row>
    <row r="539" spans="1:7" ht="26.25" customHeight="1">
      <c r="A539" s="28" t="s">
        <v>461</v>
      </c>
      <c r="B539" s="60" t="s">
        <v>413</v>
      </c>
      <c r="C539" s="59" t="s">
        <v>69</v>
      </c>
      <c r="D539" s="59" t="s">
        <v>66</v>
      </c>
      <c r="E539" s="59" t="s">
        <v>462</v>
      </c>
      <c r="F539" s="59"/>
      <c r="G539" s="143">
        <f>G540</f>
        <v>5</v>
      </c>
    </row>
    <row r="540" spans="1:7" ht="25.5">
      <c r="A540" s="28" t="s">
        <v>463</v>
      </c>
      <c r="B540" s="60" t="s">
        <v>413</v>
      </c>
      <c r="C540" s="59" t="s">
        <v>69</v>
      </c>
      <c r="D540" s="59" t="s">
        <v>66</v>
      </c>
      <c r="E540" s="59" t="s">
        <v>464</v>
      </c>
      <c r="F540" s="59"/>
      <c r="G540" s="58">
        <f>G541</f>
        <v>5</v>
      </c>
    </row>
    <row r="541" spans="1:7" ht="25.5">
      <c r="A541" s="28" t="s">
        <v>105</v>
      </c>
      <c r="B541" s="60" t="s">
        <v>413</v>
      </c>
      <c r="C541" s="59" t="s">
        <v>69</v>
      </c>
      <c r="D541" s="59" t="s">
        <v>66</v>
      </c>
      <c r="E541" s="59" t="s">
        <v>464</v>
      </c>
      <c r="F541" s="59" t="s">
        <v>106</v>
      </c>
      <c r="G541" s="58">
        <f>G542</f>
        <v>5</v>
      </c>
    </row>
    <row r="542" spans="1:7" ht="12.75">
      <c r="A542" s="28" t="s">
        <v>111</v>
      </c>
      <c r="B542" s="60" t="s">
        <v>413</v>
      </c>
      <c r="C542" s="59" t="s">
        <v>69</v>
      </c>
      <c r="D542" s="59" t="s">
        <v>66</v>
      </c>
      <c r="E542" s="59" t="s">
        <v>464</v>
      </c>
      <c r="F542" s="59" t="s">
        <v>112</v>
      </c>
      <c r="G542" s="58">
        <f>G543</f>
        <v>5</v>
      </c>
    </row>
    <row r="543" spans="1:7" ht="12.75">
      <c r="A543" s="28" t="s">
        <v>115</v>
      </c>
      <c r="B543" s="60" t="s">
        <v>413</v>
      </c>
      <c r="C543" s="59" t="s">
        <v>69</v>
      </c>
      <c r="D543" s="59" t="s">
        <v>66</v>
      </c>
      <c r="E543" s="59" t="s">
        <v>464</v>
      </c>
      <c r="F543" s="59" t="s">
        <v>116</v>
      </c>
      <c r="G543" s="58">
        <f>'МП пр.5'!G58</f>
        <v>5</v>
      </c>
    </row>
    <row r="544" spans="1:7" ht="30" customHeight="1">
      <c r="A544" s="28" t="str">
        <f>'МП пр.5'!A890</f>
        <v>Муниципальная программа "Повышение безопасности дорожного движения на территории Сусуманского городского округа в 2017 году"</v>
      </c>
      <c r="B544" s="60" t="s">
        <v>413</v>
      </c>
      <c r="C544" s="59" t="s">
        <v>69</v>
      </c>
      <c r="D544" s="59" t="s">
        <v>66</v>
      </c>
      <c r="E544" s="149" t="str">
        <f>'МП пр.5'!B890</f>
        <v>7D 0 00 00000</v>
      </c>
      <c r="F544" s="59"/>
      <c r="G544" s="58">
        <f>G545</f>
        <v>13.6</v>
      </c>
    </row>
    <row r="545" spans="1:7" ht="22.5" customHeight="1">
      <c r="A545" s="28" t="str">
        <f>'МП пр.5'!A891</f>
        <v>Основное мероприятие "Обеспечение реализации программы"</v>
      </c>
      <c r="B545" s="60" t="s">
        <v>413</v>
      </c>
      <c r="C545" s="59" t="s">
        <v>69</v>
      </c>
      <c r="D545" s="59" t="s">
        <v>66</v>
      </c>
      <c r="E545" s="149" t="str">
        <f>'МП пр.5'!B891</f>
        <v>7D 0 01 00000</v>
      </c>
      <c r="F545" s="59"/>
      <c r="G545" s="58">
        <f>G546</f>
        <v>13.6</v>
      </c>
    </row>
    <row r="546" spans="1:7" ht="12.75">
      <c r="A546" s="28" t="str">
        <f>'МП пр.5'!A899</f>
        <v>Приобретение светоотражающих лент для образовательных учреждений</v>
      </c>
      <c r="B546" s="60" t="s">
        <v>413</v>
      </c>
      <c r="C546" s="59" t="s">
        <v>69</v>
      </c>
      <c r="D546" s="59" t="s">
        <v>66</v>
      </c>
      <c r="E546" s="149" t="str">
        <f>'МП пр.5'!B899</f>
        <v>7D 0 01 95420</v>
      </c>
      <c r="F546" s="59"/>
      <c r="G546" s="58">
        <f>G547</f>
        <v>13.6</v>
      </c>
    </row>
    <row r="547" spans="1:7" ht="25.5">
      <c r="A547" s="28" t="s">
        <v>105</v>
      </c>
      <c r="B547" s="60" t="s">
        <v>413</v>
      </c>
      <c r="C547" s="59" t="s">
        <v>69</v>
      </c>
      <c r="D547" s="59" t="s">
        <v>66</v>
      </c>
      <c r="E547" s="149" t="str">
        <f>'МП пр.5'!B900</f>
        <v>7D 0 01 95420</v>
      </c>
      <c r="F547" s="59" t="s">
        <v>106</v>
      </c>
      <c r="G547" s="58">
        <f>G548</f>
        <v>13.6</v>
      </c>
    </row>
    <row r="548" spans="1:7" ht="12.75">
      <c r="A548" s="28" t="s">
        <v>111</v>
      </c>
      <c r="B548" s="60" t="s">
        <v>413</v>
      </c>
      <c r="C548" s="59" t="s">
        <v>69</v>
      </c>
      <c r="D548" s="59" t="s">
        <v>66</v>
      </c>
      <c r="E548" s="149" t="str">
        <f>'МП пр.5'!B901</f>
        <v>7D 0 01 95420</v>
      </c>
      <c r="F548" s="59" t="s">
        <v>112</v>
      </c>
      <c r="G548" s="58">
        <f>G549</f>
        <v>13.6</v>
      </c>
    </row>
    <row r="549" spans="1:7" ht="12.75">
      <c r="A549" s="28" t="s">
        <v>115</v>
      </c>
      <c r="B549" s="60" t="s">
        <v>413</v>
      </c>
      <c r="C549" s="59" t="s">
        <v>69</v>
      </c>
      <c r="D549" s="59" t="s">
        <v>66</v>
      </c>
      <c r="E549" s="149" t="str">
        <f>'МП пр.5'!B902</f>
        <v>7D 0 01 95420</v>
      </c>
      <c r="F549" s="59" t="s">
        <v>116</v>
      </c>
      <c r="G549" s="58">
        <f>'МП пр.5'!G905</f>
        <v>13.6</v>
      </c>
    </row>
    <row r="550" spans="1:7" ht="12.75">
      <c r="A550" s="28" t="s">
        <v>360</v>
      </c>
      <c r="B550" s="60" t="s">
        <v>413</v>
      </c>
      <c r="C550" s="59" t="s">
        <v>69</v>
      </c>
      <c r="D550" s="59" t="s">
        <v>66</v>
      </c>
      <c r="E550" s="59" t="s">
        <v>215</v>
      </c>
      <c r="F550" s="59"/>
      <c r="G550" s="58">
        <f>G551</f>
        <v>2706</v>
      </c>
    </row>
    <row r="551" spans="1:7" ht="12.75">
      <c r="A551" s="28" t="s">
        <v>361</v>
      </c>
      <c r="B551" s="60" t="s">
        <v>413</v>
      </c>
      <c r="C551" s="59" t="s">
        <v>69</v>
      </c>
      <c r="D551" s="59" t="s">
        <v>66</v>
      </c>
      <c r="E551" s="59" t="s">
        <v>358</v>
      </c>
      <c r="F551" s="59"/>
      <c r="G551" s="58">
        <f>G552+G556</f>
        <v>2706</v>
      </c>
    </row>
    <row r="552" spans="1:7" ht="51">
      <c r="A552" s="28" t="s">
        <v>287</v>
      </c>
      <c r="B552" s="60" t="s">
        <v>413</v>
      </c>
      <c r="C552" s="59" t="s">
        <v>69</v>
      </c>
      <c r="D552" s="59" t="s">
        <v>66</v>
      </c>
      <c r="E552" s="59" t="s">
        <v>359</v>
      </c>
      <c r="F552" s="59"/>
      <c r="G552" s="58">
        <f>G553</f>
        <v>2619</v>
      </c>
    </row>
    <row r="553" spans="1:7" ht="25.5">
      <c r="A553" s="28" t="s">
        <v>105</v>
      </c>
      <c r="B553" s="60" t="s">
        <v>413</v>
      </c>
      <c r="C553" s="59" t="s">
        <v>69</v>
      </c>
      <c r="D553" s="59" t="s">
        <v>66</v>
      </c>
      <c r="E553" s="59" t="s">
        <v>359</v>
      </c>
      <c r="F553" s="59" t="s">
        <v>106</v>
      </c>
      <c r="G553" s="58">
        <f>G554</f>
        <v>2619</v>
      </c>
    </row>
    <row r="554" spans="1:7" ht="12.75">
      <c r="A554" s="28" t="s">
        <v>111</v>
      </c>
      <c r="B554" s="60" t="s">
        <v>413</v>
      </c>
      <c r="C554" s="59" t="s">
        <v>69</v>
      </c>
      <c r="D554" s="59" t="s">
        <v>66</v>
      </c>
      <c r="E554" s="59" t="s">
        <v>359</v>
      </c>
      <c r="F554" s="59" t="s">
        <v>112</v>
      </c>
      <c r="G554" s="58">
        <f>G555</f>
        <v>2619</v>
      </c>
    </row>
    <row r="555" spans="1:7" ht="12.75">
      <c r="A555" s="28" t="s">
        <v>115</v>
      </c>
      <c r="B555" s="60" t="s">
        <v>413</v>
      </c>
      <c r="C555" s="59" t="s">
        <v>69</v>
      </c>
      <c r="D555" s="59" t="s">
        <v>66</v>
      </c>
      <c r="E555" s="59" t="s">
        <v>359</v>
      </c>
      <c r="F555" s="59" t="s">
        <v>116</v>
      </c>
      <c r="G555" s="58">
        <f>1400+269-30+980</f>
        <v>2619</v>
      </c>
    </row>
    <row r="556" spans="1:7" ht="12.75">
      <c r="A556" s="28" t="s">
        <v>235</v>
      </c>
      <c r="B556" s="60" t="s">
        <v>413</v>
      </c>
      <c r="C556" s="59" t="s">
        <v>69</v>
      </c>
      <c r="D556" s="59" t="s">
        <v>66</v>
      </c>
      <c r="E556" s="59" t="s">
        <v>362</v>
      </c>
      <c r="F556" s="59"/>
      <c r="G556" s="58">
        <f>G557</f>
        <v>87</v>
      </c>
    </row>
    <row r="557" spans="1:7" ht="25.5">
      <c r="A557" s="28" t="s">
        <v>105</v>
      </c>
      <c r="B557" s="60" t="s">
        <v>413</v>
      </c>
      <c r="C557" s="59" t="s">
        <v>69</v>
      </c>
      <c r="D557" s="59" t="s">
        <v>66</v>
      </c>
      <c r="E557" s="59" t="s">
        <v>362</v>
      </c>
      <c r="F557" s="59" t="s">
        <v>106</v>
      </c>
      <c r="G557" s="58">
        <f>G558</f>
        <v>87</v>
      </c>
    </row>
    <row r="558" spans="1:7" ht="12.75">
      <c r="A558" s="28" t="s">
        <v>111</v>
      </c>
      <c r="B558" s="60" t="s">
        <v>413</v>
      </c>
      <c r="C558" s="59" t="s">
        <v>69</v>
      </c>
      <c r="D558" s="59" t="s">
        <v>66</v>
      </c>
      <c r="E558" s="59" t="s">
        <v>362</v>
      </c>
      <c r="F558" s="59" t="s">
        <v>112</v>
      </c>
      <c r="G558" s="58">
        <f>G559</f>
        <v>87</v>
      </c>
    </row>
    <row r="559" spans="1:7" ht="12.75">
      <c r="A559" s="28" t="s">
        <v>115</v>
      </c>
      <c r="B559" s="60" t="s">
        <v>413</v>
      </c>
      <c r="C559" s="59" t="s">
        <v>69</v>
      </c>
      <c r="D559" s="59" t="s">
        <v>66</v>
      </c>
      <c r="E559" s="59" t="s">
        <v>362</v>
      </c>
      <c r="F559" s="59" t="s">
        <v>116</v>
      </c>
      <c r="G559" s="58">
        <f>61.4-19.4+45</f>
        <v>87</v>
      </c>
    </row>
    <row r="560" spans="1:7" ht="12.75">
      <c r="A560" s="28" t="s">
        <v>59</v>
      </c>
      <c r="B560" s="60" t="s">
        <v>413</v>
      </c>
      <c r="C560" s="59" t="s">
        <v>69</v>
      </c>
      <c r="D560" s="59" t="s">
        <v>66</v>
      </c>
      <c r="E560" s="59" t="s">
        <v>226</v>
      </c>
      <c r="F560" s="59"/>
      <c r="G560" s="58">
        <f>G561</f>
        <v>14060.2</v>
      </c>
    </row>
    <row r="561" spans="1:7" ht="38.25">
      <c r="A561" s="28" t="s">
        <v>473</v>
      </c>
      <c r="B561" s="60" t="s">
        <v>413</v>
      </c>
      <c r="C561" s="59" t="s">
        <v>69</v>
      </c>
      <c r="D561" s="59" t="s">
        <v>66</v>
      </c>
      <c r="E561" s="59" t="s">
        <v>369</v>
      </c>
      <c r="F561" s="59"/>
      <c r="G561" s="58">
        <f>G562</f>
        <v>14060.2</v>
      </c>
    </row>
    <row r="562" spans="1:7" ht="12.75">
      <c r="A562" s="28" t="s">
        <v>249</v>
      </c>
      <c r="B562" s="60" t="s">
        <v>413</v>
      </c>
      <c r="C562" s="59" t="s">
        <v>69</v>
      </c>
      <c r="D562" s="59" t="s">
        <v>66</v>
      </c>
      <c r="E562" s="59" t="s">
        <v>370</v>
      </c>
      <c r="F562" s="59"/>
      <c r="G562" s="58">
        <f>G563</f>
        <v>14060.2</v>
      </c>
    </row>
    <row r="563" spans="1:7" ht="25.5">
      <c r="A563" s="28" t="s">
        <v>105</v>
      </c>
      <c r="B563" s="60" t="s">
        <v>413</v>
      </c>
      <c r="C563" s="59" t="s">
        <v>69</v>
      </c>
      <c r="D563" s="59" t="s">
        <v>66</v>
      </c>
      <c r="E563" s="59" t="s">
        <v>370</v>
      </c>
      <c r="F563" s="59" t="s">
        <v>106</v>
      </c>
      <c r="G563" s="58">
        <f>G564</f>
        <v>14060.2</v>
      </c>
    </row>
    <row r="564" spans="1:7" ht="12.75">
      <c r="A564" s="28" t="s">
        <v>111</v>
      </c>
      <c r="B564" s="60" t="s">
        <v>413</v>
      </c>
      <c r="C564" s="59" t="s">
        <v>69</v>
      </c>
      <c r="D564" s="59" t="s">
        <v>66</v>
      </c>
      <c r="E564" s="59" t="s">
        <v>370</v>
      </c>
      <c r="F564" s="59" t="s">
        <v>112</v>
      </c>
      <c r="G564" s="58">
        <f>G565+G566</f>
        <v>14060.2</v>
      </c>
    </row>
    <row r="565" spans="1:7" ht="38.25">
      <c r="A565" s="28" t="s">
        <v>113</v>
      </c>
      <c r="B565" s="60" t="s">
        <v>413</v>
      </c>
      <c r="C565" s="59" t="s">
        <v>69</v>
      </c>
      <c r="D565" s="59" t="s">
        <v>66</v>
      </c>
      <c r="E565" s="59" t="s">
        <v>370</v>
      </c>
      <c r="F565" s="59" t="s">
        <v>114</v>
      </c>
      <c r="G565" s="58">
        <f>15393.2-369-1514</f>
        <v>13510.2</v>
      </c>
    </row>
    <row r="566" spans="1:7" ht="12.75">
      <c r="A566" s="28" t="s">
        <v>115</v>
      </c>
      <c r="B566" s="60" t="s">
        <v>413</v>
      </c>
      <c r="C566" s="59" t="s">
        <v>69</v>
      </c>
      <c r="D566" s="59" t="s">
        <v>66</v>
      </c>
      <c r="E566" s="59" t="s">
        <v>370</v>
      </c>
      <c r="F566" s="59" t="s">
        <v>116</v>
      </c>
      <c r="G566" s="58">
        <f>450+100</f>
        <v>550</v>
      </c>
    </row>
    <row r="567" spans="1:7" ht="12.75">
      <c r="A567" s="61" t="s">
        <v>10</v>
      </c>
      <c r="B567" s="62" t="s">
        <v>413</v>
      </c>
      <c r="C567" s="63" t="s">
        <v>69</v>
      </c>
      <c r="D567" s="63" t="s">
        <v>67</v>
      </c>
      <c r="E567" s="63"/>
      <c r="F567" s="63"/>
      <c r="G567" s="64">
        <f>G568+G590+G608+G634+G668+G678+G656+G662</f>
        <v>166074.6</v>
      </c>
    </row>
    <row r="568" spans="1:7" ht="25.5">
      <c r="A568" s="126" t="s">
        <v>444</v>
      </c>
      <c r="B568" s="60" t="s">
        <v>413</v>
      </c>
      <c r="C568" s="59" t="s">
        <v>69</v>
      </c>
      <c r="D568" s="59" t="s">
        <v>67</v>
      </c>
      <c r="E568" s="59" t="s">
        <v>191</v>
      </c>
      <c r="F568" s="63"/>
      <c r="G568" s="58">
        <f>G569</f>
        <v>119854.20000000001</v>
      </c>
    </row>
    <row r="569" spans="1:7" ht="12.75">
      <c r="A569" s="28" t="s">
        <v>501</v>
      </c>
      <c r="B569" s="60" t="s">
        <v>413</v>
      </c>
      <c r="C569" s="59" t="s">
        <v>69</v>
      </c>
      <c r="D569" s="59" t="s">
        <v>67</v>
      </c>
      <c r="E569" s="59" t="s">
        <v>615</v>
      </c>
      <c r="F569" s="63"/>
      <c r="G569" s="58">
        <f>G570+G574+G578+G582+G586</f>
        <v>119854.20000000001</v>
      </c>
    </row>
    <row r="570" spans="1:7" ht="41.25" customHeight="1">
      <c r="A570" s="28" t="s">
        <v>516</v>
      </c>
      <c r="B570" s="60" t="s">
        <v>413</v>
      </c>
      <c r="C570" s="59" t="s">
        <v>69</v>
      </c>
      <c r="D570" s="59" t="s">
        <v>67</v>
      </c>
      <c r="E570" s="59" t="s">
        <v>620</v>
      </c>
      <c r="F570" s="59"/>
      <c r="G570" s="58">
        <f>G571</f>
        <v>108841</v>
      </c>
    </row>
    <row r="571" spans="1:7" ht="31.5" customHeight="1">
      <c r="A571" s="28" t="s">
        <v>105</v>
      </c>
      <c r="B571" s="60" t="s">
        <v>413</v>
      </c>
      <c r="C571" s="59" t="s">
        <v>69</v>
      </c>
      <c r="D571" s="59" t="s">
        <v>67</v>
      </c>
      <c r="E571" s="59" t="s">
        <v>620</v>
      </c>
      <c r="F571" s="59" t="s">
        <v>106</v>
      </c>
      <c r="G571" s="58">
        <f>G572</f>
        <v>108841</v>
      </c>
    </row>
    <row r="572" spans="1:7" ht="18.75" customHeight="1">
      <c r="A572" s="28" t="s">
        <v>111</v>
      </c>
      <c r="B572" s="60" t="s">
        <v>413</v>
      </c>
      <c r="C572" s="59" t="s">
        <v>69</v>
      </c>
      <c r="D572" s="59" t="s">
        <v>67</v>
      </c>
      <c r="E572" s="59" t="s">
        <v>620</v>
      </c>
      <c r="F572" s="59" t="s">
        <v>112</v>
      </c>
      <c r="G572" s="58">
        <f>G573</f>
        <v>108841</v>
      </c>
    </row>
    <row r="573" spans="1:7" ht="41.25" customHeight="1">
      <c r="A573" s="28" t="s">
        <v>113</v>
      </c>
      <c r="B573" s="60" t="s">
        <v>413</v>
      </c>
      <c r="C573" s="59" t="s">
        <v>69</v>
      </c>
      <c r="D573" s="59" t="s">
        <v>67</v>
      </c>
      <c r="E573" s="59" t="s">
        <v>620</v>
      </c>
      <c r="F573" s="59" t="s">
        <v>114</v>
      </c>
      <c r="G573" s="58">
        <f>'МП пр.5'!G169</f>
        <v>108841</v>
      </c>
    </row>
    <row r="574" spans="1:7" ht="41.25" customHeight="1">
      <c r="A574" s="28" t="s">
        <v>503</v>
      </c>
      <c r="B574" s="60" t="s">
        <v>413</v>
      </c>
      <c r="C574" s="59" t="s">
        <v>69</v>
      </c>
      <c r="D574" s="59" t="s">
        <v>67</v>
      </c>
      <c r="E574" s="59" t="s">
        <v>616</v>
      </c>
      <c r="F574" s="59"/>
      <c r="G574" s="58">
        <f>G575</f>
        <v>1289.6</v>
      </c>
    </row>
    <row r="575" spans="1:7" ht="24" customHeight="1">
      <c r="A575" s="28" t="s">
        <v>105</v>
      </c>
      <c r="B575" s="60" t="s">
        <v>413</v>
      </c>
      <c r="C575" s="59" t="s">
        <v>69</v>
      </c>
      <c r="D575" s="59" t="s">
        <v>67</v>
      </c>
      <c r="E575" s="59" t="s">
        <v>616</v>
      </c>
      <c r="F575" s="59" t="s">
        <v>106</v>
      </c>
      <c r="G575" s="58">
        <f>G576</f>
        <v>1289.6</v>
      </c>
    </row>
    <row r="576" spans="1:7" ht="15.75" customHeight="1">
      <c r="A576" s="28" t="s">
        <v>111</v>
      </c>
      <c r="B576" s="60" t="s">
        <v>413</v>
      </c>
      <c r="C576" s="59" t="s">
        <v>69</v>
      </c>
      <c r="D576" s="59" t="s">
        <v>67</v>
      </c>
      <c r="E576" s="59" t="s">
        <v>616</v>
      </c>
      <c r="F576" s="59" t="s">
        <v>112</v>
      </c>
      <c r="G576" s="58">
        <f>G577</f>
        <v>1289.6</v>
      </c>
    </row>
    <row r="577" spans="1:7" ht="41.25" customHeight="1">
      <c r="A577" s="28" t="s">
        <v>113</v>
      </c>
      <c r="B577" s="60" t="s">
        <v>413</v>
      </c>
      <c r="C577" s="59" t="s">
        <v>69</v>
      </c>
      <c r="D577" s="59" t="s">
        <v>67</v>
      </c>
      <c r="E577" s="59" t="s">
        <v>616</v>
      </c>
      <c r="F577" s="59" t="s">
        <v>114</v>
      </c>
      <c r="G577" s="58">
        <f>'МП пр.5'!G181</f>
        <v>1289.6</v>
      </c>
    </row>
    <row r="578" spans="1:7" ht="41.25" customHeight="1">
      <c r="A578" s="28" t="s">
        <v>504</v>
      </c>
      <c r="B578" s="60" t="s">
        <v>413</v>
      </c>
      <c r="C578" s="59" t="s">
        <v>69</v>
      </c>
      <c r="D578" s="59" t="s">
        <v>67</v>
      </c>
      <c r="E578" s="59" t="s">
        <v>617</v>
      </c>
      <c r="F578" s="59"/>
      <c r="G578" s="58">
        <f>G579</f>
        <v>2743.5</v>
      </c>
    </row>
    <row r="579" spans="1:7" ht="24" customHeight="1">
      <c r="A579" s="28" t="s">
        <v>105</v>
      </c>
      <c r="B579" s="60" t="s">
        <v>413</v>
      </c>
      <c r="C579" s="59" t="s">
        <v>69</v>
      </c>
      <c r="D579" s="59" t="s">
        <v>67</v>
      </c>
      <c r="E579" s="59" t="s">
        <v>617</v>
      </c>
      <c r="F579" s="59" t="s">
        <v>106</v>
      </c>
      <c r="G579" s="58">
        <f>G580</f>
        <v>2743.5</v>
      </c>
    </row>
    <row r="580" spans="1:7" ht="15.75" customHeight="1">
      <c r="A580" s="28" t="s">
        <v>111</v>
      </c>
      <c r="B580" s="60" t="s">
        <v>413</v>
      </c>
      <c r="C580" s="59" t="s">
        <v>69</v>
      </c>
      <c r="D580" s="59" t="s">
        <v>67</v>
      </c>
      <c r="E580" s="59" t="s">
        <v>617</v>
      </c>
      <c r="F580" s="59" t="s">
        <v>112</v>
      </c>
      <c r="G580" s="58">
        <f>G581</f>
        <v>2743.5</v>
      </c>
    </row>
    <row r="581" spans="1:7" ht="41.25" customHeight="1">
      <c r="A581" s="28" t="s">
        <v>113</v>
      </c>
      <c r="B581" s="60" t="s">
        <v>413</v>
      </c>
      <c r="C581" s="59" t="s">
        <v>69</v>
      </c>
      <c r="D581" s="59" t="s">
        <v>67</v>
      </c>
      <c r="E581" s="59" t="s">
        <v>617</v>
      </c>
      <c r="F581" s="59" t="s">
        <v>114</v>
      </c>
      <c r="G581" s="58">
        <f>'МП пр.5'!G199</f>
        <v>2743.5</v>
      </c>
    </row>
    <row r="582" spans="1:7" ht="27" customHeight="1">
      <c r="A582" s="28" t="s">
        <v>517</v>
      </c>
      <c r="B582" s="60" t="s">
        <v>413</v>
      </c>
      <c r="C582" s="59" t="s">
        <v>69</v>
      </c>
      <c r="D582" s="59" t="s">
        <v>67</v>
      </c>
      <c r="E582" s="59" t="s">
        <v>621</v>
      </c>
      <c r="F582" s="59"/>
      <c r="G582" s="58">
        <f>G583</f>
        <v>1150.5</v>
      </c>
    </row>
    <row r="583" spans="1:7" ht="29.25" customHeight="1">
      <c r="A583" s="28" t="s">
        <v>105</v>
      </c>
      <c r="B583" s="60" t="s">
        <v>413</v>
      </c>
      <c r="C583" s="59" t="s">
        <v>69</v>
      </c>
      <c r="D583" s="59" t="s">
        <v>67</v>
      </c>
      <c r="E583" s="59" t="s">
        <v>621</v>
      </c>
      <c r="F583" s="59" t="s">
        <v>106</v>
      </c>
      <c r="G583" s="58">
        <f>G584</f>
        <v>1150.5</v>
      </c>
    </row>
    <row r="584" spans="1:7" ht="15" customHeight="1">
      <c r="A584" s="28" t="s">
        <v>111</v>
      </c>
      <c r="B584" s="60" t="s">
        <v>413</v>
      </c>
      <c r="C584" s="59" t="s">
        <v>69</v>
      </c>
      <c r="D584" s="59" t="s">
        <v>67</v>
      </c>
      <c r="E584" s="59" t="s">
        <v>621</v>
      </c>
      <c r="F584" s="59" t="s">
        <v>112</v>
      </c>
      <c r="G584" s="58">
        <f>G585</f>
        <v>1150.5</v>
      </c>
    </row>
    <row r="585" spans="1:7" ht="41.25" customHeight="1">
      <c r="A585" s="28" t="s">
        <v>113</v>
      </c>
      <c r="B585" s="60" t="s">
        <v>413</v>
      </c>
      <c r="C585" s="59" t="s">
        <v>69</v>
      </c>
      <c r="D585" s="59" t="s">
        <v>67</v>
      </c>
      <c r="E585" s="59" t="s">
        <v>621</v>
      </c>
      <c r="F585" s="59" t="s">
        <v>114</v>
      </c>
      <c r="G585" s="58">
        <f>'МП пр.5'!G219</f>
        <v>1150.5</v>
      </c>
    </row>
    <row r="586" spans="1:7" ht="41.25" customHeight="1">
      <c r="A586" s="28" t="s">
        <v>506</v>
      </c>
      <c r="B586" s="60" t="s">
        <v>413</v>
      </c>
      <c r="C586" s="59" t="s">
        <v>69</v>
      </c>
      <c r="D586" s="59" t="s">
        <v>67</v>
      </c>
      <c r="E586" s="59" t="s">
        <v>619</v>
      </c>
      <c r="F586" s="59"/>
      <c r="G586" s="58">
        <f>G587</f>
        <v>5829.6</v>
      </c>
    </row>
    <row r="587" spans="1:7" ht="24" customHeight="1">
      <c r="A587" s="28" t="s">
        <v>105</v>
      </c>
      <c r="B587" s="60" t="s">
        <v>413</v>
      </c>
      <c r="C587" s="59" t="s">
        <v>69</v>
      </c>
      <c r="D587" s="59" t="s">
        <v>67</v>
      </c>
      <c r="E587" s="59" t="s">
        <v>619</v>
      </c>
      <c r="F587" s="59" t="s">
        <v>106</v>
      </c>
      <c r="G587" s="58">
        <f>G588</f>
        <v>5829.6</v>
      </c>
    </row>
    <row r="588" spans="1:7" ht="12" customHeight="1">
      <c r="A588" s="28" t="s">
        <v>111</v>
      </c>
      <c r="B588" s="60" t="s">
        <v>413</v>
      </c>
      <c r="C588" s="59" t="s">
        <v>69</v>
      </c>
      <c r="D588" s="59" t="s">
        <v>67</v>
      </c>
      <c r="E588" s="59" t="s">
        <v>619</v>
      </c>
      <c r="F588" s="59" t="s">
        <v>112</v>
      </c>
      <c r="G588" s="58">
        <f>G589</f>
        <v>5829.6</v>
      </c>
    </row>
    <row r="589" spans="1:7" ht="15" customHeight="1">
      <c r="A589" s="28" t="s">
        <v>115</v>
      </c>
      <c r="B589" s="60" t="s">
        <v>413</v>
      </c>
      <c r="C589" s="59" t="s">
        <v>69</v>
      </c>
      <c r="D589" s="59" t="s">
        <v>67</v>
      </c>
      <c r="E589" s="59" t="s">
        <v>619</v>
      </c>
      <c r="F589" s="59" t="s">
        <v>116</v>
      </c>
      <c r="G589" s="58">
        <f>'МП пр.5'!G231</f>
        <v>5829.6</v>
      </c>
    </row>
    <row r="590" spans="1:7" ht="25.5">
      <c r="A590" s="126" t="s">
        <v>507</v>
      </c>
      <c r="B590" s="60" t="s">
        <v>413</v>
      </c>
      <c r="C590" s="59" t="s">
        <v>69</v>
      </c>
      <c r="D590" s="60" t="s">
        <v>67</v>
      </c>
      <c r="E590" s="161" t="s">
        <v>176</v>
      </c>
      <c r="F590" s="59"/>
      <c r="G590" s="58">
        <f>G591</f>
        <v>945.2</v>
      </c>
    </row>
    <row r="591" spans="1:7" ht="25.5">
      <c r="A591" s="126" t="s">
        <v>291</v>
      </c>
      <c r="B591" s="60" t="s">
        <v>413</v>
      </c>
      <c r="C591" s="59" t="s">
        <v>69</v>
      </c>
      <c r="D591" s="59" t="s">
        <v>67</v>
      </c>
      <c r="E591" s="161" t="s">
        <v>508</v>
      </c>
      <c r="F591" s="59"/>
      <c r="G591" s="58">
        <f>G592+G600+G604+G596</f>
        <v>945.2</v>
      </c>
    </row>
    <row r="592" spans="1:7" ht="12.75">
      <c r="A592" s="126" t="s">
        <v>175</v>
      </c>
      <c r="B592" s="60" t="s">
        <v>413</v>
      </c>
      <c r="C592" s="59" t="s">
        <v>69</v>
      </c>
      <c r="D592" s="59" t="s">
        <v>67</v>
      </c>
      <c r="E592" s="161" t="s">
        <v>509</v>
      </c>
      <c r="F592" s="59"/>
      <c r="G592" s="58">
        <f>G593</f>
        <v>532.2</v>
      </c>
    </row>
    <row r="593" spans="1:7" ht="25.5">
      <c r="A593" s="28" t="s">
        <v>105</v>
      </c>
      <c r="B593" s="60" t="s">
        <v>413</v>
      </c>
      <c r="C593" s="59" t="s">
        <v>69</v>
      </c>
      <c r="D593" s="59" t="s">
        <v>67</v>
      </c>
      <c r="E593" s="161" t="s">
        <v>509</v>
      </c>
      <c r="F593" s="59" t="s">
        <v>106</v>
      </c>
      <c r="G593" s="58">
        <f>G594</f>
        <v>532.2</v>
      </c>
    </row>
    <row r="594" spans="1:7" ht="12.75">
      <c r="A594" s="28" t="s">
        <v>111</v>
      </c>
      <c r="B594" s="60" t="s">
        <v>413</v>
      </c>
      <c r="C594" s="59" t="s">
        <v>69</v>
      </c>
      <c r="D594" s="59" t="s">
        <v>67</v>
      </c>
      <c r="E594" s="161" t="s">
        <v>509</v>
      </c>
      <c r="F594" s="59" t="s">
        <v>112</v>
      </c>
      <c r="G594" s="58">
        <f>G595</f>
        <v>532.2</v>
      </c>
    </row>
    <row r="595" spans="1:7" ht="12.75">
      <c r="A595" s="28" t="s">
        <v>115</v>
      </c>
      <c r="B595" s="60" t="s">
        <v>413</v>
      </c>
      <c r="C595" s="59" t="s">
        <v>69</v>
      </c>
      <c r="D595" s="59" t="s">
        <v>67</v>
      </c>
      <c r="E595" s="161" t="s">
        <v>509</v>
      </c>
      <c r="F595" s="59" t="s">
        <v>116</v>
      </c>
      <c r="G595" s="58">
        <f>'МП пр.5'!G116</f>
        <v>532.2</v>
      </c>
    </row>
    <row r="596" spans="1:7" ht="12.75">
      <c r="A596" s="16" t="str">
        <f>'МП пр.5'!A122</f>
        <v>Замена щитов освещения</v>
      </c>
      <c r="B596" s="60" t="s">
        <v>413</v>
      </c>
      <c r="C596" s="59" t="s">
        <v>69</v>
      </c>
      <c r="D596" s="59" t="s">
        <v>67</v>
      </c>
      <c r="E596" s="161" t="str">
        <f>'МП пр.5'!B122</f>
        <v>7Б 0 04 91700 </v>
      </c>
      <c r="F596" s="59"/>
      <c r="G596" s="58">
        <f>G597</f>
        <v>168</v>
      </c>
    </row>
    <row r="597" spans="1:7" ht="25.5">
      <c r="A597" s="28" t="s">
        <v>105</v>
      </c>
      <c r="B597" s="60" t="s">
        <v>413</v>
      </c>
      <c r="C597" s="59" t="s">
        <v>69</v>
      </c>
      <c r="D597" s="59" t="s">
        <v>67</v>
      </c>
      <c r="E597" s="161" t="s">
        <v>831</v>
      </c>
      <c r="F597" s="59" t="s">
        <v>106</v>
      </c>
      <c r="G597" s="58">
        <f>G598</f>
        <v>168</v>
      </c>
    </row>
    <row r="598" spans="1:7" ht="12.75">
      <c r="A598" s="28" t="s">
        <v>111</v>
      </c>
      <c r="B598" s="60" t="s">
        <v>413</v>
      </c>
      <c r="C598" s="59" t="s">
        <v>69</v>
      </c>
      <c r="D598" s="59" t="s">
        <v>67</v>
      </c>
      <c r="E598" s="161" t="s">
        <v>831</v>
      </c>
      <c r="F598" s="59" t="s">
        <v>112</v>
      </c>
      <c r="G598" s="58">
        <f>G599</f>
        <v>168</v>
      </c>
    </row>
    <row r="599" spans="1:7" ht="12.75">
      <c r="A599" s="28" t="s">
        <v>115</v>
      </c>
      <c r="B599" s="60" t="s">
        <v>413</v>
      </c>
      <c r="C599" s="59" t="s">
        <v>69</v>
      </c>
      <c r="D599" s="59" t="s">
        <v>67</v>
      </c>
      <c r="E599" s="161" t="s">
        <v>831</v>
      </c>
      <c r="F599" s="59" t="s">
        <v>116</v>
      </c>
      <c r="G599" s="58">
        <f>'МП пр.5'!G128</f>
        <v>168</v>
      </c>
    </row>
    <row r="600" spans="1:7" ht="12.75">
      <c r="A600" s="126" t="s">
        <v>518</v>
      </c>
      <c r="B600" s="60" t="s">
        <v>413</v>
      </c>
      <c r="C600" s="59" t="s">
        <v>69</v>
      </c>
      <c r="D600" s="59" t="s">
        <v>67</v>
      </c>
      <c r="E600" s="161" t="s">
        <v>519</v>
      </c>
      <c r="F600" s="59"/>
      <c r="G600" s="58">
        <f>G601</f>
        <v>210</v>
      </c>
    </row>
    <row r="601" spans="1:7" ht="25.5">
      <c r="A601" s="28" t="s">
        <v>105</v>
      </c>
      <c r="B601" s="60" t="s">
        <v>413</v>
      </c>
      <c r="C601" s="59" t="s">
        <v>69</v>
      </c>
      <c r="D601" s="59" t="s">
        <v>67</v>
      </c>
      <c r="E601" s="161" t="s">
        <v>519</v>
      </c>
      <c r="F601" s="59" t="s">
        <v>106</v>
      </c>
      <c r="G601" s="58">
        <f>G602</f>
        <v>210</v>
      </c>
    </row>
    <row r="602" spans="1:7" ht="12.75">
      <c r="A602" s="28" t="s">
        <v>111</v>
      </c>
      <c r="B602" s="60" t="s">
        <v>413</v>
      </c>
      <c r="C602" s="59" t="s">
        <v>69</v>
      </c>
      <c r="D602" s="59" t="s">
        <v>67</v>
      </c>
      <c r="E602" s="161" t="s">
        <v>519</v>
      </c>
      <c r="F602" s="59" t="s">
        <v>112</v>
      </c>
      <c r="G602" s="58">
        <f>G603</f>
        <v>210</v>
      </c>
    </row>
    <row r="603" spans="1:7" ht="15" customHeight="1">
      <c r="A603" s="28" t="s">
        <v>115</v>
      </c>
      <c r="B603" s="60" t="s">
        <v>413</v>
      </c>
      <c r="C603" s="59" t="s">
        <v>69</v>
      </c>
      <c r="D603" s="59" t="s">
        <v>67</v>
      </c>
      <c r="E603" s="161" t="s">
        <v>519</v>
      </c>
      <c r="F603" s="59" t="s">
        <v>116</v>
      </c>
      <c r="G603" s="58">
        <f>'МП пр.5'!G135</f>
        <v>210</v>
      </c>
    </row>
    <row r="604" spans="1:7" ht="12.75">
      <c r="A604" s="126" t="s">
        <v>520</v>
      </c>
      <c r="B604" s="60" t="s">
        <v>413</v>
      </c>
      <c r="C604" s="59" t="s">
        <v>69</v>
      </c>
      <c r="D604" s="59" t="s">
        <v>67</v>
      </c>
      <c r="E604" s="161" t="s">
        <v>521</v>
      </c>
      <c r="F604" s="59"/>
      <c r="G604" s="58">
        <f>G605</f>
        <v>35</v>
      </c>
    </row>
    <row r="605" spans="1:7" ht="25.5">
      <c r="A605" s="28" t="s">
        <v>105</v>
      </c>
      <c r="B605" s="60" t="s">
        <v>413</v>
      </c>
      <c r="C605" s="59" t="s">
        <v>69</v>
      </c>
      <c r="D605" s="59" t="s">
        <v>67</v>
      </c>
      <c r="E605" s="161" t="s">
        <v>521</v>
      </c>
      <c r="F605" s="59" t="s">
        <v>106</v>
      </c>
      <c r="G605" s="58">
        <f>G606</f>
        <v>35</v>
      </c>
    </row>
    <row r="606" spans="1:7" ht="12.75">
      <c r="A606" s="28" t="s">
        <v>111</v>
      </c>
      <c r="B606" s="60" t="s">
        <v>413</v>
      </c>
      <c r="C606" s="59" t="s">
        <v>69</v>
      </c>
      <c r="D606" s="59" t="s">
        <v>67</v>
      </c>
      <c r="E606" s="161" t="s">
        <v>521</v>
      </c>
      <c r="F606" s="59" t="s">
        <v>112</v>
      </c>
      <c r="G606" s="58">
        <f>G607</f>
        <v>35</v>
      </c>
    </row>
    <row r="607" spans="1:7" ht="12.75">
      <c r="A607" s="28" t="s">
        <v>115</v>
      </c>
      <c r="B607" s="60" t="s">
        <v>413</v>
      </c>
      <c r="C607" s="59" t="s">
        <v>69</v>
      </c>
      <c r="D607" s="59" t="s">
        <v>67</v>
      </c>
      <c r="E607" s="161" t="s">
        <v>521</v>
      </c>
      <c r="F607" s="59" t="s">
        <v>116</v>
      </c>
      <c r="G607" s="58">
        <f>'МП пр.5'!G142</f>
        <v>35</v>
      </c>
    </row>
    <row r="608" spans="1:7" ht="25.5">
      <c r="A608" s="126" t="s">
        <v>510</v>
      </c>
      <c r="B608" s="60" t="s">
        <v>413</v>
      </c>
      <c r="C608" s="60" t="s">
        <v>69</v>
      </c>
      <c r="D608" s="60" t="s">
        <v>67</v>
      </c>
      <c r="E608" s="161" t="s">
        <v>177</v>
      </c>
      <c r="F608" s="60"/>
      <c r="G608" s="58">
        <f>G609</f>
        <v>4494.9</v>
      </c>
    </row>
    <row r="609" spans="1:7" ht="25.5">
      <c r="A609" s="126" t="s">
        <v>280</v>
      </c>
      <c r="B609" s="60" t="s">
        <v>413</v>
      </c>
      <c r="C609" s="59" t="s">
        <v>69</v>
      </c>
      <c r="D609" s="59" t="s">
        <v>67</v>
      </c>
      <c r="E609" s="161" t="s">
        <v>324</v>
      </c>
      <c r="F609" s="59"/>
      <c r="G609" s="58">
        <f>G610+G614+G618+G622+G630+G626</f>
        <v>4494.9</v>
      </c>
    </row>
    <row r="610" spans="1:7" ht="12.75">
      <c r="A610" s="126" t="s">
        <v>511</v>
      </c>
      <c r="B610" s="60" t="s">
        <v>413</v>
      </c>
      <c r="C610" s="59" t="s">
        <v>69</v>
      </c>
      <c r="D610" s="59" t="s">
        <v>67</v>
      </c>
      <c r="E610" s="161" t="s">
        <v>512</v>
      </c>
      <c r="F610" s="59"/>
      <c r="G610" s="58">
        <f>G611</f>
        <v>219</v>
      </c>
    </row>
    <row r="611" spans="1:7" ht="25.5">
      <c r="A611" s="28" t="s">
        <v>105</v>
      </c>
      <c r="B611" s="60" t="s">
        <v>413</v>
      </c>
      <c r="C611" s="59" t="s">
        <v>69</v>
      </c>
      <c r="D611" s="59" t="s">
        <v>67</v>
      </c>
      <c r="E611" s="161" t="s">
        <v>512</v>
      </c>
      <c r="F611" s="59" t="s">
        <v>106</v>
      </c>
      <c r="G611" s="58">
        <f>G612</f>
        <v>219</v>
      </c>
    </row>
    <row r="612" spans="1:7" ht="16.5" customHeight="1">
      <c r="A612" s="28" t="s">
        <v>111</v>
      </c>
      <c r="B612" s="60" t="s">
        <v>413</v>
      </c>
      <c r="C612" s="59" t="s">
        <v>69</v>
      </c>
      <c r="D612" s="59" t="s">
        <v>67</v>
      </c>
      <c r="E612" s="161" t="s">
        <v>512</v>
      </c>
      <c r="F612" s="59" t="s">
        <v>112</v>
      </c>
      <c r="G612" s="58">
        <f>G613</f>
        <v>219</v>
      </c>
    </row>
    <row r="613" spans="1:7" ht="12.75">
      <c r="A613" s="28" t="s">
        <v>115</v>
      </c>
      <c r="B613" s="60" t="s">
        <v>413</v>
      </c>
      <c r="C613" s="59" t="s">
        <v>69</v>
      </c>
      <c r="D613" s="59" t="s">
        <v>67</v>
      </c>
      <c r="E613" s="161" t="s">
        <v>512</v>
      </c>
      <c r="F613" s="59" t="s">
        <v>116</v>
      </c>
      <c r="G613" s="58">
        <f>'МП пр.5'!G462</f>
        <v>219</v>
      </c>
    </row>
    <row r="614" spans="1:7" ht="25.5">
      <c r="A614" s="28" t="s">
        <v>522</v>
      </c>
      <c r="B614" s="60" t="s">
        <v>413</v>
      </c>
      <c r="C614" s="59" t="s">
        <v>69</v>
      </c>
      <c r="D614" s="59" t="s">
        <v>67</v>
      </c>
      <c r="E614" s="59" t="s">
        <v>523</v>
      </c>
      <c r="F614" s="63"/>
      <c r="G614" s="58">
        <f>G615</f>
        <v>1474.2</v>
      </c>
    </row>
    <row r="615" spans="1:7" ht="25.5">
      <c r="A615" s="28" t="s">
        <v>105</v>
      </c>
      <c r="B615" s="60" t="s">
        <v>413</v>
      </c>
      <c r="C615" s="59" t="s">
        <v>69</v>
      </c>
      <c r="D615" s="59" t="s">
        <v>67</v>
      </c>
      <c r="E615" s="59" t="s">
        <v>523</v>
      </c>
      <c r="F615" s="59" t="s">
        <v>106</v>
      </c>
      <c r="G615" s="58">
        <f>G616</f>
        <v>1474.2</v>
      </c>
    </row>
    <row r="616" spans="1:7" ht="26.25" customHeight="1">
      <c r="A616" s="28" t="s">
        <v>111</v>
      </c>
      <c r="B616" s="60" t="s">
        <v>413</v>
      </c>
      <c r="C616" s="59" t="s">
        <v>69</v>
      </c>
      <c r="D616" s="59" t="s">
        <v>67</v>
      </c>
      <c r="E616" s="59" t="s">
        <v>523</v>
      </c>
      <c r="F616" s="59" t="s">
        <v>112</v>
      </c>
      <c r="G616" s="58">
        <f>G617</f>
        <v>1474.2</v>
      </c>
    </row>
    <row r="617" spans="1:7" ht="14.25" customHeight="1">
      <c r="A617" s="28" t="s">
        <v>115</v>
      </c>
      <c r="B617" s="60" t="s">
        <v>413</v>
      </c>
      <c r="C617" s="59" t="s">
        <v>69</v>
      </c>
      <c r="D617" s="59" t="s">
        <v>67</v>
      </c>
      <c r="E617" s="59" t="s">
        <v>523</v>
      </c>
      <c r="F617" s="59" t="s">
        <v>116</v>
      </c>
      <c r="G617" s="58">
        <f>'МП пр.5'!G469</f>
        <v>1474.2</v>
      </c>
    </row>
    <row r="618" spans="1:7" ht="25.5">
      <c r="A618" s="28" t="s">
        <v>524</v>
      </c>
      <c r="B618" s="60" t="s">
        <v>413</v>
      </c>
      <c r="C618" s="59" t="s">
        <v>69</v>
      </c>
      <c r="D618" s="59" t="s">
        <v>67</v>
      </c>
      <c r="E618" s="59" t="s">
        <v>525</v>
      </c>
      <c r="F618" s="59"/>
      <c r="G618" s="58">
        <f>G619</f>
        <v>1671.2</v>
      </c>
    </row>
    <row r="619" spans="1:7" ht="25.5">
      <c r="A619" s="28" t="s">
        <v>105</v>
      </c>
      <c r="B619" s="60" t="s">
        <v>413</v>
      </c>
      <c r="C619" s="59" t="s">
        <v>69</v>
      </c>
      <c r="D619" s="59" t="s">
        <v>67</v>
      </c>
      <c r="E619" s="59" t="s">
        <v>525</v>
      </c>
      <c r="F619" s="59" t="s">
        <v>106</v>
      </c>
      <c r="G619" s="58">
        <f>G620</f>
        <v>1671.2</v>
      </c>
    </row>
    <row r="620" spans="1:7" ht="12.75">
      <c r="A620" s="28" t="s">
        <v>111</v>
      </c>
      <c r="B620" s="60" t="s">
        <v>413</v>
      </c>
      <c r="C620" s="59" t="s">
        <v>69</v>
      </c>
      <c r="D620" s="59" t="s">
        <v>67</v>
      </c>
      <c r="E620" s="59" t="s">
        <v>525</v>
      </c>
      <c r="F620" s="59" t="s">
        <v>112</v>
      </c>
      <c r="G620" s="58">
        <f>G621</f>
        <v>1671.2</v>
      </c>
    </row>
    <row r="621" spans="1:7" ht="12.75">
      <c r="A621" s="28" t="s">
        <v>115</v>
      </c>
      <c r="B621" s="60" t="s">
        <v>413</v>
      </c>
      <c r="C621" s="59" t="s">
        <v>69</v>
      </c>
      <c r="D621" s="59" t="s">
        <v>67</v>
      </c>
      <c r="E621" s="59" t="s">
        <v>525</v>
      </c>
      <c r="F621" s="59" t="s">
        <v>116</v>
      </c>
      <c r="G621" s="58">
        <f>'МП пр.5'!G476</f>
        <v>1671.2</v>
      </c>
    </row>
    <row r="622" spans="1:7" ht="25.5">
      <c r="A622" s="126" t="s">
        <v>526</v>
      </c>
      <c r="B622" s="60" t="s">
        <v>413</v>
      </c>
      <c r="C622" s="59" t="s">
        <v>69</v>
      </c>
      <c r="D622" s="59" t="s">
        <v>67</v>
      </c>
      <c r="E622" s="161" t="s">
        <v>527</v>
      </c>
      <c r="F622" s="59"/>
      <c r="G622" s="58">
        <f>G623</f>
        <v>796.9</v>
      </c>
    </row>
    <row r="623" spans="1:7" ht="25.5">
      <c r="A623" s="28" t="s">
        <v>105</v>
      </c>
      <c r="B623" s="60" t="s">
        <v>413</v>
      </c>
      <c r="C623" s="59" t="s">
        <v>69</v>
      </c>
      <c r="D623" s="59" t="s">
        <v>67</v>
      </c>
      <c r="E623" s="161" t="s">
        <v>527</v>
      </c>
      <c r="F623" s="59" t="s">
        <v>106</v>
      </c>
      <c r="G623" s="58">
        <f>G624</f>
        <v>796.9</v>
      </c>
    </row>
    <row r="624" spans="1:7" ht="12.75">
      <c r="A624" s="28" t="s">
        <v>111</v>
      </c>
      <c r="B624" s="60" t="s">
        <v>413</v>
      </c>
      <c r="C624" s="59" t="s">
        <v>69</v>
      </c>
      <c r="D624" s="59" t="s">
        <v>67</v>
      </c>
      <c r="E624" s="161" t="s">
        <v>527</v>
      </c>
      <c r="F624" s="59" t="s">
        <v>112</v>
      </c>
      <c r="G624" s="58">
        <f>G625</f>
        <v>796.9</v>
      </c>
    </row>
    <row r="625" spans="1:7" ht="12.75">
      <c r="A625" s="28" t="s">
        <v>115</v>
      </c>
      <c r="B625" s="60" t="s">
        <v>413</v>
      </c>
      <c r="C625" s="59" t="s">
        <v>69</v>
      </c>
      <c r="D625" s="59" t="s">
        <v>67</v>
      </c>
      <c r="E625" s="161" t="s">
        <v>527</v>
      </c>
      <c r="F625" s="59" t="s">
        <v>116</v>
      </c>
      <c r="G625" s="58">
        <f>'МП пр.5'!G483</f>
        <v>796.9</v>
      </c>
    </row>
    <row r="626" spans="1:7" ht="25.5">
      <c r="A626" s="126" t="s">
        <v>528</v>
      </c>
      <c r="B626" s="60" t="s">
        <v>413</v>
      </c>
      <c r="C626" s="59" t="s">
        <v>69</v>
      </c>
      <c r="D626" s="59" t="s">
        <v>67</v>
      </c>
      <c r="E626" s="161" t="s">
        <v>529</v>
      </c>
      <c r="F626" s="59"/>
      <c r="G626" s="58">
        <f>G627</f>
        <v>299.4</v>
      </c>
    </row>
    <row r="627" spans="1:7" ht="25.5">
      <c r="A627" s="28" t="s">
        <v>105</v>
      </c>
      <c r="B627" s="60" t="s">
        <v>413</v>
      </c>
      <c r="C627" s="59" t="s">
        <v>69</v>
      </c>
      <c r="D627" s="59" t="s">
        <v>67</v>
      </c>
      <c r="E627" s="161" t="s">
        <v>529</v>
      </c>
      <c r="F627" s="59" t="s">
        <v>106</v>
      </c>
      <c r="G627" s="58">
        <f>G628</f>
        <v>299.4</v>
      </c>
    </row>
    <row r="628" spans="1:7" ht="12.75">
      <c r="A628" s="28" t="s">
        <v>111</v>
      </c>
      <c r="B628" s="60" t="s">
        <v>413</v>
      </c>
      <c r="C628" s="59" t="s">
        <v>69</v>
      </c>
      <c r="D628" s="59" t="s">
        <v>67</v>
      </c>
      <c r="E628" s="161" t="s">
        <v>529</v>
      </c>
      <c r="F628" s="59" t="s">
        <v>112</v>
      </c>
      <c r="G628" s="58">
        <f>G629</f>
        <v>299.4</v>
      </c>
    </row>
    <row r="629" spans="1:7" ht="12.75">
      <c r="A629" s="28" t="s">
        <v>115</v>
      </c>
      <c r="B629" s="60" t="s">
        <v>413</v>
      </c>
      <c r="C629" s="59" t="s">
        <v>69</v>
      </c>
      <c r="D629" s="59" t="s">
        <v>67</v>
      </c>
      <c r="E629" s="161" t="s">
        <v>529</v>
      </c>
      <c r="F629" s="59" t="s">
        <v>116</v>
      </c>
      <c r="G629" s="58">
        <f>'МП пр.5'!G490</f>
        <v>299.4</v>
      </c>
    </row>
    <row r="630" spans="1:7" ht="12.75">
      <c r="A630" s="126" t="s">
        <v>292</v>
      </c>
      <c r="B630" s="60" t="s">
        <v>413</v>
      </c>
      <c r="C630" s="59" t="s">
        <v>69</v>
      </c>
      <c r="D630" s="59" t="s">
        <v>67</v>
      </c>
      <c r="E630" s="161" t="s">
        <v>329</v>
      </c>
      <c r="F630" s="59"/>
      <c r="G630" s="58">
        <f>G631</f>
        <v>34.2</v>
      </c>
    </row>
    <row r="631" spans="1:7" ht="25.5">
      <c r="A631" s="28" t="s">
        <v>105</v>
      </c>
      <c r="B631" s="60" t="s">
        <v>413</v>
      </c>
      <c r="C631" s="59" t="s">
        <v>69</v>
      </c>
      <c r="D631" s="59" t="s">
        <v>67</v>
      </c>
      <c r="E631" s="161" t="s">
        <v>329</v>
      </c>
      <c r="F631" s="59" t="s">
        <v>106</v>
      </c>
      <c r="G631" s="58">
        <f>G632</f>
        <v>34.2</v>
      </c>
    </row>
    <row r="632" spans="1:7" ht="12.75">
      <c r="A632" s="28" t="s">
        <v>111</v>
      </c>
      <c r="B632" s="60" t="s">
        <v>413</v>
      </c>
      <c r="C632" s="59" t="s">
        <v>69</v>
      </c>
      <c r="D632" s="59" t="s">
        <v>67</v>
      </c>
      <c r="E632" s="161" t="s">
        <v>329</v>
      </c>
      <c r="F632" s="59" t="s">
        <v>112</v>
      </c>
      <c r="G632" s="58">
        <f>G633</f>
        <v>34.2</v>
      </c>
    </row>
    <row r="633" spans="1:7" ht="12.75">
      <c r="A633" s="28" t="s">
        <v>115</v>
      </c>
      <c r="B633" s="60" t="s">
        <v>413</v>
      </c>
      <c r="C633" s="59" t="s">
        <v>69</v>
      </c>
      <c r="D633" s="59" t="s">
        <v>67</v>
      </c>
      <c r="E633" s="161" t="s">
        <v>329</v>
      </c>
      <c r="F633" s="59" t="s">
        <v>116</v>
      </c>
      <c r="G633" s="58">
        <f>'МП пр.5'!G497</f>
        <v>34.2</v>
      </c>
    </row>
    <row r="634" spans="1:7" ht="25.5">
      <c r="A634" s="126" t="s">
        <v>513</v>
      </c>
      <c r="B634" s="60" t="s">
        <v>413</v>
      </c>
      <c r="C634" s="59" t="s">
        <v>69</v>
      </c>
      <c r="D634" s="59" t="s">
        <v>67</v>
      </c>
      <c r="E634" s="161" t="s">
        <v>180</v>
      </c>
      <c r="F634" s="59"/>
      <c r="G634" s="58">
        <f>G635</f>
        <v>1249.8000000000002</v>
      </c>
    </row>
    <row r="635" spans="1:7" ht="25.5">
      <c r="A635" s="126" t="s">
        <v>251</v>
      </c>
      <c r="B635" s="60" t="s">
        <v>413</v>
      </c>
      <c r="C635" s="59" t="s">
        <v>69</v>
      </c>
      <c r="D635" s="59" t="s">
        <v>67</v>
      </c>
      <c r="E635" s="161" t="s">
        <v>325</v>
      </c>
      <c r="F635" s="59"/>
      <c r="G635" s="58">
        <f>G636+G640+G644+G648+G652</f>
        <v>1249.8000000000002</v>
      </c>
    </row>
    <row r="636" spans="1:7" ht="12.75">
      <c r="A636" s="126" t="s">
        <v>179</v>
      </c>
      <c r="B636" s="60" t="s">
        <v>413</v>
      </c>
      <c r="C636" s="59" t="s">
        <v>69</v>
      </c>
      <c r="D636" s="59" t="s">
        <v>67</v>
      </c>
      <c r="E636" s="161" t="s">
        <v>326</v>
      </c>
      <c r="F636" s="59"/>
      <c r="G636" s="58">
        <f>G637</f>
        <v>845.6000000000001</v>
      </c>
    </row>
    <row r="637" spans="1:7" ht="25.5">
      <c r="A637" s="28" t="s">
        <v>105</v>
      </c>
      <c r="B637" s="60" t="s">
        <v>413</v>
      </c>
      <c r="C637" s="59" t="s">
        <v>69</v>
      </c>
      <c r="D637" s="59" t="s">
        <v>67</v>
      </c>
      <c r="E637" s="161" t="s">
        <v>326</v>
      </c>
      <c r="F637" s="59" t="s">
        <v>106</v>
      </c>
      <c r="G637" s="58">
        <f>G638</f>
        <v>845.6000000000001</v>
      </c>
    </row>
    <row r="638" spans="1:7" ht="12.75">
      <c r="A638" s="28" t="s">
        <v>111</v>
      </c>
      <c r="B638" s="60" t="s">
        <v>413</v>
      </c>
      <c r="C638" s="59" t="s">
        <v>69</v>
      </c>
      <c r="D638" s="59" t="s">
        <v>67</v>
      </c>
      <c r="E638" s="161" t="s">
        <v>326</v>
      </c>
      <c r="F638" s="59" t="s">
        <v>112</v>
      </c>
      <c r="G638" s="58">
        <f>G639</f>
        <v>845.6000000000001</v>
      </c>
    </row>
    <row r="639" spans="1:7" ht="12.75">
      <c r="A639" s="28" t="s">
        <v>115</v>
      </c>
      <c r="B639" s="60" t="s">
        <v>413</v>
      </c>
      <c r="C639" s="59" t="s">
        <v>69</v>
      </c>
      <c r="D639" s="59" t="s">
        <v>67</v>
      </c>
      <c r="E639" s="161" t="s">
        <v>326</v>
      </c>
      <c r="F639" s="59" t="s">
        <v>116</v>
      </c>
      <c r="G639" s="58">
        <f>'МП пр.5'!G527</f>
        <v>845.6000000000001</v>
      </c>
    </row>
    <row r="640" spans="1:7" ht="12.75">
      <c r="A640" s="126" t="s">
        <v>182</v>
      </c>
      <c r="B640" s="60" t="s">
        <v>413</v>
      </c>
      <c r="C640" s="59" t="s">
        <v>69</v>
      </c>
      <c r="D640" s="59" t="s">
        <v>67</v>
      </c>
      <c r="E640" s="161" t="s">
        <v>330</v>
      </c>
      <c r="F640" s="59"/>
      <c r="G640" s="58">
        <f>G641</f>
        <v>119.7</v>
      </c>
    </row>
    <row r="641" spans="1:7" ht="27" customHeight="1">
      <c r="A641" s="28" t="s">
        <v>105</v>
      </c>
      <c r="B641" s="60" t="s">
        <v>413</v>
      </c>
      <c r="C641" s="59" t="s">
        <v>69</v>
      </c>
      <c r="D641" s="59" t="s">
        <v>67</v>
      </c>
      <c r="E641" s="161" t="s">
        <v>330</v>
      </c>
      <c r="F641" s="59" t="s">
        <v>106</v>
      </c>
      <c r="G641" s="58">
        <f>G642</f>
        <v>119.7</v>
      </c>
    </row>
    <row r="642" spans="1:7" ht="12.75">
      <c r="A642" s="28" t="s">
        <v>111</v>
      </c>
      <c r="B642" s="60" t="s">
        <v>413</v>
      </c>
      <c r="C642" s="59" t="s">
        <v>69</v>
      </c>
      <c r="D642" s="59" t="s">
        <v>67</v>
      </c>
      <c r="E642" s="161" t="s">
        <v>330</v>
      </c>
      <c r="F642" s="59" t="s">
        <v>112</v>
      </c>
      <c r="G642" s="58">
        <f>G643</f>
        <v>119.7</v>
      </c>
    </row>
    <row r="643" spans="1:7" ht="12.75">
      <c r="A643" s="28" t="s">
        <v>115</v>
      </c>
      <c r="B643" s="60" t="s">
        <v>413</v>
      </c>
      <c r="C643" s="59" t="s">
        <v>69</v>
      </c>
      <c r="D643" s="59" t="s">
        <v>67</v>
      </c>
      <c r="E643" s="161" t="s">
        <v>330</v>
      </c>
      <c r="F643" s="59" t="s">
        <v>116</v>
      </c>
      <c r="G643" s="58">
        <f>'МП пр.5'!G552</f>
        <v>119.7</v>
      </c>
    </row>
    <row r="644" spans="1:7" ht="12.75">
      <c r="A644" s="126" t="s">
        <v>290</v>
      </c>
      <c r="B644" s="60" t="s">
        <v>413</v>
      </c>
      <c r="C644" s="59" t="s">
        <v>69</v>
      </c>
      <c r="D644" s="59" t="s">
        <v>67</v>
      </c>
      <c r="E644" s="161" t="s">
        <v>327</v>
      </c>
      <c r="F644" s="59"/>
      <c r="G644" s="58">
        <f>G645</f>
        <v>175.90000000000006</v>
      </c>
    </row>
    <row r="645" spans="1:7" ht="25.5">
      <c r="A645" s="28" t="s">
        <v>105</v>
      </c>
      <c r="B645" s="60" t="s">
        <v>413</v>
      </c>
      <c r="C645" s="59" t="s">
        <v>69</v>
      </c>
      <c r="D645" s="59" t="s">
        <v>67</v>
      </c>
      <c r="E645" s="161" t="s">
        <v>327</v>
      </c>
      <c r="F645" s="59" t="s">
        <v>106</v>
      </c>
      <c r="G645" s="58">
        <f>G646</f>
        <v>175.90000000000006</v>
      </c>
    </row>
    <row r="646" spans="1:7" ht="12.75">
      <c r="A646" s="28" t="s">
        <v>111</v>
      </c>
      <c r="B646" s="60" t="s">
        <v>413</v>
      </c>
      <c r="C646" s="59" t="s">
        <v>69</v>
      </c>
      <c r="D646" s="59" t="s">
        <v>67</v>
      </c>
      <c r="E646" s="161" t="s">
        <v>327</v>
      </c>
      <c r="F646" s="59" t="s">
        <v>112</v>
      </c>
      <c r="G646" s="58">
        <f>G647</f>
        <v>175.90000000000006</v>
      </c>
    </row>
    <row r="647" spans="1:7" ht="12.75">
      <c r="A647" s="28" t="s">
        <v>115</v>
      </c>
      <c r="B647" s="60" t="s">
        <v>413</v>
      </c>
      <c r="C647" s="59" t="s">
        <v>69</v>
      </c>
      <c r="D647" s="59" t="s">
        <v>67</v>
      </c>
      <c r="E647" s="161" t="s">
        <v>327</v>
      </c>
      <c r="F647" s="59" t="s">
        <v>116</v>
      </c>
      <c r="G647" s="58">
        <f>'МП пр.5'!G599</f>
        <v>175.90000000000006</v>
      </c>
    </row>
    <row r="648" spans="1:7" ht="25.5">
      <c r="A648" s="126" t="s">
        <v>611</v>
      </c>
      <c r="B648" s="60" t="s">
        <v>413</v>
      </c>
      <c r="C648" s="59" t="s">
        <v>69</v>
      </c>
      <c r="D648" s="59" t="s">
        <v>67</v>
      </c>
      <c r="E648" s="161" t="s">
        <v>328</v>
      </c>
      <c r="F648" s="59"/>
      <c r="G648" s="58">
        <f>G649</f>
        <v>52.800000000000004</v>
      </c>
    </row>
    <row r="649" spans="1:7" ht="25.5">
      <c r="A649" s="28" t="s">
        <v>105</v>
      </c>
      <c r="B649" s="60" t="s">
        <v>413</v>
      </c>
      <c r="C649" s="59" t="s">
        <v>69</v>
      </c>
      <c r="D649" s="59" t="s">
        <v>67</v>
      </c>
      <c r="E649" s="161" t="s">
        <v>328</v>
      </c>
      <c r="F649" s="59" t="s">
        <v>106</v>
      </c>
      <c r="G649" s="58">
        <f>G650</f>
        <v>52.800000000000004</v>
      </c>
    </row>
    <row r="650" spans="1:7" ht="12.75">
      <c r="A650" s="28" t="s">
        <v>111</v>
      </c>
      <c r="B650" s="60" t="s">
        <v>413</v>
      </c>
      <c r="C650" s="59" t="s">
        <v>69</v>
      </c>
      <c r="D650" s="59" t="s">
        <v>67</v>
      </c>
      <c r="E650" s="161" t="s">
        <v>328</v>
      </c>
      <c r="F650" s="59" t="s">
        <v>112</v>
      </c>
      <c r="G650" s="58">
        <f>G651</f>
        <v>52.800000000000004</v>
      </c>
    </row>
    <row r="651" spans="1:7" ht="12.75">
      <c r="A651" s="28" t="s">
        <v>115</v>
      </c>
      <c r="B651" s="60" t="s">
        <v>413</v>
      </c>
      <c r="C651" s="59" t="s">
        <v>69</v>
      </c>
      <c r="D651" s="59" t="s">
        <v>67</v>
      </c>
      <c r="E651" s="161" t="s">
        <v>328</v>
      </c>
      <c r="F651" s="59" t="s">
        <v>116</v>
      </c>
      <c r="G651" s="58">
        <f>'МП пр.5'!G616</f>
        <v>52.800000000000004</v>
      </c>
    </row>
    <row r="652" spans="1:7" ht="12.75" customHeight="1">
      <c r="A652" s="28" t="s">
        <v>514</v>
      </c>
      <c r="B652" s="60" t="s">
        <v>413</v>
      </c>
      <c r="C652" s="59" t="s">
        <v>69</v>
      </c>
      <c r="D652" s="59" t="s">
        <v>67</v>
      </c>
      <c r="E652" s="161" t="s">
        <v>515</v>
      </c>
      <c r="F652" s="59"/>
      <c r="G652" s="58">
        <f>G653</f>
        <v>55.8</v>
      </c>
    </row>
    <row r="653" spans="1:7" ht="25.5">
      <c r="A653" s="28" t="s">
        <v>105</v>
      </c>
      <c r="B653" s="60" t="s">
        <v>413</v>
      </c>
      <c r="C653" s="59" t="s">
        <v>69</v>
      </c>
      <c r="D653" s="59" t="s">
        <v>67</v>
      </c>
      <c r="E653" s="161" t="s">
        <v>515</v>
      </c>
      <c r="F653" s="59" t="s">
        <v>106</v>
      </c>
      <c r="G653" s="58">
        <f>G654</f>
        <v>55.8</v>
      </c>
    </row>
    <row r="654" spans="1:7" ht="12.75">
      <c r="A654" s="28" t="s">
        <v>111</v>
      </c>
      <c r="B654" s="60" t="s">
        <v>413</v>
      </c>
      <c r="C654" s="59" t="s">
        <v>69</v>
      </c>
      <c r="D654" s="59" t="s">
        <v>67</v>
      </c>
      <c r="E654" s="161" t="s">
        <v>515</v>
      </c>
      <c r="F654" s="59" t="s">
        <v>112</v>
      </c>
      <c r="G654" s="58">
        <f>G655</f>
        <v>55.8</v>
      </c>
    </row>
    <row r="655" spans="1:7" ht="12.75">
      <c r="A655" s="28" t="s">
        <v>115</v>
      </c>
      <c r="B655" s="60" t="s">
        <v>413</v>
      </c>
      <c r="C655" s="59" t="s">
        <v>69</v>
      </c>
      <c r="D655" s="59" t="s">
        <v>67</v>
      </c>
      <c r="E655" s="161" t="s">
        <v>515</v>
      </c>
      <c r="F655" s="59" t="s">
        <v>116</v>
      </c>
      <c r="G655" s="58">
        <f>'МП пр.5'!G645</f>
        <v>55.8</v>
      </c>
    </row>
    <row r="656" spans="1:7" ht="25.5">
      <c r="A656" s="28" t="s">
        <v>449</v>
      </c>
      <c r="B656" s="60" t="s">
        <v>413</v>
      </c>
      <c r="C656" s="59" t="s">
        <v>69</v>
      </c>
      <c r="D656" s="59" t="s">
        <v>67</v>
      </c>
      <c r="E656" s="59" t="s">
        <v>450</v>
      </c>
      <c r="F656" s="59"/>
      <c r="G656" s="58">
        <f>G657</f>
        <v>30</v>
      </c>
    </row>
    <row r="657" spans="1:7" ht="25.5" customHeight="1">
      <c r="A657" s="28" t="s">
        <v>461</v>
      </c>
      <c r="B657" s="60" t="s">
        <v>413</v>
      </c>
      <c r="C657" s="59" t="s">
        <v>69</v>
      </c>
      <c r="D657" s="59" t="s">
        <v>67</v>
      </c>
      <c r="E657" s="59" t="s">
        <v>462</v>
      </c>
      <c r="F657" s="59"/>
      <c r="G657" s="143">
        <f>G658</f>
        <v>30</v>
      </c>
    </row>
    <row r="658" spans="1:7" ht="27" customHeight="1">
      <c r="A658" s="28" t="s">
        <v>463</v>
      </c>
      <c r="B658" s="60" t="s">
        <v>413</v>
      </c>
      <c r="C658" s="59" t="s">
        <v>69</v>
      </c>
      <c r="D658" s="59" t="s">
        <v>67</v>
      </c>
      <c r="E658" s="59" t="s">
        <v>464</v>
      </c>
      <c r="F658" s="59"/>
      <c r="G658" s="58">
        <f>G659</f>
        <v>30</v>
      </c>
    </row>
    <row r="659" spans="1:7" ht="27" customHeight="1">
      <c r="A659" s="28" t="s">
        <v>105</v>
      </c>
      <c r="B659" s="60" t="s">
        <v>413</v>
      </c>
      <c r="C659" s="59" t="s">
        <v>69</v>
      </c>
      <c r="D659" s="59" t="s">
        <v>67</v>
      </c>
      <c r="E659" s="59" t="s">
        <v>464</v>
      </c>
      <c r="F659" s="59" t="s">
        <v>106</v>
      </c>
      <c r="G659" s="58">
        <f>G660</f>
        <v>30</v>
      </c>
    </row>
    <row r="660" spans="1:7" ht="16.5" customHeight="1">
      <c r="A660" s="28" t="s">
        <v>111</v>
      </c>
      <c r="B660" s="60" t="s">
        <v>413</v>
      </c>
      <c r="C660" s="59" t="s">
        <v>69</v>
      </c>
      <c r="D660" s="59" t="s">
        <v>67</v>
      </c>
      <c r="E660" s="59" t="s">
        <v>464</v>
      </c>
      <c r="F660" s="59" t="s">
        <v>112</v>
      </c>
      <c r="G660" s="58">
        <f>G661</f>
        <v>30</v>
      </c>
    </row>
    <row r="661" spans="1:7" ht="14.25" customHeight="1">
      <c r="A661" s="28" t="s">
        <v>115</v>
      </c>
      <c r="B661" s="60" t="s">
        <v>413</v>
      </c>
      <c r="C661" s="59" t="s">
        <v>69</v>
      </c>
      <c r="D661" s="59" t="s">
        <v>67</v>
      </c>
      <c r="E661" s="59" t="s">
        <v>464</v>
      </c>
      <c r="F661" s="59" t="s">
        <v>116</v>
      </c>
      <c r="G661" s="58">
        <f>'МП пр.5'!G63</f>
        <v>30</v>
      </c>
    </row>
    <row r="662" spans="1:7" ht="24" customHeight="1">
      <c r="A662" s="28" t="str">
        <f>'МП пр.5'!A890</f>
        <v>Муниципальная программа "Повышение безопасности дорожного движения на территории Сусуманского городского округа в 2017 году"</v>
      </c>
      <c r="B662" s="60" t="s">
        <v>413</v>
      </c>
      <c r="C662" s="59" t="s">
        <v>69</v>
      </c>
      <c r="D662" s="59" t="s">
        <v>67</v>
      </c>
      <c r="E662" s="149" t="str">
        <f>'МП пр.5'!B890</f>
        <v>7D 0 00 00000</v>
      </c>
      <c r="F662" s="59"/>
      <c r="G662" s="58">
        <f>G663</f>
        <v>34</v>
      </c>
    </row>
    <row r="663" spans="1:7" ht="14.25" customHeight="1">
      <c r="A663" s="28" t="str">
        <f>'МП пр.5'!A891</f>
        <v>Основное мероприятие "Обеспечение реализации программы"</v>
      </c>
      <c r="B663" s="60" t="s">
        <v>413</v>
      </c>
      <c r="C663" s="59" t="s">
        <v>69</v>
      </c>
      <c r="D663" s="59" t="s">
        <v>67</v>
      </c>
      <c r="E663" s="149" t="str">
        <f>'МП пр.5'!B891</f>
        <v>7D 0 01 00000</v>
      </c>
      <c r="F663" s="59"/>
      <c r="G663" s="58">
        <f>G664</f>
        <v>34</v>
      </c>
    </row>
    <row r="664" spans="1:7" ht="14.25" customHeight="1">
      <c r="A664" s="28" t="str">
        <f>'МП пр.5'!A899</f>
        <v>Приобретение светоотражающих лент для образовательных учреждений</v>
      </c>
      <c r="B664" s="60" t="s">
        <v>413</v>
      </c>
      <c r="C664" s="59" t="s">
        <v>69</v>
      </c>
      <c r="D664" s="59" t="s">
        <v>67</v>
      </c>
      <c r="E664" s="149" t="str">
        <f>'МП пр.5'!B899</f>
        <v>7D 0 01 95420</v>
      </c>
      <c r="F664" s="59"/>
      <c r="G664" s="58">
        <f>G665</f>
        <v>34</v>
      </c>
    </row>
    <row r="665" spans="1:7" ht="25.5" customHeight="1">
      <c r="A665" s="28" t="s">
        <v>105</v>
      </c>
      <c r="B665" s="60" t="s">
        <v>413</v>
      </c>
      <c r="C665" s="59" t="s">
        <v>69</v>
      </c>
      <c r="D665" s="59" t="s">
        <v>67</v>
      </c>
      <c r="E665" s="149" t="str">
        <f>'МП пр.5'!B900</f>
        <v>7D 0 01 95420</v>
      </c>
      <c r="F665" s="59" t="s">
        <v>106</v>
      </c>
      <c r="G665" s="58">
        <f>G666</f>
        <v>34</v>
      </c>
    </row>
    <row r="666" spans="1:7" ht="14.25" customHeight="1">
      <c r="A666" s="28" t="s">
        <v>111</v>
      </c>
      <c r="B666" s="60" t="s">
        <v>413</v>
      </c>
      <c r="C666" s="59" t="s">
        <v>69</v>
      </c>
      <c r="D666" s="59" t="s">
        <v>67</v>
      </c>
      <c r="E666" s="149" t="str">
        <f>'МП пр.5'!B901</f>
        <v>7D 0 01 95420</v>
      </c>
      <c r="F666" s="59" t="s">
        <v>112</v>
      </c>
      <c r="G666" s="58">
        <f>G667</f>
        <v>34</v>
      </c>
    </row>
    <row r="667" spans="1:7" ht="14.25" customHeight="1">
      <c r="A667" s="28" t="s">
        <v>115</v>
      </c>
      <c r="B667" s="60" t="s">
        <v>413</v>
      </c>
      <c r="C667" s="59" t="s">
        <v>69</v>
      </c>
      <c r="D667" s="59" t="s">
        <v>67</v>
      </c>
      <c r="E667" s="149" t="str">
        <f>'МП пр.5'!B902</f>
        <v>7D 0 01 95420</v>
      </c>
      <c r="F667" s="59" t="s">
        <v>116</v>
      </c>
      <c r="G667" s="58">
        <f>'МП пр.5'!G910</f>
        <v>34</v>
      </c>
    </row>
    <row r="668" spans="1:7" ht="12.75">
      <c r="A668" s="28" t="s">
        <v>360</v>
      </c>
      <c r="B668" s="60" t="s">
        <v>413</v>
      </c>
      <c r="C668" s="59" t="s">
        <v>69</v>
      </c>
      <c r="D668" s="59" t="s">
        <v>67</v>
      </c>
      <c r="E668" s="59" t="s">
        <v>215</v>
      </c>
      <c r="F668" s="59"/>
      <c r="G668" s="58">
        <f>G669</f>
        <v>4402.7</v>
      </c>
    </row>
    <row r="669" spans="1:7" ht="12.75">
      <c r="A669" s="28" t="s">
        <v>363</v>
      </c>
      <c r="B669" s="60" t="s">
        <v>413</v>
      </c>
      <c r="C669" s="59" t="s">
        <v>69</v>
      </c>
      <c r="D669" s="59" t="s">
        <v>67</v>
      </c>
      <c r="E669" s="59" t="s">
        <v>358</v>
      </c>
      <c r="F669" s="59"/>
      <c r="G669" s="58">
        <f>G670+G674</f>
        <v>4402.7</v>
      </c>
    </row>
    <row r="670" spans="1:7" ht="46.5" customHeight="1">
      <c r="A670" s="28" t="s">
        <v>287</v>
      </c>
      <c r="B670" s="60" t="s">
        <v>413</v>
      </c>
      <c r="C670" s="59" t="s">
        <v>69</v>
      </c>
      <c r="D670" s="59" t="s">
        <v>67</v>
      </c>
      <c r="E670" s="59" t="s">
        <v>359</v>
      </c>
      <c r="F670" s="59"/>
      <c r="G670" s="58">
        <f>G671</f>
        <v>3830</v>
      </c>
    </row>
    <row r="671" spans="1:7" ht="25.5">
      <c r="A671" s="28" t="s">
        <v>105</v>
      </c>
      <c r="B671" s="60" t="s">
        <v>413</v>
      </c>
      <c r="C671" s="59" t="s">
        <v>69</v>
      </c>
      <c r="D671" s="59" t="s">
        <v>67</v>
      </c>
      <c r="E671" s="59" t="s">
        <v>359</v>
      </c>
      <c r="F671" s="59" t="s">
        <v>106</v>
      </c>
      <c r="G671" s="58">
        <f>G672</f>
        <v>3830</v>
      </c>
    </row>
    <row r="672" spans="1:7" ht="12.75">
      <c r="A672" s="28" t="s">
        <v>111</v>
      </c>
      <c r="B672" s="60" t="s">
        <v>413</v>
      </c>
      <c r="C672" s="59" t="s">
        <v>69</v>
      </c>
      <c r="D672" s="59" t="s">
        <v>67</v>
      </c>
      <c r="E672" s="59" t="s">
        <v>359</v>
      </c>
      <c r="F672" s="59" t="s">
        <v>112</v>
      </c>
      <c r="G672" s="58">
        <f>G673</f>
        <v>3830</v>
      </c>
    </row>
    <row r="673" spans="1:7" ht="12.75">
      <c r="A673" s="28" t="s">
        <v>115</v>
      </c>
      <c r="B673" s="60" t="s">
        <v>413</v>
      </c>
      <c r="C673" s="59" t="s">
        <v>69</v>
      </c>
      <c r="D673" s="59" t="s">
        <v>67</v>
      </c>
      <c r="E673" s="59" t="s">
        <v>359</v>
      </c>
      <c r="F673" s="59" t="s">
        <v>116</v>
      </c>
      <c r="G673" s="58">
        <f>3800+30</f>
        <v>3830</v>
      </c>
    </row>
    <row r="674" spans="1:7" ht="12.75">
      <c r="A674" s="28" t="s">
        <v>235</v>
      </c>
      <c r="B674" s="60" t="s">
        <v>413</v>
      </c>
      <c r="C674" s="59" t="s">
        <v>69</v>
      </c>
      <c r="D674" s="59" t="s">
        <v>67</v>
      </c>
      <c r="E674" s="59" t="s">
        <v>362</v>
      </c>
      <c r="F674" s="59"/>
      <c r="G674" s="58">
        <f>G675</f>
        <v>572.7</v>
      </c>
    </row>
    <row r="675" spans="1:7" ht="25.5">
      <c r="A675" s="28" t="s">
        <v>105</v>
      </c>
      <c r="B675" s="60" t="s">
        <v>413</v>
      </c>
      <c r="C675" s="59" t="s">
        <v>69</v>
      </c>
      <c r="D675" s="59" t="s">
        <v>67</v>
      </c>
      <c r="E675" s="59" t="s">
        <v>362</v>
      </c>
      <c r="F675" s="59" t="s">
        <v>106</v>
      </c>
      <c r="G675" s="58">
        <f>G676</f>
        <v>572.7</v>
      </c>
    </row>
    <row r="676" spans="1:7" ht="12.75">
      <c r="A676" s="28" t="s">
        <v>111</v>
      </c>
      <c r="B676" s="60" t="s">
        <v>413</v>
      </c>
      <c r="C676" s="59" t="s">
        <v>69</v>
      </c>
      <c r="D676" s="59" t="s">
        <v>67</v>
      </c>
      <c r="E676" s="59" t="s">
        <v>362</v>
      </c>
      <c r="F676" s="59" t="s">
        <v>112</v>
      </c>
      <c r="G676" s="58">
        <f>G677</f>
        <v>572.7</v>
      </c>
    </row>
    <row r="677" spans="1:7" ht="12.75">
      <c r="A677" s="28" t="s">
        <v>115</v>
      </c>
      <c r="B677" s="60" t="s">
        <v>413</v>
      </c>
      <c r="C677" s="59" t="s">
        <v>69</v>
      </c>
      <c r="D677" s="59" t="s">
        <v>67</v>
      </c>
      <c r="E677" s="59" t="s">
        <v>362</v>
      </c>
      <c r="F677" s="59" t="s">
        <v>116</v>
      </c>
      <c r="G677" s="58">
        <f>407+20.7+145</f>
        <v>572.7</v>
      </c>
    </row>
    <row r="678" spans="1:7" ht="12.75">
      <c r="A678" s="28" t="s">
        <v>60</v>
      </c>
      <c r="B678" s="60" t="s">
        <v>413</v>
      </c>
      <c r="C678" s="59" t="s">
        <v>69</v>
      </c>
      <c r="D678" s="59" t="s">
        <v>67</v>
      </c>
      <c r="E678" s="59" t="s">
        <v>227</v>
      </c>
      <c r="F678" s="59"/>
      <c r="G678" s="58">
        <f>G679</f>
        <v>35063.8</v>
      </c>
    </row>
    <row r="679" spans="1:7" ht="38.25">
      <c r="A679" s="28" t="s">
        <v>473</v>
      </c>
      <c r="B679" s="60" t="s">
        <v>413</v>
      </c>
      <c r="C679" s="59" t="s">
        <v>69</v>
      </c>
      <c r="D679" s="59" t="s">
        <v>67</v>
      </c>
      <c r="E679" s="59" t="s">
        <v>371</v>
      </c>
      <c r="F679" s="59"/>
      <c r="G679" s="58">
        <f>G680</f>
        <v>35063.8</v>
      </c>
    </row>
    <row r="680" spans="1:7" ht="15.75" customHeight="1">
      <c r="A680" s="28" t="s">
        <v>249</v>
      </c>
      <c r="B680" s="60" t="s">
        <v>413</v>
      </c>
      <c r="C680" s="59" t="s">
        <v>69</v>
      </c>
      <c r="D680" s="59" t="s">
        <v>67</v>
      </c>
      <c r="E680" s="59" t="s">
        <v>372</v>
      </c>
      <c r="F680" s="59"/>
      <c r="G680" s="58">
        <f>G681</f>
        <v>35063.8</v>
      </c>
    </row>
    <row r="681" spans="1:7" ht="25.5">
      <c r="A681" s="28" t="s">
        <v>105</v>
      </c>
      <c r="B681" s="60" t="s">
        <v>413</v>
      </c>
      <c r="C681" s="59" t="s">
        <v>69</v>
      </c>
      <c r="D681" s="59" t="s">
        <v>67</v>
      </c>
      <c r="E681" s="59" t="s">
        <v>372</v>
      </c>
      <c r="F681" s="59" t="s">
        <v>106</v>
      </c>
      <c r="G681" s="58">
        <f>G682</f>
        <v>35063.8</v>
      </c>
    </row>
    <row r="682" spans="1:7" ht="12.75">
      <c r="A682" s="28" t="s">
        <v>111</v>
      </c>
      <c r="B682" s="60" t="s">
        <v>413</v>
      </c>
      <c r="C682" s="59" t="s">
        <v>69</v>
      </c>
      <c r="D682" s="59" t="s">
        <v>67</v>
      </c>
      <c r="E682" s="59" t="s">
        <v>372</v>
      </c>
      <c r="F682" s="59" t="s">
        <v>112</v>
      </c>
      <c r="G682" s="58">
        <f>G683+G684</f>
        <v>35063.8</v>
      </c>
    </row>
    <row r="683" spans="1:7" ht="38.25">
      <c r="A683" s="28" t="s">
        <v>113</v>
      </c>
      <c r="B683" s="60" t="s">
        <v>413</v>
      </c>
      <c r="C683" s="59" t="s">
        <v>69</v>
      </c>
      <c r="D683" s="59" t="s">
        <v>67</v>
      </c>
      <c r="E683" s="59" t="s">
        <v>372</v>
      </c>
      <c r="F683" s="59" t="s">
        <v>114</v>
      </c>
      <c r="G683" s="58">
        <f>32599.8-455+1514-387.1-140</f>
        <v>33131.700000000004</v>
      </c>
    </row>
    <row r="684" spans="1:7" ht="12.75">
      <c r="A684" s="28" t="s">
        <v>115</v>
      </c>
      <c r="B684" s="60" t="s">
        <v>413</v>
      </c>
      <c r="C684" s="59" t="s">
        <v>69</v>
      </c>
      <c r="D684" s="59" t="s">
        <v>67</v>
      </c>
      <c r="E684" s="59" t="s">
        <v>372</v>
      </c>
      <c r="F684" s="59" t="s">
        <v>116</v>
      </c>
      <c r="G684" s="58">
        <f>1350+800+195+387.1-800</f>
        <v>1932.1</v>
      </c>
    </row>
    <row r="685" spans="1:7" ht="20.25" customHeight="1">
      <c r="A685" s="61" t="s">
        <v>530</v>
      </c>
      <c r="B685" s="62" t="s">
        <v>413</v>
      </c>
      <c r="C685" s="63" t="s">
        <v>69</v>
      </c>
      <c r="D685" s="63" t="s">
        <v>70</v>
      </c>
      <c r="E685" s="63"/>
      <c r="F685" s="63"/>
      <c r="G685" s="64">
        <f>G686+G700+G706+G724+G730+G740</f>
        <v>31743.5</v>
      </c>
    </row>
    <row r="686" spans="1:7" ht="25.5">
      <c r="A686" s="126" t="s">
        <v>444</v>
      </c>
      <c r="B686" s="60" t="s">
        <v>413</v>
      </c>
      <c r="C686" s="59" t="s">
        <v>69</v>
      </c>
      <c r="D686" s="59" t="s">
        <v>70</v>
      </c>
      <c r="E686" s="59" t="s">
        <v>191</v>
      </c>
      <c r="F686" s="63"/>
      <c r="G686" s="58">
        <f>G687</f>
        <v>2101.5</v>
      </c>
    </row>
    <row r="687" spans="1:7" ht="15" customHeight="1">
      <c r="A687" s="28" t="s">
        <v>791</v>
      </c>
      <c r="B687" s="60" t="s">
        <v>413</v>
      </c>
      <c r="C687" s="59" t="s">
        <v>69</v>
      </c>
      <c r="D687" s="59" t="s">
        <v>70</v>
      </c>
      <c r="E687" s="59" t="s">
        <v>615</v>
      </c>
      <c r="F687" s="63"/>
      <c r="G687" s="58">
        <f>G688+G692+G696</f>
        <v>2101.5</v>
      </c>
    </row>
    <row r="688" spans="1:7" ht="42" customHeight="1">
      <c r="A688" s="28" t="s">
        <v>503</v>
      </c>
      <c r="B688" s="60" t="s">
        <v>413</v>
      </c>
      <c r="C688" s="59" t="s">
        <v>69</v>
      </c>
      <c r="D688" s="59" t="s">
        <v>70</v>
      </c>
      <c r="E688" s="59" t="s">
        <v>616</v>
      </c>
      <c r="F688" s="59"/>
      <c r="G688" s="58">
        <f>G689</f>
        <v>110.4</v>
      </c>
    </row>
    <row r="689" spans="1:7" ht="25.5">
      <c r="A689" s="28" t="s">
        <v>105</v>
      </c>
      <c r="B689" s="60" t="s">
        <v>413</v>
      </c>
      <c r="C689" s="59" t="s">
        <v>69</v>
      </c>
      <c r="D689" s="59" t="s">
        <v>70</v>
      </c>
      <c r="E689" s="59" t="s">
        <v>616</v>
      </c>
      <c r="F689" s="59" t="s">
        <v>106</v>
      </c>
      <c r="G689" s="58">
        <f>G690</f>
        <v>110.4</v>
      </c>
    </row>
    <row r="690" spans="1:7" ht="12.75">
      <c r="A690" s="28" t="s">
        <v>111</v>
      </c>
      <c r="B690" s="60" t="s">
        <v>413</v>
      </c>
      <c r="C690" s="59" t="s">
        <v>69</v>
      </c>
      <c r="D690" s="59" t="s">
        <v>70</v>
      </c>
      <c r="E690" s="59" t="s">
        <v>616</v>
      </c>
      <c r="F690" s="59" t="s">
        <v>112</v>
      </c>
      <c r="G690" s="58">
        <f>G691</f>
        <v>110.4</v>
      </c>
    </row>
    <row r="691" spans="1:7" ht="38.25">
      <c r="A691" s="28" t="s">
        <v>113</v>
      </c>
      <c r="B691" s="60" t="s">
        <v>413</v>
      </c>
      <c r="C691" s="59" t="s">
        <v>69</v>
      </c>
      <c r="D691" s="59" t="s">
        <v>70</v>
      </c>
      <c r="E691" s="59" t="s">
        <v>616</v>
      </c>
      <c r="F691" s="59" t="s">
        <v>114</v>
      </c>
      <c r="G691" s="58">
        <f>'МП пр.5'!G186</f>
        <v>110.4</v>
      </c>
    </row>
    <row r="692" spans="1:7" ht="38.25">
      <c r="A692" s="28" t="s">
        <v>504</v>
      </c>
      <c r="B692" s="60" t="s">
        <v>413</v>
      </c>
      <c r="C692" s="59" t="s">
        <v>69</v>
      </c>
      <c r="D692" s="59" t="s">
        <v>70</v>
      </c>
      <c r="E692" s="59" t="s">
        <v>617</v>
      </c>
      <c r="F692" s="59"/>
      <c r="G692" s="58">
        <f>G693</f>
        <v>673.5</v>
      </c>
    </row>
    <row r="693" spans="1:7" ht="25.5">
      <c r="A693" s="28" t="s">
        <v>105</v>
      </c>
      <c r="B693" s="60" t="s">
        <v>413</v>
      </c>
      <c r="C693" s="59" t="s">
        <v>69</v>
      </c>
      <c r="D693" s="59" t="s">
        <v>70</v>
      </c>
      <c r="E693" s="59" t="s">
        <v>617</v>
      </c>
      <c r="F693" s="59" t="s">
        <v>106</v>
      </c>
      <c r="G693" s="58">
        <f>G694</f>
        <v>673.5</v>
      </c>
    </row>
    <row r="694" spans="1:7" ht="12.75">
      <c r="A694" s="28" t="s">
        <v>111</v>
      </c>
      <c r="B694" s="60" t="s">
        <v>413</v>
      </c>
      <c r="C694" s="59" t="s">
        <v>69</v>
      </c>
      <c r="D694" s="59" t="s">
        <v>70</v>
      </c>
      <c r="E694" s="59" t="s">
        <v>617</v>
      </c>
      <c r="F694" s="59" t="s">
        <v>112</v>
      </c>
      <c r="G694" s="58">
        <f>G695</f>
        <v>673.5</v>
      </c>
    </row>
    <row r="695" spans="1:7" ht="38.25">
      <c r="A695" s="28" t="s">
        <v>113</v>
      </c>
      <c r="B695" s="60" t="s">
        <v>413</v>
      </c>
      <c r="C695" s="59" t="s">
        <v>69</v>
      </c>
      <c r="D695" s="59" t="s">
        <v>70</v>
      </c>
      <c r="E695" s="59" t="s">
        <v>617</v>
      </c>
      <c r="F695" s="59" t="s">
        <v>114</v>
      </c>
      <c r="G695" s="58">
        <f>'МП пр.5'!G204</f>
        <v>673.5</v>
      </c>
    </row>
    <row r="696" spans="1:7" ht="38.25">
      <c r="A696" s="28" t="s">
        <v>506</v>
      </c>
      <c r="B696" s="60" t="s">
        <v>413</v>
      </c>
      <c r="C696" s="59" t="s">
        <v>69</v>
      </c>
      <c r="D696" s="59" t="s">
        <v>70</v>
      </c>
      <c r="E696" s="59" t="s">
        <v>619</v>
      </c>
      <c r="F696" s="59"/>
      <c r="G696" s="58">
        <f>G697</f>
        <v>1317.6</v>
      </c>
    </row>
    <row r="697" spans="1:7" ht="25.5">
      <c r="A697" s="28" t="s">
        <v>105</v>
      </c>
      <c r="B697" s="60" t="s">
        <v>413</v>
      </c>
      <c r="C697" s="59" t="s">
        <v>69</v>
      </c>
      <c r="D697" s="59" t="s">
        <v>70</v>
      </c>
      <c r="E697" s="59" t="s">
        <v>619</v>
      </c>
      <c r="F697" s="59" t="s">
        <v>106</v>
      </c>
      <c r="G697" s="58">
        <f>G698</f>
        <v>1317.6</v>
      </c>
    </row>
    <row r="698" spans="1:7" ht="12.75">
      <c r="A698" s="28" t="s">
        <v>111</v>
      </c>
      <c r="B698" s="60" t="s">
        <v>413</v>
      </c>
      <c r="C698" s="59" t="s">
        <v>69</v>
      </c>
      <c r="D698" s="59" t="s">
        <v>70</v>
      </c>
      <c r="E698" s="59" t="s">
        <v>619</v>
      </c>
      <c r="F698" s="59" t="s">
        <v>112</v>
      </c>
      <c r="G698" s="58">
        <f>G699</f>
        <v>1317.6</v>
      </c>
    </row>
    <row r="699" spans="1:7" ht="12.75">
      <c r="A699" s="28" t="s">
        <v>115</v>
      </c>
      <c r="B699" s="60" t="s">
        <v>413</v>
      </c>
      <c r="C699" s="59" t="s">
        <v>69</v>
      </c>
      <c r="D699" s="59" t="s">
        <v>70</v>
      </c>
      <c r="E699" s="59" t="s">
        <v>619</v>
      </c>
      <c r="F699" s="59" t="s">
        <v>116</v>
      </c>
      <c r="G699" s="58">
        <f>'МП пр.5'!G236</f>
        <v>1317.6</v>
      </c>
    </row>
    <row r="700" spans="1:7" ht="25.5">
      <c r="A700" s="126" t="s">
        <v>507</v>
      </c>
      <c r="B700" s="60" t="s">
        <v>413</v>
      </c>
      <c r="C700" s="59" t="s">
        <v>69</v>
      </c>
      <c r="D700" s="60" t="s">
        <v>70</v>
      </c>
      <c r="E700" s="161" t="s">
        <v>176</v>
      </c>
      <c r="F700" s="59"/>
      <c r="G700" s="58">
        <f>G701</f>
        <v>103</v>
      </c>
    </row>
    <row r="701" spans="1:7" ht="25.5">
      <c r="A701" s="126" t="s">
        <v>291</v>
      </c>
      <c r="B701" s="60" t="s">
        <v>413</v>
      </c>
      <c r="C701" s="59" t="s">
        <v>69</v>
      </c>
      <c r="D701" s="59" t="s">
        <v>70</v>
      </c>
      <c r="E701" s="161" t="s">
        <v>508</v>
      </c>
      <c r="F701" s="59"/>
      <c r="G701" s="58">
        <f>G702</f>
        <v>103</v>
      </c>
    </row>
    <row r="702" spans="1:7" ht="12.75">
      <c r="A702" s="126" t="s">
        <v>175</v>
      </c>
      <c r="B702" s="60" t="s">
        <v>413</v>
      </c>
      <c r="C702" s="59" t="s">
        <v>69</v>
      </c>
      <c r="D702" s="59" t="s">
        <v>70</v>
      </c>
      <c r="E702" s="161" t="s">
        <v>509</v>
      </c>
      <c r="F702" s="59"/>
      <c r="G702" s="58">
        <f>G703</f>
        <v>103</v>
      </c>
    </row>
    <row r="703" spans="1:7" ht="25.5">
      <c r="A703" s="28" t="s">
        <v>105</v>
      </c>
      <c r="B703" s="60" t="s">
        <v>413</v>
      </c>
      <c r="C703" s="59" t="s">
        <v>69</v>
      </c>
      <c r="D703" s="59" t="s">
        <v>70</v>
      </c>
      <c r="E703" s="161" t="s">
        <v>509</v>
      </c>
      <c r="F703" s="59" t="s">
        <v>106</v>
      </c>
      <c r="G703" s="58">
        <f>G704</f>
        <v>103</v>
      </c>
    </row>
    <row r="704" spans="1:7" s="57" customFormat="1" ht="12.75">
      <c r="A704" s="28" t="s">
        <v>111</v>
      </c>
      <c r="B704" s="60" t="s">
        <v>413</v>
      </c>
      <c r="C704" s="59" t="s">
        <v>69</v>
      </c>
      <c r="D704" s="59" t="s">
        <v>70</v>
      </c>
      <c r="E704" s="161" t="s">
        <v>509</v>
      </c>
      <c r="F704" s="59" t="s">
        <v>112</v>
      </c>
      <c r="G704" s="58">
        <f>G705</f>
        <v>103</v>
      </c>
    </row>
    <row r="705" spans="1:7" s="57" customFormat="1" ht="12.75">
      <c r="A705" s="28" t="s">
        <v>115</v>
      </c>
      <c r="B705" s="60" t="s">
        <v>413</v>
      </c>
      <c r="C705" s="59" t="s">
        <v>69</v>
      </c>
      <c r="D705" s="59" t="s">
        <v>70</v>
      </c>
      <c r="E705" s="161" t="s">
        <v>509</v>
      </c>
      <c r="F705" s="59" t="s">
        <v>116</v>
      </c>
      <c r="G705" s="58">
        <f>'МП пр.5'!G121</f>
        <v>103</v>
      </c>
    </row>
    <row r="706" spans="1:7" ht="25.5">
      <c r="A706" s="126" t="s">
        <v>513</v>
      </c>
      <c r="B706" s="60" t="s">
        <v>413</v>
      </c>
      <c r="C706" s="59" t="s">
        <v>69</v>
      </c>
      <c r="D706" s="59" t="s">
        <v>70</v>
      </c>
      <c r="E706" s="161" t="s">
        <v>180</v>
      </c>
      <c r="F706" s="59"/>
      <c r="G706" s="58">
        <f>G707</f>
        <v>264</v>
      </c>
    </row>
    <row r="707" spans="1:7" ht="25.5">
      <c r="A707" s="126" t="s">
        <v>251</v>
      </c>
      <c r="B707" s="60" t="s">
        <v>413</v>
      </c>
      <c r="C707" s="59" t="s">
        <v>69</v>
      </c>
      <c r="D707" s="59" t="s">
        <v>70</v>
      </c>
      <c r="E707" s="161" t="s">
        <v>325</v>
      </c>
      <c r="F707" s="59"/>
      <c r="G707" s="58">
        <f>G708+G712+G716+G720</f>
        <v>264</v>
      </c>
    </row>
    <row r="708" spans="1:7" ht="12.75">
      <c r="A708" s="126" t="s">
        <v>179</v>
      </c>
      <c r="B708" s="60" t="s">
        <v>413</v>
      </c>
      <c r="C708" s="59" t="s">
        <v>69</v>
      </c>
      <c r="D708" s="59" t="s">
        <v>70</v>
      </c>
      <c r="E708" s="161" t="s">
        <v>326</v>
      </c>
      <c r="F708" s="59"/>
      <c r="G708" s="58">
        <f>G709</f>
        <v>208.1</v>
      </c>
    </row>
    <row r="709" spans="1:7" ht="25.5">
      <c r="A709" s="28" t="s">
        <v>105</v>
      </c>
      <c r="B709" s="60" t="s">
        <v>413</v>
      </c>
      <c r="C709" s="59" t="s">
        <v>69</v>
      </c>
      <c r="D709" s="59" t="s">
        <v>70</v>
      </c>
      <c r="E709" s="161" t="s">
        <v>326</v>
      </c>
      <c r="F709" s="59" t="s">
        <v>106</v>
      </c>
      <c r="G709" s="58">
        <f>G710</f>
        <v>208.1</v>
      </c>
    </row>
    <row r="710" spans="1:7" ht="18" customHeight="1">
      <c r="A710" s="28" t="s">
        <v>111</v>
      </c>
      <c r="B710" s="60" t="s">
        <v>413</v>
      </c>
      <c r="C710" s="59" t="s">
        <v>69</v>
      </c>
      <c r="D710" s="59" t="s">
        <v>70</v>
      </c>
      <c r="E710" s="161" t="s">
        <v>326</v>
      </c>
      <c r="F710" s="59" t="s">
        <v>112</v>
      </c>
      <c r="G710" s="58">
        <f>G711</f>
        <v>208.1</v>
      </c>
    </row>
    <row r="711" spans="1:7" ht="12.75">
      <c r="A711" s="28" t="s">
        <v>115</v>
      </c>
      <c r="B711" s="60" t="s">
        <v>413</v>
      </c>
      <c r="C711" s="59" t="s">
        <v>69</v>
      </c>
      <c r="D711" s="59" t="s">
        <v>70</v>
      </c>
      <c r="E711" s="161" t="s">
        <v>326</v>
      </c>
      <c r="F711" s="59" t="s">
        <v>116</v>
      </c>
      <c r="G711" s="58">
        <f>'МП пр.5'!G532</f>
        <v>208.1</v>
      </c>
    </row>
    <row r="712" spans="1:7" ht="12.75">
      <c r="A712" s="126" t="s">
        <v>290</v>
      </c>
      <c r="B712" s="60" t="s">
        <v>413</v>
      </c>
      <c r="C712" s="59" t="s">
        <v>69</v>
      </c>
      <c r="D712" s="59" t="s">
        <v>70</v>
      </c>
      <c r="E712" s="161" t="s">
        <v>327</v>
      </c>
      <c r="F712" s="59"/>
      <c r="G712" s="58">
        <f>G713</f>
        <v>17.4</v>
      </c>
    </row>
    <row r="713" spans="1:7" ht="25.5">
      <c r="A713" s="28" t="s">
        <v>105</v>
      </c>
      <c r="B713" s="60" t="s">
        <v>413</v>
      </c>
      <c r="C713" s="59" t="s">
        <v>69</v>
      </c>
      <c r="D713" s="59" t="s">
        <v>70</v>
      </c>
      <c r="E713" s="161" t="s">
        <v>327</v>
      </c>
      <c r="F713" s="59" t="s">
        <v>106</v>
      </c>
      <c r="G713" s="58">
        <f>G714</f>
        <v>17.4</v>
      </c>
    </row>
    <row r="714" spans="1:7" ht="12.75">
      <c r="A714" s="28" t="s">
        <v>111</v>
      </c>
      <c r="B714" s="60" t="s">
        <v>413</v>
      </c>
      <c r="C714" s="59" t="s">
        <v>69</v>
      </c>
      <c r="D714" s="59" t="s">
        <v>70</v>
      </c>
      <c r="E714" s="161" t="s">
        <v>327</v>
      </c>
      <c r="F714" s="59" t="s">
        <v>112</v>
      </c>
      <c r="G714" s="58">
        <f>G715</f>
        <v>17.4</v>
      </c>
    </row>
    <row r="715" spans="1:7" ht="12.75" customHeight="1">
      <c r="A715" s="28" t="s">
        <v>115</v>
      </c>
      <c r="B715" s="60" t="s">
        <v>413</v>
      </c>
      <c r="C715" s="59" t="s">
        <v>69</v>
      </c>
      <c r="D715" s="59" t="s">
        <v>70</v>
      </c>
      <c r="E715" s="161" t="s">
        <v>327</v>
      </c>
      <c r="F715" s="59" t="s">
        <v>116</v>
      </c>
      <c r="G715" s="58">
        <f>'МП пр.5'!G604</f>
        <v>17.4</v>
      </c>
    </row>
    <row r="716" spans="1:7" ht="25.5">
      <c r="A716" s="126" t="s">
        <v>611</v>
      </c>
      <c r="B716" s="60" t="s">
        <v>413</v>
      </c>
      <c r="C716" s="59" t="s">
        <v>69</v>
      </c>
      <c r="D716" s="59" t="s">
        <v>70</v>
      </c>
      <c r="E716" s="161" t="s">
        <v>328</v>
      </c>
      <c r="F716" s="59"/>
      <c r="G716" s="58">
        <f>G717</f>
        <v>14.4</v>
      </c>
    </row>
    <row r="717" spans="1:7" ht="25.5">
      <c r="A717" s="28" t="s">
        <v>105</v>
      </c>
      <c r="B717" s="60" t="s">
        <v>413</v>
      </c>
      <c r="C717" s="59" t="s">
        <v>69</v>
      </c>
      <c r="D717" s="59" t="s">
        <v>70</v>
      </c>
      <c r="E717" s="161" t="s">
        <v>328</v>
      </c>
      <c r="F717" s="59" t="s">
        <v>106</v>
      </c>
      <c r="G717" s="58">
        <f>G718</f>
        <v>14.4</v>
      </c>
    </row>
    <row r="718" spans="1:7" ht="12.75">
      <c r="A718" s="28" t="s">
        <v>111</v>
      </c>
      <c r="B718" s="60" t="s">
        <v>413</v>
      </c>
      <c r="C718" s="59" t="s">
        <v>69</v>
      </c>
      <c r="D718" s="59" t="s">
        <v>70</v>
      </c>
      <c r="E718" s="161" t="s">
        <v>328</v>
      </c>
      <c r="F718" s="59" t="s">
        <v>112</v>
      </c>
      <c r="G718" s="58">
        <f>G719</f>
        <v>14.4</v>
      </c>
    </row>
    <row r="719" spans="1:7" ht="12.75">
      <c r="A719" s="28" t="s">
        <v>115</v>
      </c>
      <c r="B719" s="60" t="s">
        <v>413</v>
      </c>
      <c r="C719" s="59" t="s">
        <v>69</v>
      </c>
      <c r="D719" s="59" t="s">
        <v>70</v>
      </c>
      <c r="E719" s="161" t="s">
        <v>328</v>
      </c>
      <c r="F719" s="59" t="s">
        <v>116</v>
      </c>
      <c r="G719" s="58">
        <f>'МП пр.5'!G621</f>
        <v>14.4</v>
      </c>
    </row>
    <row r="720" spans="1:7" ht="12.75">
      <c r="A720" s="28" t="s">
        <v>514</v>
      </c>
      <c r="B720" s="60" t="s">
        <v>413</v>
      </c>
      <c r="C720" s="59" t="s">
        <v>69</v>
      </c>
      <c r="D720" s="59" t="s">
        <v>70</v>
      </c>
      <c r="E720" s="161" t="s">
        <v>515</v>
      </c>
      <c r="F720" s="59"/>
      <c r="G720" s="58">
        <f>G721</f>
        <v>24.1</v>
      </c>
    </row>
    <row r="721" spans="1:7" ht="25.5">
      <c r="A721" s="28" t="s">
        <v>105</v>
      </c>
      <c r="B721" s="60" t="s">
        <v>413</v>
      </c>
      <c r="C721" s="59" t="s">
        <v>69</v>
      </c>
      <c r="D721" s="59" t="s">
        <v>70</v>
      </c>
      <c r="E721" s="161" t="s">
        <v>515</v>
      </c>
      <c r="F721" s="59" t="s">
        <v>106</v>
      </c>
      <c r="G721" s="58">
        <f>G722</f>
        <v>24.1</v>
      </c>
    </row>
    <row r="722" spans="1:7" ht="12.75">
      <c r="A722" s="28" t="s">
        <v>111</v>
      </c>
      <c r="B722" s="60" t="s">
        <v>413</v>
      </c>
      <c r="C722" s="59" t="s">
        <v>69</v>
      </c>
      <c r="D722" s="59" t="s">
        <v>70</v>
      </c>
      <c r="E722" s="161" t="s">
        <v>515</v>
      </c>
      <c r="F722" s="59" t="s">
        <v>112</v>
      </c>
      <c r="G722" s="58">
        <f>G723</f>
        <v>24.1</v>
      </c>
    </row>
    <row r="723" spans="1:7" ht="12.75">
      <c r="A723" s="28" t="s">
        <v>115</v>
      </c>
      <c r="B723" s="60" t="s">
        <v>413</v>
      </c>
      <c r="C723" s="59" t="s">
        <v>69</v>
      </c>
      <c r="D723" s="59" t="s">
        <v>70</v>
      </c>
      <c r="E723" s="161" t="s">
        <v>515</v>
      </c>
      <c r="F723" s="59" t="s">
        <v>116</v>
      </c>
      <c r="G723" s="58">
        <f>'МП пр.5'!G650</f>
        <v>24.1</v>
      </c>
    </row>
    <row r="724" spans="1:7" ht="25.5">
      <c r="A724" s="28" t="s">
        <v>449</v>
      </c>
      <c r="B724" s="60" t="s">
        <v>413</v>
      </c>
      <c r="C724" s="59" t="s">
        <v>69</v>
      </c>
      <c r="D724" s="59" t="s">
        <v>70</v>
      </c>
      <c r="E724" s="59" t="s">
        <v>450</v>
      </c>
      <c r="F724" s="59"/>
      <c r="G724" s="58">
        <f>G725</f>
        <v>10</v>
      </c>
    </row>
    <row r="725" spans="1:7" ht="22.5" customHeight="1">
      <c r="A725" s="28" t="s">
        <v>461</v>
      </c>
      <c r="B725" s="60" t="s">
        <v>413</v>
      </c>
      <c r="C725" s="59" t="s">
        <v>69</v>
      </c>
      <c r="D725" s="59" t="s">
        <v>70</v>
      </c>
      <c r="E725" s="59" t="s">
        <v>462</v>
      </c>
      <c r="F725" s="59"/>
      <c r="G725" s="143">
        <f>G726</f>
        <v>10</v>
      </c>
    </row>
    <row r="726" spans="1:7" ht="25.5">
      <c r="A726" s="28" t="s">
        <v>463</v>
      </c>
      <c r="B726" s="60" t="s">
        <v>413</v>
      </c>
      <c r="C726" s="59" t="s">
        <v>69</v>
      </c>
      <c r="D726" s="59" t="s">
        <v>70</v>
      </c>
      <c r="E726" s="59" t="s">
        <v>464</v>
      </c>
      <c r="F726" s="59"/>
      <c r="G726" s="58">
        <f>G727</f>
        <v>10</v>
      </c>
    </row>
    <row r="727" spans="1:7" ht="25.5">
      <c r="A727" s="28" t="s">
        <v>105</v>
      </c>
      <c r="B727" s="60" t="s">
        <v>413</v>
      </c>
      <c r="C727" s="59" t="s">
        <v>69</v>
      </c>
      <c r="D727" s="59" t="s">
        <v>70</v>
      </c>
      <c r="E727" s="59" t="s">
        <v>464</v>
      </c>
      <c r="F727" s="59" t="s">
        <v>106</v>
      </c>
      <c r="G727" s="58">
        <f>G728</f>
        <v>10</v>
      </c>
    </row>
    <row r="728" spans="1:7" ht="12.75">
      <c r="A728" s="28" t="s">
        <v>111</v>
      </c>
      <c r="B728" s="60" t="s">
        <v>413</v>
      </c>
      <c r="C728" s="59" t="s">
        <v>69</v>
      </c>
      <c r="D728" s="59" t="s">
        <v>70</v>
      </c>
      <c r="E728" s="59" t="s">
        <v>464</v>
      </c>
      <c r="F728" s="59" t="s">
        <v>112</v>
      </c>
      <c r="G728" s="58">
        <f>G729</f>
        <v>10</v>
      </c>
    </row>
    <row r="729" spans="1:7" ht="12.75">
      <c r="A729" s="28" t="s">
        <v>115</v>
      </c>
      <c r="B729" s="60" t="s">
        <v>413</v>
      </c>
      <c r="C729" s="59" t="s">
        <v>69</v>
      </c>
      <c r="D729" s="59" t="s">
        <v>70</v>
      </c>
      <c r="E729" s="59" t="s">
        <v>464</v>
      </c>
      <c r="F729" s="59" t="s">
        <v>116</v>
      </c>
      <c r="G729" s="58">
        <f>'МП пр.5'!G68</f>
        <v>10</v>
      </c>
    </row>
    <row r="730" spans="1:7" ht="18" customHeight="1">
      <c r="A730" s="28" t="s">
        <v>360</v>
      </c>
      <c r="B730" s="60" t="s">
        <v>413</v>
      </c>
      <c r="C730" s="59" t="s">
        <v>69</v>
      </c>
      <c r="D730" s="59" t="s">
        <v>70</v>
      </c>
      <c r="E730" s="59" t="s">
        <v>215</v>
      </c>
      <c r="F730" s="59"/>
      <c r="G730" s="58">
        <f>G731</f>
        <v>568.7</v>
      </c>
    </row>
    <row r="731" spans="1:7" ht="12.75">
      <c r="A731" s="28" t="s">
        <v>363</v>
      </c>
      <c r="B731" s="60" t="s">
        <v>413</v>
      </c>
      <c r="C731" s="59" t="s">
        <v>69</v>
      </c>
      <c r="D731" s="59" t="s">
        <v>70</v>
      </c>
      <c r="E731" s="59" t="s">
        <v>358</v>
      </c>
      <c r="F731" s="59"/>
      <c r="G731" s="58">
        <f>G732+G736</f>
        <v>568.7</v>
      </c>
    </row>
    <row r="732" spans="1:7" ht="41.25" customHeight="1">
      <c r="A732" s="28" t="s">
        <v>287</v>
      </c>
      <c r="B732" s="60" t="s">
        <v>413</v>
      </c>
      <c r="C732" s="59" t="s">
        <v>69</v>
      </c>
      <c r="D732" s="59" t="s">
        <v>70</v>
      </c>
      <c r="E732" s="59" t="s">
        <v>359</v>
      </c>
      <c r="F732" s="59"/>
      <c r="G732" s="58">
        <f>G733</f>
        <v>520</v>
      </c>
    </row>
    <row r="733" spans="1:7" ht="25.5">
      <c r="A733" s="28" t="s">
        <v>105</v>
      </c>
      <c r="B733" s="60" t="s">
        <v>413</v>
      </c>
      <c r="C733" s="59" t="s">
        <v>69</v>
      </c>
      <c r="D733" s="59" t="s">
        <v>70</v>
      </c>
      <c r="E733" s="59" t="s">
        <v>359</v>
      </c>
      <c r="F733" s="59" t="s">
        <v>106</v>
      </c>
      <c r="G733" s="58">
        <f>G734</f>
        <v>520</v>
      </c>
    </row>
    <row r="734" spans="1:7" ht="12.75">
      <c r="A734" s="28" t="s">
        <v>111</v>
      </c>
      <c r="B734" s="60" t="s">
        <v>413</v>
      </c>
      <c r="C734" s="59" t="s">
        <v>69</v>
      </c>
      <c r="D734" s="59" t="s">
        <v>70</v>
      </c>
      <c r="E734" s="59" t="s">
        <v>359</v>
      </c>
      <c r="F734" s="59" t="s">
        <v>112</v>
      </c>
      <c r="G734" s="58">
        <f>G735</f>
        <v>520</v>
      </c>
    </row>
    <row r="735" spans="1:7" ht="12.75">
      <c r="A735" s="28" t="s">
        <v>115</v>
      </c>
      <c r="B735" s="60" t="s">
        <v>413</v>
      </c>
      <c r="C735" s="59" t="s">
        <v>69</v>
      </c>
      <c r="D735" s="59" t="s">
        <v>70</v>
      </c>
      <c r="E735" s="59" t="s">
        <v>359</v>
      </c>
      <c r="F735" s="59" t="s">
        <v>116</v>
      </c>
      <c r="G735" s="58">
        <v>520</v>
      </c>
    </row>
    <row r="736" spans="1:7" ht="12.75">
      <c r="A736" s="28" t="s">
        <v>235</v>
      </c>
      <c r="B736" s="60" t="s">
        <v>413</v>
      </c>
      <c r="C736" s="59" t="s">
        <v>69</v>
      </c>
      <c r="D736" s="59" t="s">
        <v>70</v>
      </c>
      <c r="E736" s="59" t="s">
        <v>362</v>
      </c>
      <c r="F736" s="59"/>
      <c r="G736" s="58">
        <f>G737</f>
        <v>48.7</v>
      </c>
    </row>
    <row r="737" spans="1:7" ht="28.5" customHeight="1">
      <c r="A737" s="28" t="s">
        <v>105</v>
      </c>
      <c r="B737" s="60" t="s">
        <v>413</v>
      </c>
      <c r="C737" s="59" t="s">
        <v>69</v>
      </c>
      <c r="D737" s="59" t="s">
        <v>70</v>
      </c>
      <c r="E737" s="59" t="s">
        <v>362</v>
      </c>
      <c r="F737" s="59" t="s">
        <v>106</v>
      </c>
      <c r="G737" s="58">
        <f>G738</f>
        <v>48.7</v>
      </c>
    </row>
    <row r="738" spans="1:7" ht="12.75">
      <c r="A738" s="28" t="s">
        <v>111</v>
      </c>
      <c r="B738" s="60" t="s">
        <v>413</v>
      </c>
      <c r="C738" s="59" t="s">
        <v>69</v>
      </c>
      <c r="D738" s="59" t="s">
        <v>70</v>
      </c>
      <c r="E738" s="59" t="s">
        <v>362</v>
      </c>
      <c r="F738" s="59" t="s">
        <v>112</v>
      </c>
      <c r="G738" s="58">
        <f>G739</f>
        <v>48.7</v>
      </c>
    </row>
    <row r="739" spans="1:7" ht="12.75">
      <c r="A739" s="28" t="s">
        <v>115</v>
      </c>
      <c r="B739" s="60" t="s">
        <v>413</v>
      </c>
      <c r="C739" s="59" t="s">
        <v>69</v>
      </c>
      <c r="D739" s="59" t="s">
        <v>70</v>
      </c>
      <c r="E739" s="59" t="s">
        <v>362</v>
      </c>
      <c r="F739" s="59" t="s">
        <v>116</v>
      </c>
      <c r="G739" s="58">
        <f>30-1.3+20</f>
        <v>48.7</v>
      </c>
    </row>
    <row r="740" spans="1:7" ht="12.75">
      <c r="A740" s="28" t="s">
        <v>318</v>
      </c>
      <c r="B740" s="60" t="s">
        <v>413</v>
      </c>
      <c r="C740" s="59" t="s">
        <v>69</v>
      </c>
      <c r="D740" s="59" t="s">
        <v>70</v>
      </c>
      <c r="E740" s="59" t="s">
        <v>228</v>
      </c>
      <c r="F740" s="59"/>
      <c r="G740" s="58">
        <f>G741</f>
        <v>28696.3</v>
      </c>
    </row>
    <row r="741" spans="1:7" ht="38.25">
      <c r="A741" s="28" t="s">
        <v>473</v>
      </c>
      <c r="B741" s="60" t="s">
        <v>413</v>
      </c>
      <c r="C741" s="59" t="s">
        <v>69</v>
      </c>
      <c r="D741" s="59" t="s">
        <v>70</v>
      </c>
      <c r="E741" s="59" t="s">
        <v>373</v>
      </c>
      <c r="F741" s="59"/>
      <c r="G741" s="58">
        <f>G742</f>
        <v>28696.3</v>
      </c>
    </row>
    <row r="742" spans="1:7" ht="12.75">
      <c r="A742" s="28" t="s">
        <v>249</v>
      </c>
      <c r="B742" s="60" t="s">
        <v>413</v>
      </c>
      <c r="C742" s="59" t="s">
        <v>69</v>
      </c>
      <c r="D742" s="59" t="s">
        <v>70</v>
      </c>
      <c r="E742" s="59" t="s">
        <v>374</v>
      </c>
      <c r="F742" s="59"/>
      <c r="G742" s="58">
        <f>G743</f>
        <v>28696.3</v>
      </c>
    </row>
    <row r="743" spans="1:7" ht="25.5">
      <c r="A743" s="28" t="s">
        <v>105</v>
      </c>
      <c r="B743" s="60" t="s">
        <v>413</v>
      </c>
      <c r="C743" s="59" t="s">
        <v>69</v>
      </c>
      <c r="D743" s="59" t="s">
        <v>70</v>
      </c>
      <c r="E743" s="59" t="s">
        <v>374</v>
      </c>
      <c r="F743" s="59" t="s">
        <v>106</v>
      </c>
      <c r="G743" s="58">
        <f>G744</f>
        <v>28696.3</v>
      </c>
    </row>
    <row r="744" spans="1:7" ht="12.75">
      <c r="A744" s="28" t="s">
        <v>111</v>
      </c>
      <c r="B744" s="60" t="s">
        <v>413</v>
      </c>
      <c r="C744" s="59" t="s">
        <v>69</v>
      </c>
      <c r="D744" s="59" t="s">
        <v>70</v>
      </c>
      <c r="E744" s="59" t="s">
        <v>374</v>
      </c>
      <c r="F744" s="59" t="s">
        <v>112</v>
      </c>
      <c r="G744" s="58">
        <f>G745+G746</f>
        <v>28696.3</v>
      </c>
    </row>
    <row r="745" spans="1:7" ht="38.25">
      <c r="A745" s="28" t="s">
        <v>113</v>
      </c>
      <c r="B745" s="60" t="s">
        <v>413</v>
      </c>
      <c r="C745" s="59" t="s">
        <v>69</v>
      </c>
      <c r="D745" s="59" t="s">
        <v>70</v>
      </c>
      <c r="E745" s="59" t="s">
        <v>374</v>
      </c>
      <c r="F745" s="59" t="s">
        <v>114</v>
      </c>
      <c r="G745" s="58">
        <v>28596.3</v>
      </c>
    </row>
    <row r="746" spans="1:7" ht="12.75">
      <c r="A746" s="28" t="s">
        <v>115</v>
      </c>
      <c r="B746" s="60" t="s">
        <v>413</v>
      </c>
      <c r="C746" s="59" t="s">
        <v>69</v>
      </c>
      <c r="D746" s="59" t="s">
        <v>70</v>
      </c>
      <c r="E746" s="59" t="s">
        <v>374</v>
      </c>
      <c r="F746" s="59" t="s">
        <v>116</v>
      </c>
      <c r="G746" s="58">
        <v>100</v>
      </c>
    </row>
    <row r="747" spans="1:7" ht="12.75">
      <c r="A747" s="152" t="s">
        <v>612</v>
      </c>
      <c r="B747" s="62" t="s">
        <v>413</v>
      </c>
      <c r="C747" s="63" t="s">
        <v>69</v>
      </c>
      <c r="D747" s="63" t="s">
        <v>69</v>
      </c>
      <c r="E747" s="63"/>
      <c r="F747" s="63"/>
      <c r="G747" s="64">
        <f>G748+G764+G770+G786+G776</f>
        <v>7454.099999999999</v>
      </c>
    </row>
    <row r="748" spans="1:7" ht="12.75">
      <c r="A748" s="126" t="s">
        <v>531</v>
      </c>
      <c r="B748" s="60" t="s">
        <v>413</v>
      </c>
      <c r="C748" s="59" t="s">
        <v>69</v>
      </c>
      <c r="D748" s="59" t="s">
        <v>69</v>
      </c>
      <c r="E748" s="161" t="s">
        <v>183</v>
      </c>
      <c r="F748" s="59"/>
      <c r="G748" s="58">
        <f>G749</f>
        <v>434</v>
      </c>
    </row>
    <row r="749" spans="1:7" ht="25.5">
      <c r="A749" s="126" t="s">
        <v>253</v>
      </c>
      <c r="B749" s="60" t="s">
        <v>413</v>
      </c>
      <c r="C749" s="59" t="s">
        <v>69</v>
      </c>
      <c r="D749" s="59" t="s">
        <v>69</v>
      </c>
      <c r="E749" s="161" t="s">
        <v>331</v>
      </c>
      <c r="F749" s="59"/>
      <c r="G749" s="58">
        <f>G750+G760</f>
        <v>434</v>
      </c>
    </row>
    <row r="750" spans="1:7" ht="12.75">
      <c r="A750" s="126" t="s">
        <v>184</v>
      </c>
      <c r="B750" s="60" t="s">
        <v>413</v>
      </c>
      <c r="C750" s="59" t="s">
        <v>69</v>
      </c>
      <c r="D750" s="59" t="s">
        <v>69</v>
      </c>
      <c r="E750" s="161" t="s">
        <v>332</v>
      </c>
      <c r="F750" s="59"/>
      <c r="G750" s="58">
        <f>G751+G754+G757</f>
        <v>367</v>
      </c>
    </row>
    <row r="751" spans="1:7" ht="14.25" customHeight="1">
      <c r="A751" s="28" t="s">
        <v>610</v>
      </c>
      <c r="B751" s="60" t="s">
        <v>413</v>
      </c>
      <c r="C751" s="59" t="s">
        <v>69</v>
      </c>
      <c r="D751" s="59" t="s">
        <v>69</v>
      </c>
      <c r="E751" s="161" t="s">
        <v>332</v>
      </c>
      <c r="F751" s="59" t="s">
        <v>104</v>
      </c>
      <c r="G751" s="58">
        <f>G752</f>
        <v>24.4</v>
      </c>
    </row>
    <row r="752" spans="1:7" ht="24.75" customHeight="1">
      <c r="A752" s="28" t="s">
        <v>98</v>
      </c>
      <c r="B752" s="60" t="s">
        <v>413</v>
      </c>
      <c r="C752" s="59" t="s">
        <v>69</v>
      </c>
      <c r="D752" s="59" t="s">
        <v>69</v>
      </c>
      <c r="E752" s="161" t="s">
        <v>332</v>
      </c>
      <c r="F752" s="59" t="s">
        <v>99</v>
      </c>
      <c r="G752" s="58">
        <f>G753</f>
        <v>24.4</v>
      </c>
    </row>
    <row r="753" spans="1:7" ht="25.5">
      <c r="A753" s="28" t="s">
        <v>100</v>
      </c>
      <c r="B753" s="60" t="s">
        <v>413</v>
      </c>
      <c r="C753" s="59" t="s">
        <v>69</v>
      </c>
      <c r="D753" s="59" t="s">
        <v>69</v>
      </c>
      <c r="E753" s="161" t="s">
        <v>332</v>
      </c>
      <c r="F753" s="59" t="s">
        <v>101</v>
      </c>
      <c r="G753" s="58">
        <f>'МП пр.5'!G271</f>
        <v>24.4</v>
      </c>
    </row>
    <row r="754" spans="1:7" ht="12.75">
      <c r="A754" s="28" t="s">
        <v>117</v>
      </c>
      <c r="B754" s="60" t="s">
        <v>413</v>
      </c>
      <c r="C754" s="59" t="s">
        <v>69</v>
      </c>
      <c r="D754" s="59" t="s">
        <v>69</v>
      </c>
      <c r="E754" s="161" t="s">
        <v>332</v>
      </c>
      <c r="F754" s="59" t="s">
        <v>118</v>
      </c>
      <c r="G754" s="58">
        <f>G755+G756</f>
        <v>252</v>
      </c>
    </row>
    <row r="755" spans="1:7" ht="12.75">
      <c r="A755" s="28" t="s">
        <v>147</v>
      </c>
      <c r="B755" s="60" t="s">
        <v>413</v>
      </c>
      <c r="C755" s="59" t="s">
        <v>69</v>
      </c>
      <c r="D755" s="59" t="s">
        <v>69</v>
      </c>
      <c r="E755" s="161" t="s">
        <v>332</v>
      </c>
      <c r="F755" s="59" t="s">
        <v>146</v>
      </c>
      <c r="G755" s="58">
        <f>'МП пр.5'!G274</f>
        <v>202</v>
      </c>
    </row>
    <row r="756" spans="1:7" ht="12.75">
      <c r="A756" s="28" t="s">
        <v>149</v>
      </c>
      <c r="B756" s="60" t="s">
        <v>413</v>
      </c>
      <c r="C756" s="59" t="s">
        <v>69</v>
      </c>
      <c r="D756" s="59" t="s">
        <v>69</v>
      </c>
      <c r="E756" s="161" t="s">
        <v>332</v>
      </c>
      <c r="F756" s="59" t="s">
        <v>148</v>
      </c>
      <c r="G756" s="58">
        <f>'МП пр.5'!G276</f>
        <v>50</v>
      </c>
    </row>
    <row r="757" spans="1:7" ht="25.5">
      <c r="A757" s="28" t="s">
        <v>105</v>
      </c>
      <c r="B757" s="60" t="s">
        <v>413</v>
      </c>
      <c r="C757" s="59" t="s">
        <v>69</v>
      </c>
      <c r="D757" s="59" t="s">
        <v>69</v>
      </c>
      <c r="E757" s="161" t="s">
        <v>332</v>
      </c>
      <c r="F757" s="59" t="s">
        <v>106</v>
      </c>
      <c r="G757" s="58">
        <f>G758</f>
        <v>90.6</v>
      </c>
    </row>
    <row r="758" spans="1:7" ht="12.75">
      <c r="A758" s="28" t="s">
        <v>111</v>
      </c>
      <c r="B758" s="60" t="s">
        <v>413</v>
      </c>
      <c r="C758" s="59" t="s">
        <v>69</v>
      </c>
      <c r="D758" s="59" t="s">
        <v>69</v>
      </c>
      <c r="E758" s="161" t="s">
        <v>332</v>
      </c>
      <c r="F758" s="59" t="s">
        <v>112</v>
      </c>
      <c r="G758" s="58">
        <f>G759</f>
        <v>90.6</v>
      </c>
    </row>
    <row r="759" spans="1:7" ht="12.75">
      <c r="A759" s="28" t="s">
        <v>115</v>
      </c>
      <c r="B759" s="60" t="s">
        <v>413</v>
      </c>
      <c r="C759" s="59" t="s">
        <v>69</v>
      </c>
      <c r="D759" s="59" t="s">
        <v>69</v>
      </c>
      <c r="E759" s="161" t="s">
        <v>332</v>
      </c>
      <c r="F759" s="59" t="s">
        <v>116</v>
      </c>
      <c r="G759" s="58">
        <f>'МП пр.5'!G280</f>
        <v>90.6</v>
      </c>
    </row>
    <row r="760" spans="1:7" ht="12.75">
      <c r="A760" s="28" t="s">
        <v>532</v>
      </c>
      <c r="B760" s="60" t="s">
        <v>413</v>
      </c>
      <c r="C760" s="59" t="s">
        <v>69</v>
      </c>
      <c r="D760" s="59" t="s">
        <v>69</v>
      </c>
      <c r="E760" s="161" t="s">
        <v>533</v>
      </c>
      <c r="F760" s="59"/>
      <c r="G760" s="58">
        <f>G761</f>
        <v>67</v>
      </c>
    </row>
    <row r="761" spans="1:7" ht="25.5">
      <c r="A761" s="28" t="s">
        <v>610</v>
      </c>
      <c r="B761" s="60" t="s">
        <v>413</v>
      </c>
      <c r="C761" s="59" t="s">
        <v>69</v>
      </c>
      <c r="D761" s="59" t="s">
        <v>69</v>
      </c>
      <c r="E761" s="161" t="s">
        <v>533</v>
      </c>
      <c r="F761" s="59" t="s">
        <v>104</v>
      </c>
      <c r="G761" s="58">
        <f>G762</f>
        <v>67</v>
      </c>
    </row>
    <row r="762" spans="1:7" ht="25.5">
      <c r="A762" s="28" t="s">
        <v>98</v>
      </c>
      <c r="B762" s="60" t="s">
        <v>413</v>
      </c>
      <c r="C762" s="59" t="s">
        <v>69</v>
      </c>
      <c r="D762" s="59" t="s">
        <v>69</v>
      </c>
      <c r="E762" s="161" t="s">
        <v>533</v>
      </c>
      <c r="F762" s="59" t="s">
        <v>99</v>
      </c>
      <c r="G762" s="58">
        <f>G763</f>
        <v>67</v>
      </c>
    </row>
    <row r="763" spans="1:7" ht="25.5">
      <c r="A763" s="28" t="s">
        <v>100</v>
      </c>
      <c r="B763" s="60" t="s">
        <v>413</v>
      </c>
      <c r="C763" s="59" t="s">
        <v>69</v>
      </c>
      <c r="D763" s="59" t="s">
        <v>69</v>
      </c>
      <c r="E763" s="161" t="s">
        <v>533</v>
      </c>
      <c r="F763" s="59" t="s">
        <v>101</v>
      </c>
      <c r="G763" s="58">
        <f>'МП пр.5'!G287</f>
        <v>67</v>
      </c>
    </row>
    <row r="764" spans="1:7" ht="25.5">
      <c r="A764" s="126" t="s">
        <v>534</v>
      </c>
      <c r="B764" s="60" t="s">
        <v>413</v>
      </c>
      <c r="C764" s="59" t="s">
        <v>69</v>
      </c>
      <c r="D764" s="59" t="s">
        <v>69</v>
      </c>
      <c r="E764" s="161" t="s">
        <v>186</v>
      </c>
      <c r="F764" s="59"/>
      <c r="G764" s="58">
        <f>G765</f>
        <v>554.4</v>
      </c>
    </row>
    <row r="765" spans="1:7" ht="38.25">
      <c r="A765" s="126" t="s">
        <v>535</v>
      </c>
      <c r="B765" s="60" t="s">
        <v>413</v>
      </c>
      <c r="C765" s="59" t="s">
        <v>69</v>
      </c>
      <c r="D765" s="59" t="s">
        <v>69</v>
      </c>
      <c r="E765" s="161" t="s">
        <v>333</v>
      </c>
      <c r="F765" s="59"/>
      <c r="G765" s="58">
        <f>G766</f>
        <v>554.4</v>
      </c>
    </row>
    <row r="766" spans="1:7" ht="12.75">
      <c r="A766" s="126" t="s">
        <v>185</v>
      </c>
      <c r="B766" s="60" t="s">
        <v>413</v>
      </c>
      <c r="C766" s="59" t="s">
        <v>69</v>
      </c>
      <c r="D766" s="59" t="s">
        <v>69</v>
      </c>
      <c r="E766" s="161" t="s">
        <v>334</v>
      </c>
      <c r="F766" s="59"/>
      <c r="G766" s="58">
        <f>G767</f>
        <v>554.4</v>
      </c>
    </row>
    <row r="767" spans="1:7" ht="25.5">
      <c r="A767" s="28" t="s">
        <v>105</v>
      </c>
      <c r="B767" s="60" t="s">
        <v>413</v>
      </c>
      <c r="C767" s="59" t="s">
        <v>69</v>
      </c>
      <c r="D767" s="59" t="s">
        <v>69</v>
      </c>
      <c r="E767" s="161" t="s">
        <v>334</v>
      </c>
      <c r="F767" s="59" t="s">
        <v>106</v>
      </c>
      <c r="G767" s="58">
        <f>G768</f>
        <v>554.4</v>
      </c>
    </row>
    <row r="768" spans="1:7" ht="12.75">
      <c r="A768" s="28" t="s">
        <v>111</v>
      </c>
      <c r="B768" s="60" t="s">
        <v>413</v>
      </c>
      <c r="C768" s="59" t="s">
        <v>69</v>
      </c>
      <c r="D768" s="59" t="s">
        <v>69</v>
      </c>
      <c r="E768" s="161" t="s">
        <v>334</v>
      </c>
      <c r="F768" s="59" t="s">
        <v>112</v>
      </c>
      <c r="G768" s="58">
        <f>G769</f>
        <v>554.4</v>
      </c>
    </row>
    <row r="769" spans="1:7" ht="12.75">
      <c r="A769" s="28" t="s">
        <v>115</v>
      </c>
      <c r="B769" s="60" t="s">
        <v>413</v>
      </c>
      <c r="C769" s="59" t="s">
        <v>69</v>
      </c>
      <c r="D769" s="59" t="s">
        <v>69</v>
      </c>
      <c r="E769" s="161" t="s">
        <v>334</v>
      </c>
      <c r="F769" s="59" t="s">
        <v>116</v>
      </c>
      <c r="G769" s="58">
        <f>'МП пр.5'!G296</f>
        <v>554.4</v>
      </c>
    </row>
    <row r="770" spans="1:7" ht="25.5">
      <c r="A770" s="126" t="s">
        <v>536</v>
      </c>
      <c r="B770" s="60" t="s">
        <v>413</v>
      </c>
      <c r="C770" s="59" t="s">
        <v>69</v>
      </c>
      <c r="D770" s="59" t="s">
        <v>69</v>
      </c>
      <c r="E770" s="161" t="s">
        <v>188</v>
      </c>
      <c r="F770" s="59"/>
      <c r="G770" s="58">
        <f>G771</f>
        <v>85.7</v>
      </c>
    </row>
    <row r="771" spans="1:7" ht="25.5">
      <c r="A771" s="126" t="s">
        <v>254</v>
      </c>
      <c r="B771" s="60" t="s">
        <v>413</v>
      </c>
      <c r="C771" s="59" t="s">
        <v>69</v>
      </c>
      <c r="D771" s="59" t="s">
        <v>69</v>
      </c>
      <c r="E771" s="161" t="s">
        <v>335</v>
      </c>
      <c r="F771" s="59"/>
      <c r="G771" s="58">
        <f>G772</f>
        <v>85.7</v>
      </c>
    </row>
    <row r="772" spans="1:7" ht="12.75">
      <c r="A772" s="126" t="s">
        <v>187</v>
      </c>
      <c r="B772" s="60" t="s">
        <v>413</v>
      </c>
      <c r="C772" s="59" t="s">
        <v>69</v>
      </c>
      <c r="D772" s="59" t="s">
        <v>69</v>
      </c>
      <c r="E772" s="161" t="s">
        <v>336</v>
      </c>
      <c r="F772" s="59"/>
      <c r="G772" s="58">
        <f>G773</f>
        <v>85.7</v>
      </c>
    </row>
    <row r="773" spans="1:7" ht="25.5">
      <c r="A773" s="28" t="s">
        <v>105</v>
      </c>
      <c r="B773" s="60" t="s">
        <v>413</v>
      </c>
      <c r="C773" s="59" t="s">
        <v>69</v>
      </c>
      <c r="D773" s="59" t="s">
        <v>69</v>
      </c>
      <c r="E773" s="161" t="s">
        <v>336</v>
      </c>
      <c r="F773" s="59" t="s">
        <v>106</v>
      </c>
      <c r="G773" s="58">
        <f>G774</f>
        <v>85.7</v>
      </c>
    </row>
    <row r="774" spans="1:7" ht="12.75">
      <c r="A774" s="28" t="s">
        <v>111</v>
      </c>
      <c r="B774" s="60" t="s">
        <v>413</v>
      </c>
      <c r="C774" s="59" t="s">
        <v>69</v>
      </c>
      <c r="D774" s="59" t="s">
        <v>69</v>
      </c>
      <c r="E774" s="161" t="s">
        <v>336</v>
      </c>
      <c r="F774" s="59" t="s">
        <v>112</v>
      </c>
      <c r="G774" s="58">
        <f>G775</f>
        <v>85.7</v>
      </c>
    </row>
    <row r="775" spans="1:7" ht="12.75">
      <c r="A775" s="28" t="s">
        <v>115</v>
      </c>
      <c r="B775" s="60" t="s">
        <v>413</v>
      </c>
      <c r="C775" s="59" t="s">
        <v>69</v>
      </c>
      <c r="D775" s="59" t="s">
        <v>69</v>
      </c>
      <c r="E775" s="161" t="s">
        <v>336</v>
      </c>
      <c r="F775" s="59" t="s">
        <v>116</v>
      </c>
      <c r="G775" s="58">
        <f>'МП пр.5'!G315</f>
        <v>85.7</v>
      </c>
    </row>
    <row r="776" spans="1:7" ht="12.75">
      <c r="A776" s="126" t="s">
        <v>537</v>
      </c>
      <c r="B776" s="60" t="s">
        <v>413</v>
      </c>
      <c r="C776" s="59" t="s">
        <v>69</v>
      </c>
      <c r="D776" s="59" t="s">
        <v>69</v>
      </c>
      <c r="E776" s="161" t="s">
        <v>181</v>
      </c>
      <c r="F776" s="59"/>
      <c r="G776" s="58">
        <f>G777</f>
        <v>6193.2</v>
      </c>
    </row>
    <row r="777" spans="1:7" ht="25.5">
      <c r="A777" s="126" t="s">
        <v>252</v>
      </c>
      <c r="B777" s="60" t="s">
        <v>413</v>
      </c>
      <c r="C777" s="59" t="s">
        <v>69</v>
      </c>
      <c r="D777" s="59" t="s">
        <v>69</v>
      </c>
      <c r="E777" s="161" t="s">
        <v>337</v>
      </c>
      <c r="F777" s="59"/>
      <c r="G777" s="58">
        <f>G778+G782</f>
        <v>6193.2</v>
      </c>
    </row>
    <row r="778" spans="1:7" ht="25.5">
      <c r="A778" s="28" t="s">
        <v>538</v>
      </c>
      <c r="B778" s="60" t="s">
        <v>413</v>
      </c>
      <c r="C778" s="59" t="s">
        <v>69</v>
      </c>
      <c r="D778" s="59" t="s">
        <v>69</v>
      </c>
      <c r="E778" s="161" t="s">
        <v>539</v>
      </c>
      <c r="F778" s="59"/>
      <c r="G778" s="58">
        <f>G779</f>
        <v>2736.1</v>
      </c>
    </row>
    <row r="779" spans="1:7" ht="25.5">
      <c r="A779" s="28" t="s">
        <v>105</v>
      </c>
      <c r="B779" s="60" t="s">
        <v>413</v>
      </c>
      <c r="C779" s="59" t="s">
        <v>69</v>
      </c>
      <c r="D779" s="59" t="s">
        <v>69</v>
      </c>
      <c r="E779" s="161" t="s">
        <v>539</v>
      </c>
      <c r="F779" s="59" t="s">
        <v>106</v>
      </c>
      <c r="G779" s="58">
        <f>G780</f>
        <v>2736.1</v>
      </c>
    </row>
    <row r="780" spans="1:7" ht="12.75">
      <c r="A780" s="28" t="s">
        <v>111</v>
      </c>
      <c r="B780" s="60" t="s">
        <v>413</v>
      </c>
      <c r="C780" s="59" t="s">
        <v>69</v>
      </c>
      <c r="D780" s="59" t="s">
        <v>69</v>
      </c>
      <c r="E780" s="161" t="s">
        <v>539</v>
      </c>
      <c r="F780" s="59" t="s">
        <v>112</v>
      </c>
      <c r="G780" s="58">
        <f>G781</f>
        <v>2736.1</v>
      </c>
    </row>
    <row r="781" spans="1:7" ht="12.75">
      <c r="A781" s="28" t="s">
        <v>115</v>
      </c>
      <c r="B781" s="60" t="s">
        <v>413</v>
      </c>
      <c r="C781" s="59" t="s">
        <v>69</v>
      </c>
      <c r="D781" s="59" t="s">
        <v>69</v>
      </c>
      <c r="E781" s="161" t="s">
        <v>539</v>
      </c>
      <c r="F781" s="59" t="s">
        <v>116</v>
      </c>
      <c r="G781" s="58">
        <f>'МП пр.5'!G418</f>
        <v>2736.1</v>
      </c>
    </row>
    <row r="782" spans="1:7" ht="25.5">
      <c r="A782" s="28" t="s">
        <v>540</v>
      </c>
      <c r="B782" s="60" t="s">
        <v>413</v>
      </c>
      <c r="C782" s="59" t="s">
        <v>69</v>
      </c>
      <c r="D782" s="59" t="s">
        <v>69</v>
      </c>
      <c r="E782" s="161" t="s">
        <v>541</v>
      </c>
      <c r="F782" s="59"/>
      <c r="G782" s="58">
        <f>G783</f>
        <v>3457.1</v>
      </c>
    </row>
    <row r="783" spans="1:7" ht="25.5">
      <c r="A783" s="28" t="s">
        <v>105</v>
      </c>
      <c r="B783" s="60" t="s">
        <v>413</v>
      </c>
      <c r="C783" s="59" t="s">
        <v>69</v>
      </c>
      <c r="D783" s="59" t="s">
        <v>69</v>
      </c>
      <c r="E783" s="161" t="s">
        <v>541</v>
      </c>
      <c r="F783" s="59" t="s">
        <v>106</v>
      </c>
      <c r="G783" s="58">
        <f>G784</f>
        <v>3457.1</v>
      </c>
    </row>
    <row r="784" spans="1:7" ht="12.75">
      <c r="A784" s="28" t="s">
        <v>111</v>
      </c>
      <c r="B784" s="60" t="s">
        <v>413</v>
      </c>
      <c r="C784" s="59" t="s">
        <v>69</v>
      </c>
      <c r="D784" s="59" t="s">
        <v>69</v>
      </c>
      <c r="E784" s="161" t="s">
        <v>541</v>
      </c>
      <c r="F784" s="59" t="s">
        <v>112</v>
      </c>
      <c r="G784" s="58">
        <f>G785</f>
        <v>3457.1</v>
      </c>
    </row>
    <row r="785" spans="1:7" ht="12.75">
      <c r="A785" s="28" t="s">
        <v>115</v>
      </c>
      <c r="B785" s="60" t="s">
        <v>413</v>
      </c>
      <c r="C785" s="59" t="s">
        <v>69</v>
      </c>
      <c r="D785" s="59" t="s">
        <v>69</v>
      </c>
      <c r="E785" s="161" t="s">
        <v>541</v>
      </c>
      <c r="F785" s="59" t="s">
        <v>116</v>
      </c>
      <c r="G785" s="58">
        <f>'МП пр.5'!G425</f>
        <v>3457.1</v>
      </c>
    </row>
    <row r="786" spans="1:7" ht="25.5">
      <c r="A786" s="126" t="s">
        <v>423</v>
      </c>
      <c r="B786" s="60" t="s">
        <v>413</v>
      </c>
      <c r="C786" s="59" t="s">
        <v>69</v>
      </c>
      <c r="D786" s="59" t="s">
        <v>69</v>
      </c>
      <c r="E786" s="161" t="s">
        <v>189</v>
      </c>
      <c r="F786" s="59"/>
      <c r="G786" s="58">
        <f>G787</f>
        <v>186.8</v>
      </c>
    </row>
    <row r="787" spans="1:7" ht="25.5">
      <c r="A787" s="28" t="s">
        <v>542</v>
      </c>
      <c r="B787" s="60" t="s">
        <v>413</v>
      </c>
      <c r="C787" s="59" t="s">
        <v>69</v>
      </c>
      <c r="D787" s="59" t="s">
        <v>69</v>
      </c>
      <c r="E787" s="161" t="s">
        <v>543</v>
      </c>
      <c r="F787" s="59"/>
      <c r="G787" s="58">
        <f>G788+G792</f>
        <v>186.8</v>
      </c>
    </row>
    <row r="788" spans="1:7" ht="25.5">
      <c r="A788" s="126" t="s">
        <v>625</v>
      </c>
      <c r="B788" s="60" t="s">
        <v>413</v>
      </c>
      <c r="C788" s="59" t="s">
        <v>69</v>
      </c>
      <c r="D788" s="59" t="s">
        <v>69</v>
      </c>
      <c r="E788" s="161" t="s">
        <v>626</v>
      </c>
      <c r="F788" s="59"/>
      <c r="G788" s="58">
        <f>G789</f>
        <v>86.80000000000001</v>
      </c>
    </row>
    <row r="789" spans="1:7" ht="25.5">
      <c r="A789" s="28" t="s">
        <v>105</v>
      </c>
      <c r="B789" s="60" t="s">
        <v>413</v>
      </c>
      <c r="C789" s="59" t="s">
        <v>69</v>
      </c>
      <c r="D789" s="59" t="s">
        <v>69</v>
      </c>
      <c r="E789" s="161" t="s">
        <v>626</v>
      </c>
      <c r="F789" s="59" t="s">
        <v>106</v>
      </c>
      <c r="G789" s="58">
        <f>G790</f>
        <v>86.80000000000001</v>
      </c>
    </row>
    <row r="790" spans="1:7" ht="12.75">
      <c r="A790" s="28" t="s">
        <v>111</v>
      </c>
      <c r="B790" s="60" t="s">
        <v>413</v>
      </c>
      <c r="C790" s="59" t="s">
        <v>69</v>
      </c>
      <c r="D790" s="59" t="s">
        <v>69</v>
      </c>
      <c r="E790" s="161" t="s">
        <v>626</v>
      </c>
      <c r="F790" s="59" t="s">
        <v>112</v>
      </c>
      <c r="G790" s="58">
        <f>G791</f>
        <v>86.80000000000001</v>
      </c>
    </row>
    <row r="791" spans="1:7" ht="12.75">
      <c r="A791" s="28" t="s">
        <v>115</v>
      </c>
      <c r="B791" s="60" t="s">
        <v>413</v>
      </c>
      <c r="C791" s="59" t="s">
        <v>69</v>
      </c>
      <c r="D791" s="59" t="s">
        <v>69</v>
      </c>
      <c r="E791" s="161" t="s">
        <v>626</v>
      </c>
      <c r="F791" s="59" t="s">
        <v>116</v>
      </c>
      <c r="G791" s="58">
        <f>'МП пр.5'!G693</f>
        <v>86.80000000000001</v>
      </c>
    </row>
    <row r="792" spans="1:7" ht="25.5">
      <c r="A792" s="126" t="s">
        <v>605</v>
      </c>
      <c r="B792" s="60" t="s">
        <v>413</v>
      </c>
      <c r="C792" s="59" t="s">
        <v>69</v>
      </c>
      <c r="D792" s="59" t="s">
        <v>69</v>
      </c>
      <c r="E792" s="161" t="s">
        <v>544</v>
      </c>
      <c r="F792" s="59"/>
      <c r="G792" s="58">
        <f>G793</f>
        <v>100</v>
      </c>
    </row>
    <row r="793" spans="1:7" ht="15" customHeight="1">
      <c r="A793" s="126" t="s">
        <v>190</v>
      </c>
      <c r="B793" s="60" t="s">
        <v>413</v>
      </c>
      <c r="C793" s="59" t="s">
        <v>69</v>
      </c>
      <c r="D793" s="59" t="s">
        <v>69</v>
      </c>
      <c r="E793" s="161" t="s">
        <v>544</v>
      </c>
      <c r="F793" s="59"/>
      <c r="G793" s="58">
        <f>G794</f>
        <v>100</v>
      </c>
    </row>
    <row r="794" spans="1:7" ht="12.75">
      <c r="A794" s="28" t="s">
        <v>117</v>
      </c>
      <c r="B794" s="60" t="s">
        <v>413</v>
      </c>
      <c r="C794" s="59" t="s">
        <v>69</v>
      </c>
      <c r="D794" s="59" t="s">
        <v>69</v>
      </c>
      <c r="E794" s="161" t="s">
        <v>544</v>
      </c>
      <c r="F794" s="59" t="s">
        <v>118</v>
      </c>
      <c r="G794" s="58">
        <f>G795</f>
        <v>100</v>
      </c>
    </row>
    <row r="795" spans="1:7" ht="12.75">
      <c r="A795" s="28" t="s">
        <v>137</v>
      </c>
      <c r="B795" s="60" t="s">
        <v>413</v>
      </c>
      <c r="C795" s="59" t="s">
        <v>69</v>
      </c>
      <c r="D795" s="59" t="s">
        <v>69</v>
      </c>
      <c r="E795" s="161" t="s">
        <v>544</v>
      </c>
      <c r="F795" s="59" t="s">
        <v>136</v>
      </c>
      <c r="G795" s="58">
        <f>G796</f>
        <v>100</v>
      </c>
    </row>
    <row r="796" spans="1:7" ht="25.5">
      <c r="A796" s="28" t="s">
        <v>138</v>
      </c>
      <c r="B796" s="60" t="s">
        <v>413</v>
      </c>
      <c r="C796" s="59" t="s">
        <v>69</v>
      </c>
      <c r="D796" s="59" t="s">
        <v>69</v>
      </c>
      <c r="E796" s="161" t="s">
        <v>544</v>
      </c>
      <c r="F796" s="59" t="s">
        <v>139</v>
      </c>
      <c r="G796" s="58">
        <f>'МП пр.5'!G700</f>
        <v>100</v>
      </c>
    </row>
    <row r="797" spans="1:7" ht="12.75">
      <c r="A797" s="61" t="s">
        <v>11</v>
      </c>
      <c r="B797" s="62" t="s">
        <v>413</v>
      </c>
      <c r="C797" s="63" t="s">
        <v>69</v>
      </c>
      <c r="D797" s="63" t="s">
        <v>75</v>
      </c>
      <c r="E797" s="63"/>
      <c r="F797" s="63"/>
      <c r="G797" s="64">
        <f>G798+G812+G828+G857</f>
        <v>38715.7</v>
      </c>
    </row>
    <row r="798" spans="1:7" ht="12.75">
      <c r="A798" s="28" t="s">
        <v>360</v>
      </c>
      <c r="B798" s="60" t="s">
        <v>413</v>
      </c>
      <c r="C798" s="59" t="s">
        <v>69</v>
      </c>
      <c r="D798" s="59" t="s">
        <v>75</v>
      </c>
      <c r="E798" s="59" t="s">
        <v>215</v>
      </c>
      <c r="F798" s="59"/>
      <c r="G798" s="58">
        <f>G799</f>
        <v>1169.4</v>
      </c>
    </row>
    <row r="799" spans="1:7" ht="12.75">
      <c r="A799" s="28" t="s">
        <v>361</v>
      </c>
      <c r="B799" s="60" t="s">
        <v>413</v>
      </c>
      <c r="C799" s="59" t="s">
        <v>69</v>
      </c>
      <c r="D799" s="59" t="s">
        <v>75</v>
      </c>
      <c r="E799" s="59" t="s">
        <v>358</v>
      </c>
      <c r="F799" s="59"/>
      <c r="G799" s="58">
        <f>G800+G806</f>
        <v>1169.4</v>
      </c>
    </row>
    <row r="800" spans="1:7" ht="51">
      <c r="A800" s="28" t="s">
        <v>287</v>
      </c>
      <c r="B800" s="60" t="s">
        <v>413</v>
      </c>
      <c r="C800" s="59" t="s">
        <v>69</v>
      </c>
      <c r="D800" s="59" t="s">
        <v>75</v>
      </c>
      <c r="E800" s="59" t="s">
        <v>359</v>
      </c>
      <c r="F800" s="59"/>
      <c r="G800" s="58">
        <f>G801</f>
        <v>1090.2</v>
      </c>
    </row>
    <row r="801" spans="1:7" ht="38.25">
      <c r="A801" s="28" t="s">
        <v>102</v>
      </c>
      <c r="B801" s="60" t="s">
        <v>413</v>
      </c>
      <c r="C801" s="59" t="s">
        <v>69</v>
      </c>
      <c r="D801" s="59" t="s">
        <v>75</v>
      </c>
      <c r="E801" s="59" t="s">
        <v>359</v>
      </c>
      <c r="F801" s="59" t="s">
        <v>103</v>
      </c>
      <c r="G801" s="58">
        <f>G802+G804</f>
        <v>1090.2</v>
      </c>
    </row>
    <row r="802" spans="1:7" ht="12.75">
      <c r="A802" s="28" t="s">
        <v>295</v>
      </c>
      <c r="B802" s="60" t="s">
        <v>413</v>
      </c>
      <c r="C802" s="59" t="s">
        <v>69</v>
      </c>
      <c r="D802" s="59" t="s">
        <v>75</v>
      </c>
      <c r="E802" s="59" t="s">
        <v>359</v>
      </c>
      <c r="F802" s="59" t="s">
        <v>297</v>
      </c>
      <c r="G802" s="58">
        <f>G803</f>
        <v>825</v>
      </c>
    </row>
    <row r="803" spans="1:7" ht="12.75">
      <c r="A803" s="28" t="s">
        <v>434</v>
      </c>
      <c r="B803" s="60" t="s">
        <v>413</v>
      </c>
      <c r="C803" s="59" t="s">
        <v>69</v>
      </c>
      <c r="D803" s="59" t="s">
        <v>75</v>
      </c>
      <c r="E803" s="59" t="s">
        <v>359</v>
      </c>
      <c r="F803" s="59" t="s">
        <v>296</v>
      </c>
      <c r="G803" s="58">
        <f>740+85</f>
        <v>825</v>
      </c>
    </row>
    <row r="804" spans="1:7" ht="12.75">
      <c r="A804" s="28" t="s">
        <v>93</v>
      </c>
      <c r="B804" s="60" t="s">
        <v>413</v>
      </c>
      <c r="C804" s="59" t="s">
        <v>69</v>
      </c>
      <c r="D804" s="59" t="s">
        <v>75</v>
      </c>
      <c r="E804" s="59" t="s">
        <v>359</v>
      </c>
      <c r="F804" s="59" t="s">
        <v>94</v>
      </c>
      <c r="G804" s="58">
        <f>G805</f>
        <v>265.2</v>
      </c>
    </row>
    <row r="805" spans="1:7" ht="25.5">
      <c r="A805" s="28" t="s">
        <v>96</v>
      </c>
      <c r="B805" s="60" t="s">
        <v>413</v>
      </c>
      <c r="C805" s="59" t="s">
        <v>69</v>
      </c>
      <c r="D805" s="59" t="s">
        <v>75</v>
      </c>
      <c r="E805" s="59" t="s">
        <v>359</v>
      </c>
      <c r="F805" s="59" t="s">
        <v>97</v>
      </c>
      <c r="G805" s="58">
        <f>260+5.2</f>
        <v>265.2</v>
      </c>
    </row>
    <row r="806" spans="1:7" ht="12.75">
      <c r="A806" s="28" t="s">
        <v>235</v>
      </c>
      <c r="B806" s="60" t="s">
        <v>413</v>
      </c>
      <c r="C806" s="59" t="s">
        <v>69</v>
      </c>
      <c r="D806" s="59" t="s">
        <v>75</v>
      </c>
      <c r="E806" s="59" t="s">
        <v>362</v>
      </c>
      <c r="F806" s="59"/>
      <c r="G806" s="58">
        <f>G807</f>
        <v>79.2</v>
      </c>
    </row>
    <row r="807" spans="1:7" ht="38.25">
      <c r="A807" s="28" t="s">
        <v>102</v>
      </c>
      <c r="B807" s="60" t="s">
        <v>413</v>
      </c>
      <c r="C807" s="59" t="s">
        <v>69</v>
      </c>
      <c r="D807" s="59" t="s">
        <v>75</v>
      </c>
      <c r="E807" s="59" t="s">
        <v>362</v>
      </c>
      <c r="F807" s="59" t="s">
        <v>103</v>
      </c>
      <c r="G807" s="58">
        <f>G808+G810</f>
        <v>79.2</v>
      </c>
    </row>
    <row r="808" spans="1:7" ht="12.75" customHeight="1">
      <c r="A808" s="28" t="s">
        <v>295</v>
      </c>
      <c r="B808" s="60" t="s">
        <v>413</v>
      </c>
      <c r="C808" s="59" t="s">
        <v>69</v>
      </c>
      <c r="D808" s="59" t="s">
        <v>75</v>
      </c>
      <c r="E808" s="59" t="s">
        <v>362</v>
      </c>
      <c r="F808" s="59" t="s">
        <v>297</v>
      </c>
      <c r="G808" s="58">
        <f>G809</f>
        <v>59.2</v>
      </c>
    </row>
    <row r="809" spans="1:7" ht="12.75">
      <c r="A809" s="28" t="s">
        <v>434</v>
      </c>
      <c r="B809" s="60" t="s">
        <v>413</v>
      </c>
      <c r="C809" s="59" t="s">
        <v>69</v>
      </c>
      <c r="D809" s="59" t="s">
        <v>75</v>
      </c>
      <c r="E809" s="59" t="s">
        <v>362</v>
      </c>
      <c r="F809" s="59" t="s">
        <v>296</v>
      </c>
      <c r="G809" s="58">
        <f>11.2+48</f>
        <v>59.2</v>
      </c>
    </row>
    <row r="810" spans="1:7" ht="12.75">
      <c r="A810" s="28" t="s">
        <v>93</v>
      </c>
      <c r="B810" s="60" t="s">
        <v>413</v>
      </c>
      <c r="C810" s="59" t="s">
        <v>69</v>
      </c>
      <c r="D810" s="59" t="s">
        <v>75</v>
      </c>
      <c r="E810" s="59" t="s">
        <v>362</v>
      </c>
      <c r="F810" s="59" t="s">
        <v>94</v>
      </c>
      <c r="G810" s="58">
        <f>G811</f>
        <v>20</v>
      </c>
    </row>
    <row r="811" spans="1:7" ht="25.5">
      <c r="A811" s="28" t="s">
        <v>96</v>
      </c>
      <c r="B811" s="60" t="s">
        <v>413</v>
      </c>
      <c r="C811" s="59" t="s">
        <v>69</v>
      </c>
      <c r="D811" s="59" t="s">
        <v>75</v>
      </c>
      <c r="E811" s="59" t="s">
        <v>362</v>
      </c>
      <c r="F811" s="59" t="s">
        <v>97</v>
      </c>
      <c r="G811" s="58">
        <v>20</v>
      </c>
    </row>
    <row r="812" spans="1:7" ht="25.5">
      <c r="A812" s="28" t="s">
        <v>416</v>
      </c>
      <c r="B812" s="60" t="s">
        <v>413</v>
      </c>
      <c r="C812" s="59" t="s">
        <v>69</v>
      </c>
      <c r="D812" s="59" t="s">
        <v>75</v>
      </c>
      <c r="E812" s="59" t="s">
        <v>214</v>
      </c>
      <c r="F812" s="59"/>
      <c r="G812" s="58">
        <f>G813</f>
        <v>8347.4</v>
      </c>
    </row>
    <row r="813" spans="1:7" ht="12.75">
      <c r="A813" s="28" t="s">
        <v>50</v>
      </c>
      <c r="B813" s="60" t="s">
        <v>413</v>
      </c>
      <c r="C813" s="59" t="s">
        <v>69</v>
      </c>
      <c r="D813" s="59" t="s">
        <v>75</v>
      </c>
      <c r="E813" s="59" t="s">
        <v>240</v>
      </c>
      <c r="F813" s="59"/>
      <c r="G813" s="58">
        <f>G814+G820</f>
        <v>8347.4</v>
      </c>
    </row>
    <row r="814" spans="1:7" ht="12.75">
      <c r="A814" s="28" t="s">
        <v>236</v>
      </c>
      <c r="B814" s="60" t="s">
        <v>413</v>
      </c>
      <c r="C814" s="59" t="s">
        <v>69</v>
      </c>
      <c r="D814" s="59" t="s">
        <v>75</v>
      </c>
      <c r="E814" s="59" t="s">
        <v>241</v>
      </c>
      <c r="F814" s="59"/>
      <c r="G814" s="58">
        <f>G815</f>
        <v>8065.6</v>
      </c>
    </row>
    <row r="815" spans="1:7" ht="38.25">
      <c r="A815" s="28" t="s">
        <v>102</v>
      </c>
      <c r="B815" s="60" t="s">
        <v>413</v>
      </c>
      <c r="C815" s="59" t="s">
        <v>69</v>
      </c>
      <c r="D815" s="59" t="s">
        <v>75</v>
      </c>
      <c r="E815" s="59" t="s">
        <v>241</v>
      </c>
      <c r="F815" s="59" t="s">
        <v>103</v>
      </c>
      <c r="G815" s="58">
        <f>G816</f>
        <v>8065.6</v>
      </c>
    </row>
    <row r="816" spans="1:7" ht="12.75">
      <c r="A816" s="28" t="s">
        <v>93</v>
      </c>
      <c r="B816" s="60" t="s">
        <v>413</v>
      </c>
      <c r="C816" s="59" t="s">
        <v>69</v>
      </c>
      <c r="D816" s="59" t="s">
        <v>75</v>
      </c>
      <c r="E816" s="59" t="s">
        <v>241</v>
      </c>
      <c r="F816" s="59" t="s">
        <v>94</v>
      </c>
      <c r="G816" s="58">
        <f>G817+G818+G819</f>
        <v>8065.6</v>
      </c>
    </row>
    <row r="817" spans="1:7" ht="12.75">
      <c r="A817" s="28" t="s">
        <v>158</v>
      </c>
      <c r="B817" s="60" t="s">
        <v>413</v>
      </c>
      <c r="C817" s="59" t="s">
        <v>69</v>
      </c>
      <c r="D817" s="59" t="s">
        <v>75</v>
      </c>
      <c r="E817" s="59" t="s">
        <v>241</v>
      </c>
      <c r="F817" s="59" t="s">
        <v>95</v>
      </c>
      <c r="G817" s="58">
        <f>6227.2+29+93</f>
        <v>6349.2</v>
      </c>
    </row>
    <row r="818" spans="1:7" ht="25.5">
      <c r="A818" s="28" t="s">
        <v>96</v>
      </c>
      <c r="B818" s="60" t="s">
        <v>413</v>
      </c>
      <c r="C818" s="59" t="s">
        <v>69</v>
      </c>
      <c r="D818" s="59" t="s">
        <v>75</v>
      </c>
      <c r="E818" s="59" t="s">
        <v>241</v>
      </c>
      <c r="F818" s="59" t="s">
        <v>97</v>
      </c>
      <c r="G818" s="58">
        <v>111</v>
      </c>
    </row>
    <row r="819" spans="1:7" ht="25.5">
      <c r="A819" s="28" t="s">
        <v>160</v>
      </c>
      <c r="B819" s="60" t="s">
        <v>413</v>
      </c>
      <c r="C819" s="59" t="s">
        <v>69</v>
      </c>
      <c r="D819" s="59" t="s">
        <v>75</v>
      </c>
      <c r="E819" s="59" t="s">
        <v>241</v>
      </c>
      <c r="F819" s="59" t="s">
        <v>159</v>
      </c>
      <c r="G819" s="58">
        <f>1868-262.6</f>
        <v>1605.4</v>
      </c>
    </row>
    <row r="820" spans="1:7" ht="12.75">
      <c r="A820" s="28" t="s">
        <v>237</v>
      </c>
      <c r="B820" s="60" t="s">
        <v>413</v>
      </c>
      <c r="C820" s="59" t="s">
        <v>69</v>
      </c>
      <c r="D820" s="59" t="s">
        <v>75</v>
      </c>
      <c r="E820" s="59" t="s">
        <v>242</v>
      </c>
      <c r="F820" s="59"/>
      <c r="G820" s="58">
        <f>G821+G824</f>
        <v>281.8</v>
      </c>
    </row>
    <row r="821" spans="1:7" ht="25.5">
      <c r="A821" s="28" t="s">
        <v>610</v>
      </c>
      <c r="B821" s="60" t="s">
        <v>413</v>
      </c>
      <c r="C821" s="59" t="s">
        <v>69</v>
      </c>
      <c r="D821" s="59" t="s">
        <v>75</v>
      </c>
      <c r="E821" s="59" t="s">
        <v>242</v>
      </c>
      <c r="F821" s="59" t="s">
        <v>104</v>
      </c>
      <c r="G821" s="58">
        <f>G822</f>
        <v>278.8</v>
      </c>
    </row>
    <row r="822" spans="1:7" ht="30" customHeight="1">
      <c r="A822" s="28" t="s">
        <v>98</v>
      </c>
      <c r="B822" s="60" t="s">
        <v>413</v>
      </c>
      <c r="C822" s="59" t="s">
        <v>69</v>
      </c>
      <c r="D822" s="59" t="s">
        <v>75</v>
      </c>
      <c r="E822" s="59" t="s">
        <v>242</v>
      </c>
      <c r="F822" s="59" t="s">
        <v>99</v>
      </c>
      <c r="G822" s="58">
        <f>G823</f>
        <v>278.8</v>
      </c>
    </row>
    <row r="823" spans="1:7" ht="25.5" customHeight="1">
      <c r="A823" s="28" t="s">
        <v>100</v>
      </c>
      <c r="B823" s="60" t="s">
        <v>413</v>
      </c>
      <c r="C823" s="59" t="s">
        <v>69</v>
      </c>
      <c r="D823" s="59" t="s">
        <v>75</v>
      </c>
      <c r="E823" s="59" t="s">
        <v>242</v>
      </c>
      <c r="F823" s="59" t="s">
        <v>101</v>
      </c>
      <c r="G823" s="58">
        <f>354-75.2</f>
        <v>278.8</v>
      </c>
    </row>
    <row r="824" spans="1:7" s="57" customFormat="1" ht="16.5" customHeight="1">
      <c r="A824" s="28" t="s">
        <v>128</v>
      </c>
      <c r="B824" s="60" t="s">
        <v>413</v>
      </c>
      <c r="C824" s="59" t="s">
        <v>69</v>
      </c>
      <c r="D824" s="59" t="s">
        <v>75</v>
      </c>
      <c r="E824" s="59" t="s">
        <v>242</v>
      </c>
      <c r="F824" s="59" t="s">
        <v>129</v>
      </c>
      <c r="G824" s="58">
        <f>G825</f>
        <v>3</v>
      </c>
    </row>
    <row r="825" spans="1:7" s="57" customFormat="1" ht="16.5" customHeight="1">
      <c r="A825" s="28" t="s">
        <v>131</v>
      </c>
      <c r="B825" s="60" t="s">
        <v>413</v>
      </c>
      <c r="C825" s="59" t="s">
        <v>69</v>
      </c>
      <c r="D825" s="59" t="s">
        <v>75</v>
      </c>
      <c r="E825" s="59" t="s">
        <v>242</v>
      </c>
      <c r="F825" s="59" t="s">
        <v>132</v>
      </c>
      <c r="G825" s="58">
        <f>G826+G827</f>
        <v>3</v>
      </c>
    </row>
    <row r="826" spans="1:7" s="57" customFormat="1" ht="16.5" customHeight="1">
      <c r="A826" s="28" t="s">
        <v>133</v>
      </c>
      <c r="B826" s="60" t="s">
        <v>413</v>
      </c>
      <c r="C826" s="59" t="s">
        <v>69</v>
      </c>
      <c r="D826" s="59" t="s">
        <v>75</v>
      </c>
      <c r="E826" s="59" t="s">
        <v>242</v>
      </c>
      <c r="F826" s="59" t="s">
        <v>134</v>
      </c>
      <c r="G826" s="58">
        <v>1</v>
      </c>
    </row>
    <row r="827" spans="1:7" ht="17.25" customHeight="1">
      <c r="A827" s="28" t="s">
        <v>161</v>
      </c>
      <c r="B827" s="60" t="s">
        <v>413</v>
      </c>
      <c r="C827" s="59" t="s">
        <v>69</v>
      </c>
      <c r="D827" s="59" t="s">
        <v>75</v>
      </c>
      <c r="E827" s="59" t="s">
        <v>242</v>
      </c>
      <c r="F827" s="59" t="s">
        <v>135</v>
      </c>
      <c r="G827" s="58">
        <v>2</v>
      </c>
    </row>
    <row r="828" spans="1:7" ht="37.5" customHeight="1">
      <c r="A828" s="28" t="s">
        <v>294</v>
      </c>
      <c r="B828" s="60" t="s">
        <v>413</v>
      </c>
      <c r="C828" s="59" t="s">
        <v>69</v>
      </c>
      <c r="D828" s="59" t="s">
        <v>75</v>
      </c>
      <c r="E828" s="59" t="s">
        <v>229</v>
      </c>
      <c r="F828" s="59"/>
      <c r="G828" s="58">
        <f>G829</f>
        <v>29058.9</v>
      </c>
    </row>
    <row r="829" spans="1:7" ht="43.5" customHeight="1">
      <c r="A829" s="28" t="s">
        <v>473</v>
      </c>
      <c r="B829" s="60" t="s">
        <v>413</v>
      </c>
      <c r="C829" s="59" t="s">
        <v>69</v>
      </c>
      <c r="D829" s="59" t="s">
        <v>75</v>
      </c>
      <c r="E829" s="59" t="s">
        <v>375</v>
      </c>
      <c r="F829" s="59"/>
      <c r="G829" s="58">
        <f>G830+G843</f>
        <v>29058.9</v>
      </c>
    </row>
    <row r="830" spans="1:7" ht="13.5" customHeight="1">
      <c r="A830" s="28" t="s">
        <v>376</v>
      </c>
      <c r="B830" s="60" t="s">
        <v>413</v>
      </c>
      <c r="C830" s="59" t="s">
        <v>69</v>
      </c>
      <c r="D830" s="59" t="s">
        <v>75</v>
      </c>
      <c r="E830" s="59" t="s">
        <v>406</v>
      </c>
      <c r="F830" s="59"/>
      <c r="G830" s="58">
        <f>G831+G836+G839</f>
        <v>15272.099999999999</v>
      </c>
    </row>
    <row r="831" spans="1:7" ht="38.25">
      <c r="A831" s="28" t="s">
        <v>102</v>
      </c>
      <c r="B831" s="60" t="s">
        <v>413</v>
      </c>
      <c r="C831" s="59" t="s">
        <v>69</v>
      </c>
      <c r="D831" s="59" t="s">
        <v>75</v>
      </c>
      <c r="E831" s="59" t="s">
        <v>406</v>
      </c>
      <c r="F831" s="59" t="s">
        <v>103</v>
      </c>
      <c r="G831" s="58">
        <f>G832</f>
        <v>14652.8</v>
      </c>
    </row>
    <row r="832" spans="1:7" ht="12.75">
      <c r="A832" s="28" t="s">
        <v>295</v>
      </c>
      <c r="B832" s="60" t="s">
        <v>413</v>
      </c>
      <c r="C832" s="59" t="s">
        <v>69</v>
      </c>
      <c r="D832" s="59" t="s">
        <v>75</v>
      </c>
      <c r="E832" s="59" t="s">
        <v>406</v>
      </c>
      <c r="F832" s="59" t="s">
        <v>297</v>
      </c>
      <c r="G832" s="58">
        <f>G833+G834+G835</f>
        <v>14652.8</v>
      </c>
    </row>
    <row r="833" spans="1:7" ht="12.75">
      <c r="A833" s="28" t="s">
        <v>545</v>
      </c>
      <c r="B833" s="60" t="s">
        <v>413</v>
      </c>
      <c r="C833" s="59" t="s">
        <v>69</v>
      </c>
      <c r="D833" s="59" t="s">
        <v>75</v>
      </c>
      <c r="E833" s="59" t="s">
        <v>406</v>
      </c>
      <c r="F833" s="59" t="s">
        <v>298</v>
      </c>
      <c r="G833" s="58">
        <f>10401.5-184+886.8</f>
        <v>11104.3</v>
      </c>
    </row>
    <row r="834" spans="1:7" ht="12.75">
      <c r="A834" s="28" t="s">
        <v>434</v>
      </c>
      <c r="B834" s="60" t="s">
        <v>413</v>
      </c>
      <c r="C834" s="59" t="s">
        <v>69</v>
      </c>
      <c r="D834" s="59" t="s">
        <v>75</v>
      </c>
      <c r="E834" s="59" t="s">
        <v>406</v>
      </c>
      <c r="F834" s="59" t="s">
        <v>296</v>
      </c>
      <c r="G834" s="58">
        <f>34.6-14.6</f>
        <v>20</v>
      </c>
    </row>
    <row r="835" spans="1:7" ht="25.5">
      <c r="A835" s="28" t="s">
        <v>438</v>
      </c>
      <c r="B835" s="60" t="s">
        <v>413</v>
      </c>
      <c r="C835" s="59" t="s">
        <v>69</v>
      </c>
      <c r="D835" s="59" t="s">
        <v>75</v>
      </c>
      <c r="E835" s="59" t="s">
        <v>406</v>
      </c>
      <c r="F835" s="59" t="s">
        <v>299</v>
      </c>
      <c r="G835" s="58">
        <f>2616.4+184+728.1</f>
        <v>3528.5</v>
      </c>
    </row>
    <row r="836" spans="1:7" ht="25.5">
      <c r="A836" s="28" t="s">
        <v>610</v>
      </c>
      <c r="B836" s="60" t="s">
        <v>413</v>
      </c>
      <c r="C836" s="59" t="s">
        <v>69</v>
      </c>
      <c r="D836" s="59" t="s">
        <v>75</v>
      </c>
      <c r="E836" s="59" t="s">
        <v>406</v>
      </c>
      <c r="F836" s="59" t="s">
        <v>104</v>
      </c>
      <c r="G836" s="58">
        <f>G837</f>
        <v>613.3000000000001</v>
      </c>
    </row>
    <row r="837" spans="1:7" ht="25.5">
      <c r="A837" s="28" t="s">
        <v>98</v>
      </c>
      <c r="B837" s="60" t="s">
        <v>413</v>
      </c>
      <c r="C837" s="59" t="s">
        <v>69</v>
      </c>
      <c r="D837" s="59" t="s">
        <v>75</v>
      </c>
      <c r="E837" s="59" t="s">
        <v>406</v>
      </c>
      <c r="F837" s="59" t="s">
        <v>99</v>
      </c>
      <c r="G837" s="58">
        <f>G838</f>
        <v>613.3000000000001</v>
      </c>
    </row>
    <row r="838" spans="1:7" ht="25.5">
      <c r="A838" s="28" t="s">
        <v>100</v>
      </c>
      <c r="B838" s="60" t="s">
        <v>413</v>
      </c>
      <c r="C838" s="59" t="s">
        <v>69</v>
      </c>
      <c r="D838" s="59" t="s">
        <v>75</v>
      </c>
      <c r="E838" s="59" t="s">
        <v>406</v>
      </c>
      <c r="F838" s="59" t="s">
        <v>101</v>
      </c>
      <c r="G838" s="58">
        <f>688.1-74.8</f>
        <v>613.3000000000001</v>
      </c>
    </row>
    <row r="839" spans="1:7" ht="12.75">
      <c r="A839" s="28" t="s">
        <v>128</v>
      </c>
      <c r="B839" s="60" t="s">
        <v>413</v>
      </c>
      <c r="C839" s="59" t="s">
        <v>69</v>
      </c>
      <c r="D839" s="59" t="s">
        <v>75</v>
      </c>
      <c r="E839" s="59" t="s">
        <v>406</v>
      </c>
      <c r="F839" s="59" t="s">
        <v>129</v>
      </c>
      <c r="G839" s="58">
        <f>G840</f>
        <v>6</v>
      </c>
    </row>
    <row r="840" spans="1:7" ht="12.75">
      <c r="A840" s="28" t="s">
        <v>131</v>
      </c>
      <c r="B840" s="60" t="s">
        <v>413</v>
      </c>
      <c r="C840" s="59" t="s">
        <v>69</v>
      </c>
      <c r="D840" s="59" t="s">
        <v>75</v>
      </c>
      <c r="E840" s="59" t="s">
        <v>406</v>
      </c>
      <c r="F840" s="59" t="s">
        <v>132</v>
      </c>
      <c r="G840" s="58">
        <f>G841+G842</f>
        <v>6</v>
      </c>
    </row>
    <row r="841" spans="1:7" ht="12.75">
      <c r="A841" s="28" t="s">
        <v>133</v>
      </c>
      <c r="B841" s="60" t="s">
        <v>413</v>
      </c>
      <c r="C841" s="59" t="s">
        <v>69</v>
      </c>
      <c r="D841" s="59" t="s">
        <v>75</v>
      </c>
      <c r="E841" s="59" t="s">
        <v>406</v>
      </c>
      <c r="F841" s="59" t="s">
        <v>134</v>
      </c>
      <c r="G841" s="58">
        <v>4</v>
      </c>
    </row>
    <row r="842" spans="1:7" ht="14.25" customHeight="1">
      <c r="A842" s="28" t="s">
        <v>161</v>
      </c>
      <c r="B842" s="60" t="s">
        <v>413</v>
      </c>
      <c r="C842" s="59" t="s">
        <v>69</v>
      </c>
      <c r="D842" s="59" t="s">
        <v>75</v>
      </c>
      <c r="E842" s="59" t="s">
        <v>406</v>
      </c>
      <c r="F842" s="59" t="s">
        <v>135</v>
      </c>
      <c r="G842" s="58">
        <v>2</v>
      </c>
    </row>
    <row r="843" spans="1:7" ht="12.75">
      <c r="A843" s="28" t="s">
        <v>384</v>
      </c>
      <c r="B843" s="60" t="s">
        <v>413</v>
      </c>
      <c r="C843" s="59" t="s">
        <v>69</v>
      </c>
      <c r="D843" s="59" t="s">
        <v>75</v>
      </c>
      <c r="E843" s="59" t="s">
        <v>407</v>
      </c>
      <c r="F843" s="59"/>
      <c r="G843" s="58">
        <f>G844+G849+G852</f>
        <v>13786.800000000001</v>
      </c>
    </row>
    <row r="844" spans="1:7" ht="38.25">
      <c r="A844" s="28" t="s">
        <v>102</v>
      </c>
      <c r="B844" s="60" t="s">
        <v>413</v>
      </c>
      <c r="C844" s="59" t="s">
        <v>69</v>
      </c>
      <c r="D844" s="59" t="s">
        <v>75</v>
      </c>
      <c r="E844" s="59" t="s">
        <v>407</v>
      </c>
      <c r="F844" s="59" t="s">
        <v>103</v>
      </c>
      <c r="G844" s="58">
        <f>G845</f>
        <v>10051.6</v>
      </c>
    </row>
    <row r="845" spans="1:7" ht="12.75">
      <c r="A845" s="28" t="s">
        <v>295</v>
      </c>
      <c r="B845" s="60" t="s">
        <v>413</v>
      </c>
      <c r="C845" s="59" t="s">
        <v>69</v>
      </c>
      <c r="D845" s="59" t="s">
        <v>75</v>
      </c>
      <c r="E845" s="59" t="s">
        <v>407</v>
      </c>
      <c r="F845" s="59" t="s">
        <v>297</v>
      </c>
      <c r="G845" s="58">
        <f>G846+G847+G848</f>
        <v>10051.6</v>
      </c>
    </row>
    <row r="846" spans="1:7" ht="12.75">
      <c r="A846" s="28" t="s">
        <v>545</v>
      </c>
      <c r="B846" s="60" t="s">
        <v>413</v>
      </c>
      <c r="C846" s="59" t="s">
        <v>69</v>
      </c>
      <c r="D846" s="59" t="s">
        <v>75</v>
      </c>
      <c r="E846" s="59" t="s">
        <v>407</v>
      </c>
      <c r="F846" s="59" t="s">
        <v>298</v>
      </c>
      <c r="G846" s="58">
        <f>7200+274.6+6</f>
        <v>7480.6</v>
      </c>
    </row>
    <row r="847" spans="1:7" ht="12.75">
      <c r="A847" s="28" t="s">
        <v>434</v>
      </c>
      <c r="B847" s="60" t="s">
        <v>413</v>
      </c>
      <c r="C847" s="59" t="s">
        <v>69</v>
      </c>
      <c r="D847" s="59" t="s">
        <v>75</v>
      </c>
      <c r="E847" s="59" t="s">
        <v>407</v>
      </c>
      <c r="F847" s="59" t="s">
        <v>296</v>
      </c>
      <c r="G847" s="58">
        <f>346+21.4</f>
        <v>367.4</v>
      </c>
    </row>
    <row r="848" spans="1:7" ht="25.5">
      <c r="A848" s="28" t="s">
        <v>438</v>
      </c>
      <c r="B848" s="60" t="s">
        <v>413</v>
      </c>
      <c r="C848" s="59" t="s">
        <v>69</v>
      </c>
      <c r="D848" s="59" t="s">
        <v>75</v>
      </c>
      <c r="E848" s="59" t="s">
        <v>407</v>
      </c>
      <c r="F848" s="59" t="s">
        <v>299</v>
      </c>
      <c r="G848" s="58">
        <f>1800+403.6</f>
        <v>2203.6</v>
      </c>
    </row>
    <row r="849" spans="1:7" ht="25.5">
      <c r="A849" s="28" t="s">
        <v>610</v>
      </c>
      <c r="B849" s="60" t="s">
        <v>413</v>
      </c>
      <c r="C849" s="59" t="s">
        <v>69</v>
      </c>
      <c r="D849" s="59" t="s">
        <v>75</v>
      </c>
      <c r="E849" s="59" t="s">
        <v>407</v>
      </c>
      <c r="F849" s="59" t="s">
        <v>104</v>
      </c>
      <c r="G849" s="58">
        <f>G850</f>
        <v>3548.6000000000004</v>
      </c>
    </row>
    <row r="850" spans="1:7" ht="25.5">
      <c r="A850" s="28" t="s">
        <v>98</v>
      </c>
      <c r="B850" s="60" t="s">
        <v>413</v>
      </c>
      <c r="C850" s="59" t="s">
        <v>69</v>
      </c>
      <c r="D850" s="59" t="s">
        <v>75</v>
      </c>
      <c r="E850" s="59" t="s">
        <v>407</v>
      </c>
      <c r="F850" s="59" t="s">
        <v>99</v>
      </c>
      <c r="G850" s="58">
        <f>G851</f>
        <v>3548.6000000000004</v>
      </c>
    </row>
    <row r="851" spans="1:7" ht="25.5">
      <c r="A851" s="28" t="s">
        <v>100</v>
      </c>
      <c r="B851" s="60" t="s">
        <v>413</v>
      </c>
      <c r="C851" s="59" t="s">
        <v>69</v>
      </c>
      <c r="D851" s="59" t="s">
        <v>75</v>
      </c>
      <c r="E851" s="59" t="s">
        <v>407</v>
      </c>
      <c r="F851" s="59" t="s">
        <v>101</v>
      </c>
      <c r="G851" s="58">
        <f>3371.8+176.8</f>
        <v>3548.6000000000004</v>
      </c>
    </row>
    <row r="852" spans="1:7" ht="12.75">
      <c r="A852" s="28" t="s">
        <v>128</v>
      </c>
      <c r="B852" s="60" t="s">
        <v>413</v>
      </c>
      <c r="C852" s="59" t="s">
        <v>69</v>
      </c>
      <c r="D852" s="59" t="s">
        <v>75</v>
      </c>
      <c r="E852" s="59" t="s">
        <v>407</v>
      </c>
      <c r="F852" s="59" t="s">
        <v>129</v>
      </c>
      <c r="G852" s="58">
        <f>G853</f>
        <v>186.60000000000002</v>
      </c>
    </row>
    <row r="853" spans="1:7" ht="12.75">
      <c r="A853" s="28" t="s">
        <v>131</v>
      </c>
      <c r="B853" s="60" t="s">
        <v>413</v>
      </c>
      <c r="C853" s="59" t="s">
        <v>69</v>
      </c>
      <c r="D853" s="59" t="s">
        <v>75</v>
      </c>
      <c r="E853" s="59" t="s">
        <v>407</v>
      </c>
      <c r="F853" s="59" t="s">
        <v>132</v>
      </c>
      <c r="G853" s="58">
        <f>G854+G855+G856</f>
        <v>186.60000000000002</v>
      </c>
    </row>
    <row r="854" spans="1:7" ht="12.75">
      <c r="A854" s="28" t="s">
        <v>133</v>
      </c>
      <c r="B854" s="60" t="s">
        <v>413</v>
      </c>
      <c r="C854" s="59" t="s">
        <v>69</v>
      </c>
      <c r="D854" s="59" t="s">
        <v>75</v>
      </c>
      <c r="E854" s="59" t="s">
        <v>407</v>
      </c>
      <c r="F854" s="59" t="s">
        <v>134</v>
      </c>
      <c r="G854" s="58">
        <v>65.2</v>
      </c>
    </row>
    <row r="855" spans="1:7" ht="12.75">
      <c r="A855" s="28" t="s">
        <v>161</v>
      </c>
      <c r="B855" s="60" t="s">
        <v>413</v>
      </c>
      <c r="C855" s="59" t="s">
        <v>69</v>
      </c>
      <c r="D855" s="59" t="s">
        <v>75</v>
      </c>
      <c r="E855" s="59" t="s">
        <v>407</v>
      </c>
      <c r="F855" s="59" t="s">
        <v>135</v>
      </c>
      <c r="G855" s="58">
        <v>49.2</v>
      </c>
    </row>
    <row r="856" spans="1:7" ht="12.75">
      <c r="A856" s="28" t="s">
        <v>162</v>
      </c>
      <c r="B856" s="60" t="s">
        <v>413</v>
      </c>
      <c r="C856" s="59" t="s">
        <v>69</v>
      </c>
      <c r="D856" s="59" t="s">
        <v>75</v>
      </c>
      <c r="E856" s="59" t="s">
        <v>407</v>
      </c>
      <c r="F856" s="59" t="s">
        <v>163</v>
      </c>
      <c r="G856" s="58">
        <v>72.2</v>
      </c>
    </row>
    <row r="857" spans="1:7" ht="25.5">
      <c r="A857" s="126" t="s">
        <v>444</v>
      </c>
      <c r="B857" s="60" t="s">
        <v>413</v>
      </c>
      <c r="C857" s="59" t="s">
        <v>69</v>
      </c>
      <c r="D857" s="59" t="s">
        <v>75</v>
      </c>
      <c r="E857" s="161" t="s">
        <v>191</v>
      </c>
      <c r="F857" s="59"/>
      <c r="G857" s="58">
        <f>G858</f>
        <v>140</v>
      </c>
    </row>
    <row r="858" spans="1:7" ht="12.75">
      <c r="A858" s="126" t="s">
        <v>255</v>
      </c>
      <c r="B858" s="60" t="s">
        <v>413</v>
      </c>
      <c r="C858" s="59" t="s">
        <v>69</v>
      </c>
      <c r="D858" s="59" t="s">
        <v>75</v>
      </c>
      <c r="E858" s="161" t="s">
        <v>339</v>
      </c>
      <c r="F858" s="59"/>
      <c r="G858" s="58">
        <f>G863+G859</f>
        <v>140</v>
      </c>
    </row>
    <row r="859" spans="1:7" ht="12.75">
      <c r="A859" s="126" t="s">
        <v>546</v>
      </c>
      <c r="B859" s="60" t="s">
        <v>413</v>
      </c>
      <c r="C859" s="59" t="s">
        <v>69</v>
      </c>
      <c r="D859" s="59" t="s">
        <v>75</v>
      </c>
      <c r="E859" s="161" t="s">
        <v>340</v>
      </c>
      <c r="F859" s="59"/>
      <c r="G859" s="58">
        <f>G860</f>
        <v>30</v>
      </c>
    </row>
    <row r="860" spans="1:7" ht="25.5">
      <c r="A860" s="28" t="s">
        <v>610</v>
      </c>
      <c r="B860" s="60" t="s">
        <v>413</v>
      </c>
      <c r="C860" s="59" t="s">
        <v>69</v>
      </c>
      <c r="D860" s="59" t="s">
        <v>75</v>
      </c>
      <c r="E860" s="161" t="s">
        <v>340</v>
      </c>
      <c r="F860" s="59" t="s">
        <v>104</v>
      </c>
      <c r="G860" s="58">
        <f>G861</f>
        <v>30</v>
      </c>
    </row>
    <row r="861" spans="1:7" ht="25.5">
      <c r="A861" s="28" t="s">
        <v>98</v>
      </c>
      <c r="B861" s="60" t="s">
        <v>413</v>
      </c>
      <c r="C861" s="59" t="s">
        <v>69</v>
      </c>
      <c r="D861" s="59" t="s">
        <v>75</v>
      </c>
      <c r="E861" s="161" t="s">
        <v>340</v>
      </c>
      <c r="F861" s="59" t="s">
        <v>99</v>
      </c>
      <c r="G861" s="58">
        <f>G862</f>
        <v>30</v>
      </c>
    </row>
    <row r="862" spans="1:7" ht="25.5">
      <c r="A862" s="28" t="s">
        <v>100</v>
      </c>
      <c r="B862" s="60" t="s">
        <v>413</v>
      </c>
      <c r="C862" s="59" t="s">
        <v>69</v>
      </c>
      <c r="D862" s="59" t="s">
        <v>75</v>
      </c>
      <c r="E862" s="161" t="s">
        <v>340</v>
      </c>
      <c r="F862" s="59" t="s">
        <v>101</v>
      </c>
      <c r="G862" s="58">
        <f>'МП пр.5'!G151</f>
        <v>30</v>
      </c>
    </row>
    <row r="863" spans="1:7" ht="25.5">
      <c r="A863" s="126" t="s">
        <v>192</v>
      </c>
      <c r="B863" s="60" t="s">
        <v>413</v>
      </c>
      <c r="C863" s="59" t="s">
        <v>69</v>
      </c>
      <c r="D863" s="59" t="s">
        <v>75</v>
      </c>
      <c r="E863" s="161" t="s">
        <v>341</v>
      </c>
      <c r="F863" s="59"/>
      <c r="G863" s="58">
        <f>G864+G867</f>
        <v>110</v>
      </c>
    </row>
    <row r="864" spans="1:7" ht="25.5">
      <c r="A864" s="28" t="s">
        <v>610</v>
      </c>
      <c r="B864" s="60" t="s">
        <v>413</v>
      </c>
      <c r="C864" s="59" t="s">
        <v>69</v>
      </c>
      <c r="D864" s="59" t="s">
        <v>75</v>
      </c>
      <c r="E864" s="161" t="s">
        <v>341</v>
      </c>
      <c r="F864" s="59" t="s">
        <v>104</v>
      </c>
      <c r="G864" s="58">
        <f>G865</f>
        <v>60</v>
      </c>
    </row>
    <row r="865" spans="1:7" ht="25.5">
      <c r="A865" s="28" t="s">
        <v>98</v>
      </c>
      <c r="B865" s="60" t="s">
        <v>413</v>
      </c>
      <c r="C865" s="59" t="s">
        <v>69</v>
      </c>
      <c r="D865" s="59" t="s">
        <v>75</v>
      </c>
      <c r="E865" s="161" t="s">
        <v>341</v>
      </c>
      <c r="F865" s="59" t="s">
        <v>99</v>
      </c>
      <c r="G865" s="58">
        <f>G866</f>
        <v>60</v>
      </c>
    </row>
    <row r="866" spans="1:7" ht="25.5">
      <c r="A866" s="28" t="s">
        <v>100</v>
      </c>
      <c r="B866" s="60" t="s">
        <v>413</v>
      </c>
      <c r="C866" s="59" t="s">
        <v>69</v>
      </c>
      <c r="D866" s="59" t="s">
        <v>75</v>
      </c>
      <c r="E866" s="161" t="s">
        <v>341</v>
      </c>
      <c r="F866" s="59" t="s">
        <v>101</v>
      </c>
      <c r="G866" s="58">
        <f>'МП пр.5'!G158</f>
        <v>60</v>
      </c>
    </row>
    <row r="867" spans="1:7" ht="12.75">
      <c r="A867" s="28" t="s">
        <v>117</v>
      </c>
      <c r="B867" s="60" t="s">
        <v>413</v>
      </c>
      <c r="C867" s="59" t="s">
        <v>69</v>
      </c>
      <c r="D867" s="59" t="s">
        <v>75</v>
      </c>
      <c r="E867" s="161" t="s">
        <v>341</v>
      </c>
      <c r="F867" s="59" t="s">
        <v>118</v>
      </c>
      <c r="G867" s="58">
        <f>G868</f>
        <v>50</v>
      </c>
    </row>
    <row r="868" spans="1:7" ht="12.75">
      <c r="A868" s="28" t="s">
        <v>149</v>
      </c>
      <c r="B868" s="60" t="s">
        <v>413</v>
      </c>
      <c r="C868" s="59" t="s">
        <v>69</v>
      </c>
      <c r="D868" s="59" t="s">
        <v>75</v>
      </c>
      <c r="E868" s="161" t="s">
        <v>341</v>
      </c>
      <c r="F868" s="59" t="s">
        <v>148</v>
      </c>
      <c r="G868" s="58">
        <f>'МП пр.5'!G161</f>
        <v>50</v>
      </c>
    </row>
    <row r="869" spans="1:7" ht="25.5">
      <c r="A869" s="61" t="s">
        <v>157</v>
      </c>
      <c r="B869" s="62" t="s">
        <v>414</v>
      </c>
      <c r="C869" s="63"/>
      <c r="D869" s="63"/>
      <c r="E869" s="63"/>
      <c r="F869" s="63"/>
      <c r="G869" s="64">
        <f>G870+G966+G1138+G1150</f>
        <v>98738.5</v>
      </c>
    </row>
    <row r="870" spans="1:7" ht="12.75">
      <c r="A870" s="61" t="s">
        <v>8</v>
      </c>
      <c r="B870" s="62" t="s">
        <v>414</v>
      </c>
      <c r="C870" s="63" t="s">
        <v>69</v>
      </c>
      <c r="D870" s="63" t="s">
        <v>36</v>
      </c>
      <c r="E870" s="59"/>
      <c r="F870" s="59"/>
      <c r="G870" s="64">
        <f>G871+G923</f>
        <v>25892.7</v>
      </c>
    </row>
    <row r="871" spans="1:7" ht="12.75">
      <c r="A871" s="61" t="s">
        <v>530</v>
      </c>
      <c r="B871" s="62" t="s">
        <v>414</v>
      </c>
      <c r="C871" s="63" t="s">
        <v>69</v>
      </c>
      <c r="D871" s="63" t="s">
        <v>70</v>
      </c>
      <c r="E871" s="59"/>
      <c r="F871" s="59"/>
      <c r="G871" s="64">
        <f>G872+G886+G906+G916+G900</f>
        <v>24334.2</v>
      </c>
    </row>
    <row r="872" spans="1:7" ht="25.5">
      <c r="A872" s="126" t="s">
        <v>444</v>
      </c>
      <c r="B872" s="60" t="s">
        <v>414</v>
      </c>
      <c r="C872" s="59" t="s">
        <v>69</v>
      </c>
      <c r="D872" s="59" t="s">
        <v>70</v>
      </c>
      <c r="E872" s="59" t="s">
        <v>445</v>
      </c>
      <c r="F872" s="59"/>
      <c r="G872" s="58">
        <f>G873</f>
        <v>2218.8</v>
      </c>
    </row>
    <row r="873" spans="1:7" ht="12.75">
      <c r="A873" s="28" t="s">
        <v>791</v>
      </c>
      <c r="B873" s="60" t="s">
        <v>414</v>
      </c>
      <c r="C873" s="59" t="s">
        <v>69</v>
      </c>
      <c r="D873" s="59" t="s">
        <v>70</v>
      </c>
      <c r="E873" s="59" t="s">
        <v>615</v>
      </c>
      <c r="F873" s="59"/>
      <c r="G873" s="58">
        <f>G874+G878+G882</f>
        <v>2218.8</v>
      </c>
    </row>
    <row r="874" spans="1:7" ht="38.25">
      <c r="A874" s="28" t="s">
        <v>503</v>
      </c>
      <c r="B874" s="60" t="s">
        <v>414</v>
      </c>
      <c r="C874" s="59" t="s">
        <v>69</v>
      </c>
      <c r="D874" s="59" t="s">
        <v>70</v>
      </c>
      <c r="E874" s="59" t="s">
        <v>616</v>
      </c>
      <c r="F874" s="59"/>
      <c r="G874" s="58">
        <f>G875</f>
        <v>270</v>
      </c>
    </row>
    <row r="875" spans="1:7" ht="25.5">
      <c r="A875" s="28" t="s">
        <v>105</v>
      </c>
      <c r="B875" s="60" t="s">
        <v>414</v>
      </c>
      <c r="C875" s="59" t="s">
        <v>69</v>
      </c>
      <c r="D875" s="59" t="s">
        <v>70</v>
      </c>
      <c r="E875" s="59" t="s">
        <v>616</v>
      </c>
      <c r="F875" s="59" t="s">
        <v>106</v>
      </c>
      <c r="G875" s="58">
        <f>G876</f>
        <v>270</v>
      </c>
    </row>
    <row r="876" spans="1:7" ht="12.75">
      <c r="A876" s="28" t="s">
        <v>111</v>
      </c>
      <c r="B876" s="60" t="s">
        <v>414</v>
      </c>
      <c r="C876" s="59" t="s">
        <v>69</v>
      </c>
      <c r="D876" s="59" t="s">
        <v>70</v>
      </c>
      <c r="E876" s="59" t="s">
        <v>616</v>
      </c>
      <c r="F876" s="59" t="s">
        <v>112</v>
      </c>
      <c r="G876" s="58">
        <f>G877</f>
        <v>270</v>
      </c>
    </row>
    <row r="877" spans="1:7" ht="38.25">
      <c r="A877" s="28" t="s">
        <v>113</v>
      </c>
      <c r="B877" s="60" t="s">
        <v>414</v>
      </c>
      <c r="C877" s="59" t="s">
        <v>69</v>
      </c>
      <c r="D877" s="59" t="s">
        <v>70</v>
      </c>
      <c r="E877" s="59" t="s">
        <v>616</v>
      </c>
      <c r="F877" s="59" t="s">
        <v>114</v>
      </c>
      <c r="G877" s="58">
        <f>'МП пр.5'!G187</f>
        <v>270</v>
      </c>
    </row>
    <row r="878" spans="1:7" ht="38.25">
      <c r="A878" s="28" t="s">
        <v>504</v>
      </c>
      <c r="B878" s="60" t="s">
        <v>414</v>
      </c>
      <c r="C878" s="59" t="s">
        <v>69</v>
      </c>
      <c r="D878" s="59" t="s">
        <v>70</v>
      </c>
      <c r="E878" s="59" t="s">
        <v>617</v>
      </c>
      <c r="F878" s="59"/>
      <c r="G878" s="58">
        <f>G879</f>
        <v>550.8</v>
      </c>
    </row>
    <row r="879" spans="1:7" ht="25.5">
      <c r="A879" s="28" t="s">
        <v>105</v>
      </c>
      <c r="B879" s="60" t="s">
        <v>414</v>
      </c>
      <c r="C879" s="59" t="s">
        <v>69</v>
      </c>
      <c r="D879" s="59" t="s">
        <v>70</v>
      </c>
      <c r="E879" s="59" t="s">
        <v>617</v>
      </c>
      <c r="F879" s="59" t="s">
        <v>106</v>
      </c>
      <c r="G879" s="58">
        <f>G880</f>
        <v>550.8</v>
      </c>
    </row>
    <row r="880" spans="1:7" ht="12.75">
      <c r="A880" s="28" t="s">
        <v>111</v>
      </c>
      <c r="B880" s="60" t="s">
        <v>414</v>
      </c>
      <c r="C880" s="59" t="s">
        <v>69</v>
      </c>
      <c r="D880" s="59" t="s">
        <v>70</v>
      </c>
      <c r="E880" s="59" t="s">
        <v>617</v>
      </c>
      <c r="F880" s="59" t="s">
        <v>112</v>
      </c>
      <c r="G880" s="58">
        <f>G881</f>
        <v>550.8</v>
      </c>
    </row>
    <row r="881" spans="1:7" ht="38.25">
      <c r="A881" s="28" t="s">
        <v>113</v>
      </c>
      <c r="B881" s="60" t="s">
        <v>414</v>
      </c>
      <c r="C881" s="59" t="s">
        <v>69</v>
      </c>
      <c r="D881" s="59" t="s">
        <v>70</v>
      </c>
      <c r="E881" s="59" t="s">
        <v>617</v>
      </c>
      <c r="F881" s="59" t="s">
        <v>114</v>
      </c>
      <c r="G881" s="58">
        <f>'МП пр.5'!G205</f>
        <v>550.8</v>
      </c>
    </row>
    <row r="882" spans="1:7" ht="38.25">
      <c r="A882" s="28" t="s">
        <v>506</v>
      </c>
      <c r="B882" s="60" t="s">
        <v>414</v>
      </c>
      <c r="C882" s="59" t="s">
        <v>69</v>
      </c>
      <c r="D882" s="59" t="s">
        <v>70</v>
      </c>
      <c r="E882" s="59" t="s">
        <v>619</v>
      </c>
      <c r="F882" s="59"/>
      <c r="G882" s="58">
        <f>G883</f>
        <v>1398</v>
      </c>
    </row>
    <row r="883" spans="1:7" ht="25.5">
      <c r="A883" s="28" t="s">
        <v>105</v>
      </c>
      <c r="B883" s="60" t="s">
        <v>414</v>
      </c>
      <c r="C883" s="59" t="s">
        <v>69</v>
      </c>
      <c r="D883" s="59" t="s">
        <v>70</v>
      </c>
      <c r="E883" s="59" t="s">
        <v>619</v>
      </c>
      <c r="F883" s="59" t="s">
        <v>106</v>
      </c>
      <c r="G883" s="58">
        <f>G884</f>
        <v>1398</v>
      </c>
    </row>
    <row r="884" spans="1:7" ht="12.75">
      <c r="A884" s="28" t="s">
        <v>111</v>
      </c>
      <c r="B884" s="60" t="s">
        <v>414</v>
      </c>
      <c r="C884" s="59" t="s">
        <v>69</v>
      </c>
      <c r="D884" s="59" t="s">
        <v>70</v>
      </c>
      <c r="E884" s="59" t="s">
        <v>619</v>
      </c>
      <c r="F884" s="59" t="s">
        <v>112</v>
      </c>
      <c r="G884" s="58">
        <f>G885</f>
        <v>1398</v>
      </c>
    </row>
    <row r="885" spans="1:7" ht="12.75">
      <c r="A885" s="28" t="s">
        <v>115</v>
      </c>
      <c r="B885" s="60" t="s">
        <v>414</v>
      </c>
      <c r="C885" s="59" t="s">
        <v>69</v>
      </c>
      <c r="D885" s="59" t="s">
        <v>70</v>
      </c>
      <c r="E885" s="59" t="s">
        <v>619</v>
      </c>
      <c r="F885" s="59" t="s">
        <v>116</v>
      </c>
      <c r="G885" s="58">
        <f>'МП пр.5'!G237</f>
        <v>1398</v>
      </c>
    </row>
    <row r="886" spans="1:7" ht="25.5">
      <c r="A886" s="126" t="s">
        <v>513</v>
      </c>
      <c r="B886" s="60" t="s">
        <v>414</v>
      </c>
      <c r="C886" s="59" t="s">
        <v>69</v>
      </c>
      <c r="D886" s="59" t="s">
        <v>70</v>
      </c>
      <c r="E886" s="161" t="s">
        <v>180</v>
      </c>
      <c r="F886" s="59"/>
      <c r="G886" s="58">
        <f>G887</f>
        <v>321.7</v>
      </c>
    </row>
    <row r="887" spans="1:7" ht="25.5">
      <c r="A887" s="126" t="s">
        <v>251</v>
      </c>
      <c r="B887" s="60" t="s">
        <v>414</v>
      </c>
      <c r="C887" s="59" t="s">
        <v>69</v>
      </c>
      <c r="D887" s="59" t="s">
        <v>70</v>
      </c>
      <c r="E887" s="161" t="s">
        <v>325</v>
      </c>
      <c r="F887" s="59"/>
      <c r="G887" s="58">
        <f>G888+G892+G896</f>
        <v>321.7</v>
      </c>
    </row>
    <row r="888" spans="1:7" ht="12.75">
      <c r="A888" s="126" t="s">
        <v>179</v>
      </c>
      <c r="B888" s="60" t="s">
        <v>414</v>
      </c>
      <c r="C888" s="59" t="s">
        <v>69</v>
      </c>
      <c r="D888" s="59" t="s">
        <v>70</v>
      </c>
      <c r="E888" s="161" t="s">
        <v>326</v>
      </c>
      <c r="F888" s="59"/>
      <c r="G888" s="58">
        <f>G889</f>
        <v>122</v>
      </c>
    </row>
    <row r="889" spans="1:7" ht="25.5">
      <c r="A889" s="28" t="s">
        <v>105</v>
      </c>
      <c r="B889" s="60" t="s">
        <v>414</v>
      </c>
      <c r="C889" s="59" t="s">
        <v>69</v>
      </c>
      <c r="D889" s="59" t="s">
        <v>70</v>
      </c>
      <c r="E889" s="161" t="s">
        <v>326</v>
      </c>
      <c r="F889" s="59" t="s">
        <v>106</v>
      </c>
      <c r="G889" s="58">
        <f>G890</f>
        <v>122</v>
      </c>
    </row>
    <row r="890" spans="1:7" ht="12.75">
      <c r="A890" s="28" t="s">
        <v>111</v>
      </c>
      <c r="B890" s="60" t="s">
        <v>414</v>
      </c>
      <c r="C890" s="59" t="s">
        <v>69</v>
      </c>
      <c r="D890" s="59" t="s">
        <v>70</v>
      </c>
      <c r="E890" s="161" t="s">
        <v>326</v>
      </c>
      <c r="F890" s="59" t="s">
        <v>112</v>
      </c>
      <c r="G890" s="58">
        <f>G891</f>
        <v>122</v>
      </c>
    </row>
    <row r="891" spans="1:7" ht="12.75">
      <c r="A891" s="28" t="s">
        <v>115</v>
      </c>
      <c r="B891" s="60" t="s">
        <v>414</v>
      </c>
      <c r="C891" s="59" t="s">
        <v>69</v>
      </c>
      <c r="D891" s="59" t="s">
        <v>70</v>
      </c>
      <c r="E891" s="161" t="s">
        <v>326</v>
      </c>
      <c r="F891" s="59" t="s">
        <v>116</v>
      </c>
      <c r="G891" s="58">
        <f>'МП пр.5'!G533</f>
        <v>122</v>
      </c>
    </row>
    <row r="892" spans="1:7" ht="12.75">
      <c r="A892" s="126" t="s">
        <v>182</v>
      </c>
      <c r="B892" s="60" t="s">
        <v>414</v>
      </c>
      <c r="C892" s="59" t="s">
        <v>69</v>
      </c>
      <c r="D892" s="59" t="s">
        <v>70</v>
      </c>
      <c r="E892" s="161" t="s">
        <v>330</v>
      </c>
      <c r="F892" s="59"/>
      <c r="G892" s="58">
        <f>G893</f>
        <v>57</v>
      </c>
    </row>
    <row r="893" spans="1:7" ht="25.5">
      <c r="A893" s="28" t="s">
        <v>105</v>
      </c>
      <c r="B893" s="60" t="s">
        <v>414</v>
      </c>
      <c r="C893" s="59" t="s">
        <v>69</v>
      </c>
      <c r="D893" s="59" t="s">
        <v>70</v>
      </c>
      <c r="E893" s="161" t="s">
        <v>330</v>
      </c>
      <c r="F893" s="59" t="s">
        <v>106</v>
      </c>
      <c r="G893" s="58">
        <f>G894</f>
        <v>57</v>
      </c>
    </row>
    <row r="894" spans="1:7" ht="12.75">
      <c r="A894" s="28" t="s">
        <v>111</v>
      </c>
      <c r="B894" s="60" t="s">
        <v>414</v>
      </c>
      <c r="C894" s="59" t="s">
        <v>69</v>
      </c>
      <c r="D894" s="59" t="s">
        <v>70</v>
      </c>
      <c r="E894" s="161" t="s">
        <v>330</v>
      </c>
      <c r="F894" s="59" t="s">
        <v>112</v>
      </c>
      <c r="G894" s="58">
        <f>G895</f>
        <v>57</v>
      </c>
    </row>
    <row r="895" spans="1:7" ht="12.75">
      <c r="A895" s="28" t="s">
        <v>115</v>
      </c>
      <c r="B895" s="60" t="s">
        <v>414</v>
      </c>
      <c r="C895" s="59" t="s">
        <v>69</v>
      </c>
      <c r="D895" s="59" t="s">
        <v>70</v>
      </c>
      <c r="E895" s="161" t="s">
        <v>330</v>
      </c>
      <c r="F895" s="59" t="s">
        <v>116</v>
      </c>
      <c r="G895" s="58">
        <f>'МП пр.5'!G557</f>
        <v>57</v>
      </c>
    </row>
    <row r="896" spans="1:7" ht="12.75">
      <c r="A896" s="126" t="s">
        <v>193</v>
      </c>
      <c r="B896" s="60" t="s">
        <v>414</v>
      </c>
      <c r="C896" s="59" t="s">
        <v>69</v>
      </c>
      <c r="D896" s="59" t="s">
        <v>70</v>
      </c>
      <c r="E896" s="161" t="s">
        <v>342</v>
      </c>
      <c r="F896" s="59"/>
      <c r="G896" s="58">
        <f>G897</f>
        <v>142.7</v>
      </c>
    </row>
    <row r="897" spans="1:7" ht="25.5">
      <c r="A897" s="28" t="s">
        <v>105</v>
      </c>
      <c r="B897" s="60" t="s">
        <v>414</v>
      </c>
      <c r="C897" s="59" t="s">
        <v>69</v>
      </c>
      <c r="D897" s="59" t="s">
        <v>70</v>
      </c>
      <c r="E897" s="161" t="s">
        <v>342</v>
      </c>
      <c r="F897" s="59" t="s">
        <v>106</v>
      </c>
      <c r="G897" s="58">
        <f>G898</f>
        <v>142.7</v>
      </c>
    </row>
    <row r="898" spans="1:7" ht="12.75">
      <c r="A898" s="28" t="s">
        <v>111</v>
      </c>
      <c r="B898" s="60" t="s">
        <v>414</v>
      </c>
      <c r="C898" s="59" t="s">
        <v>69</v>
      </c>
      <c r="D898" s="59" t="s">
        <v>70</v>
      </c>
      <c r="E898" s="161" t="s">
        <v>342</v>
      </c>
      <c r="F898" s="59" t="s">
        <v>112</v>
      </c>
      <c r="G898" s="58">
        <f>G899</f>
        <v>142.7</v>
      </c>
    </row>
    <row r="899" spans="1:7" ht="12.75">
      <c r="A899" s="28" t="s">
        <v>115</v>
      </c>
      <c r="B899" s="60" t="s">
        <v>414</v>
      </c>
      <c r="C899" s="59" t="s">
        <v>69</v>
      </c>
      <c r="D899" s="59" t="s">
        <v>70</v>
      </c>
      <c r="E899" s="161" t="s">
        <v>342</v>
      </c>
      <c r="F899" s="59" t="s">
        <v>116</v>
      </c>
      <c r="G899" s="58">
        <f>'МП пр.5'!G576</f>
        <v>142.7</v>
      </c>
    </row>
    <row r="900" spans="1:7" ht="25.5">
      <c r="A900" s="28" t="s">
        <v>449</v>
      </c>
      <c r="B900" s="60" t="s">
        <v>414</v>
      </c>
      <c r="C900" s="59" t="s">
        <v>69</v>
      </c>
      <c r="D900" s="59" t="s">
        <v>70</v>
      </c>
      <c r="E900" s="59" t="s">
        <v>450</v>
      </c>
      <c r="F900" s="59"/>
      <c r="G900" s="58">
        <f>G901</f>
        <v>150</v>
      </c>
    </row>
    <row r="901" spans="1:7" ht="23.25" customHeight="1">
      <c r="A901" s="28" t="s">
        <v>461</v>
      </c>
      <c r="B901" s="60" t="s">
        <v>414</v>
      </c>
      <c r="C901" s="59" t="s">
        <v>69</v>
      </c>
      <c r="D901" s="59" t="s">
        <v>70</v>
      </c>
      <c r="E901" s="59" t="s">
        <v>462</v>
      </c>
      <c r="F901" s="59"/>
      <c r="G901" s="143">
        <f>G902</f>
        <v>150</v>
      </c>
    </row>
    <row r="902" spans="1:7" ht="25.5">
      <c r="A902" s="28" t="s">
        <v>463</v>
      </c>
      <c r="B902" s="60" t="s">
        <v>414</v>
      </c>
      <c r="C902" s="59" t="s">
        <v>69</v>
      </c>
      <c r="D902" s="59" t="s">
        <v>70</v>
      </c>
      <c r="E902" s="59" t="s">
        <v>464</v>
      </c>
      <c r="F902" s="59"/>
      <c r="G902" s="58">
        <f>G903</f>
        <v>150</v>
      </c>
    </row>
    <row r="903" spans="1:7" ht="25.5">
      <c r="A903" s="28" t="s">
        <v>105</v>
      </c>
      <c r="B903" s="60" t="s">
        <v>414</v>
      </c>
      <c r="C903" s="59" t="s">
        <v>69</v>
      </c>
      <c r="D903" s="59" t="s">
        <v>70</v>
      </c>
      <c r="E903" s="59" t="s">
        <v>464</v>
      </c>
      <c r="F903" s="59" t="s">
        <v>106</v>
      </c>
      <c r="G903" s="58">
        <f>G904</f>
        <v>150</v>
      </c>
    </row>
    <row r="904" spans="1:7" ht="12.75">
      <c r="A904" s="28" t="s">
        <v>111</v>
      </c>
      <c r="B904" s="60" t="s">
        <v>414</v>
      </c>
      <c r="C904" s="59" t="s">
        <v>69</v>
      </c>
      <c r="D904" s="59" t="s">
        <v>70</v>
      </c>
      <c r="E904" s="59" t="s">
        <v>464</v>
      </c>
      <c r="F904" s="59" t="s">
        <v>112</v>
      </c>
      <c r="G904" s="58">
        <f>G905</f>
        <v>150</v>
      </c>
    </row>
    <row r="905" spans="1:7" ht="12.75">
      <c r="A905" s="28" t="s">
        <v>115</v>
      </c>
      <c r="B905" s="60" t="s">
        <v>414</v>
      </c>
      <c r="C905" s="59" t="s">
        <v>69</v>
      </c>
      <c r="D905" s="59" t="s">
        <v>70</v>
      </c>
      <c r="E905" s="59" t="s">
        <v>464</v>
      </c>
      <c r="F905" s="59" t="s">
        <v>116</v>
      </c>
      <c r="G905" s="58">
        <f>'МП пр.5'!G69</f>
        <v>150</v>
      </c>
    </row>
    <row r="906" spans="1:7" ht="12.75">
      <c r="A906" s="28" t="s">
        <v>360</v>
      </c>
      <c r="B906" s="60" t="s">
        <v>414</v>
      </c>
      <c r="C906" s="59" t="s">
        <v>69</v>
      </c>
      <c r="D906" s="59" t="s">
        <v>70</v>
      </c>
      <c r="E906" s="59" t="s">
        <v>215</v>
      </c>
      <c r="F906" s="59"/>
      <c r="G906" s="58">
        <f>G907</f>
        <v>836.7</v>
      </c>
    </row>
    <row r="907" spans="1:7" ht="12.75">
      <c r="A907" s="28" t="s">
        <v>361</v>
      </c>
      <c r="B907" s="60" t="s">
        <v>414</v>
      </c>
      <c r="C907" s="59" t="s">
        <v>69</v>
      </c>
      <c r="D907" s="59" t="s">
        <v>70</v>
      </c>
      <c r="E907" s="59" t="s">
        <v>358</v>
      </c>
      <c r="F907" s="59"/>
      <c r="G907" s="58">
        <f>G908+G912</f>
        <v>836.7</v>
      </c>
    </row>
    <row r="908" spans="1:7" ht="51">
      <c r="A908" s="28" t="s">
        <v>287</v>
      </c>
      <c r="B908" s="60" t="s">
        <v>414</v>
      </c>
      <c r="C908" s="59" t="s">
        <v>69</v>
      </c>
      <c r="D908" s="59" t="s">
        <v>70</v>
      </c>
      <c r="E908" s="59" t="s">
        <v>359</v>
      </c>
      <c r="F908" s="59"/>
      <c r="G908" s="58">
        <f>G909</f>
        <v>776.1</v>
      </c>
    </row>
    <row r="909" spans="1:7" ht="25.5">
      <c r="A909" s="28" t="s">
        <v>105</v>
      </c>
      <c r="B909" s="60" t="s">
        <v>414</v>
      </c>
      <c r="C909" s="59" t="s">
        <v>69</v>
      </c>
      <c r="D909" s="59" t="s">
        <v>70</v>
      </c>
      <c r="E909" s="59" t="s">
        <v>359</v>
      </c>
      <c r="F909" s="59" t="s">
        <v>106</v>
      </c>
      <c r="G909" s="58">
        <f>G910</f>
        <v>776.1</v>
      </c>
    </row>
    <row r="910" spans="1:7" ht="12.75">
      <c r="A910" s="28" t="s">
        <v>111</v>
      </c>
      <c r="B910" s="60" t="s">
        <v>414</v>
      </c>
      <c r="C910" s="59" t="s">
        <v>69</v>
      </c>
      <c r="D910" s="59" t="s">
        <v>70</v>
      </c>
      <c r="E910" s="59" t="s">
        <v>359</v>
      </c>
      <c r="F910" s="59" t="s">
        <v>112</v>
      </c>
      <c r="G910" s="58">
        <f>G911</f>
        <v>776.1</v>
      </c>
    </row>
    <row r="911" spans="1:7" ht="12.75">
      <c r="A911" s="28" t="s">
        <v>115</v>
      </c>
      <c r="B911" s="60" t="s">
        <v>414</v>
      </c>
      <c r="C911" s="59" t="s">
        <v>69</v>
      </c>
      <c r="D911" s="59" t="s">
        <v>70</v>
      </c>
      <c r="E911" s="59" t="s">
        <v>359</v>
      </c>
      <c r="F911" s="59" t="s">
        <v>116</v>
      </c>
      <c r="G911" s="58">
        <f>550+100+105.6+20.5</f>
        <v>776.1</v>
      </c>
    </row>
    <row r="912" spans="1:7" ht="12.75">
      <c r="A912" s="28" t="s">
        <v>235</v>
      </c>
      <c r="B912" s="60" t="s">
        <v>414</v>
      </c>
      <c r="C912" s="59" t="s">
        <v>69</v>
      </c>
      <c r="D912" s="59" t="s">
        <v>70</v>
      </c>
      <c r="E912" s="59" t="s">
        <v>362</v>
      </c>
      <c r="F912" s="59"/>
      <c r="G912" s="58">
        <f>G913</f>
        <v>60.6</v>
      </c>
    </row>
    <row r="913" spans="1:7" ht="25.5">
      <c r="A913" s="28" t="s">
        <v>105</v>
      </c>
      <c r="B913" s="60" t="s">
        <v>414</v>
      </c>
      <c r="C913" s="59" t="s">
        <v>69</v>
      </c>
      <c r="D913" s="59" t="s">
        <v>70</v>
      </c>
      <c r="E913" s="59" t="s">
        <v>362</v>
      </c>
      <c r="F913" s="59" t="s">
        <v>106</v>
      </c>
      <c r="G913" s="58">
        <f>G914</f>
        <v>60.6</v>
      </c>
    </row>
    <row r="914" spans="1:7" ht="12.75">
      <c r="A914" s="28" t="s">
        <v>111</v>
      </c>
      <c r="B914" s="60" t="s">
        <v>414</v>
      </c>
      <c r="C914" s="59" t="s">
        <v>69</v>
      </c>
      <c r="D914" s="59" t="s">
        <v>70</v>
      </c>
      <c r="E914" s="59" t="s">
        <v>362</v>
      </c>
      <c r="F914" s="59" t="s">
        <v>112</v>
      </c>
      <c r="G914" s="58">
        <f>G915</f>
        <v>60.6</v>
      </c>
    </row>
    <row r="915" spans="1:7" ht="12.75">
      <c r="A915" s="28" t="s">
        <v>115</v>
      </c>
      <c r="B915" s="60" t="s">
        <v>414</v>
      </c>
      <c r="C915" s="59" t="s">
        <v>69</v>
      </c>
      <c r="D915" s="59" t="s">
        <v>70</v>
      </c>
      <c r="E915" s="59" t="s">
        <v>362</v>
      </c>
      <c r="F915" s="59" t="s">
        <v>116</v>
      </c>
      <c r="G915" s="58">
        <f>70-9.4</f>
        <v>60.6</v>
      </c>
    </row>
    <row r="916" spans="1:7" ht="12.75">
      <c r="A916" s="28" t="s">
        <v>318</v>
      </c>
      <c r="B916" s="60" t="s">
        <v>414</v>
      </c>
      <c r="C916" s="59" t="s">
        <v>69</v>
      </c>
      <c r="D916" s="59" t="s">
        <v>70</v>
      </c>
      <c r="E916" s="59" t="s">
        <v>228</v>
      </c>
      <c r="F916" s="59"/>
      <c r="G916" s="58">
        <f>G917</f>
        <v>20807</v>
      </c>
    </row>
    <row r="917" spans="1:7" ht="38.25">
      <c r="A917" s="28" t="s">
        <v>473</v>
      </c>
      <c r="B917" s="60" t="s">
        <v>414</v>
      </c>
      <c r="C917" s="59" t="s">
        <v>69</v>
      </c>
      <c r="D917" s="59" t="s">
        <v>70</v>
      </c>
      <c r="E917" s="59" t="s">
        <v>373</v>
      </c>
      <c r="F917" s="59"/>
      <c r="G917" s="58">
        <f>G918</f>
        <v>20807</v>
      </c>
    </row>
    <row r="918" spans="1:7" ht="12.75">
      <c r="A918" s="28" t="s">
        <v>249</v>
      </c>
      <c r="B918" s="60" t="s">
        <v>414</v>
      </c>
      <c r="C918" s="59" t="s">
        <v>69</v>
      </c>
      <c r="D918" s="59" t="s">
        <v>70</v>
      </c>
      <c r="E918" s="59" t="s">
        <v>374</v>
      </c>
      <c r="F918" s="59"/>
      <c r="G918" s="58">
        <f>G919</f>
        <v>20807</v>
      </c>
    </row>
    <row r="919" spans="1:7" ht="25.5">
      <c r="A919" s="28" t="s">
        <v>105</v>
      </c>
      <c r="B919" s="60" t="s">
        <v>414</v>
      </c>
      <c r="C919" s="59" t="s">
        <v>69</v>
      </c>
      <c r="D919" s="59" t="s">
        <v>70</v>
      </c>
      <c r="E919" s="59" t="s">
        <v>374</v>
      </c>
      <c r="F919" s="59" t="s">
        <v>106</v>
      </c>
      <c r="G919" s="58">
        <f>G920</f>
        <v>20807</v>
      </c>
    </row>
    <row r="920" spans="1:7" ht="12.75">
      <c r="A920" s="28" t="s">
        <v>111</v>
      </c>
      <c r="B920" s="60" t="s">
        <v>414</v>
      </c>
      <c r="C920" s="59" t="s">
        <v>69</v>
      </c>
      <c r="D920" s="59" t="s">
        <v>70</v>
      </c>
      <c r="E920" s="59" t="s">
        <v>374</v>
      </c>
      <c r="F920" s="59" t="s">
        <v>112</v>
      </c>
      <c r="G920" s="58">
        <f>G921+G922</f>
        <v>20807</v>
      </c>
    </row>
    <row r="921" spans="1:7" ht="38.25">
      <c r="A921" s="28" t="s">
        <v>113</v>
      </c>
      <c r="B921" s="60" t="s">
        <v>414</v>
      </c>
      <c r="C921" s="59" t="s">
        <v>69</v>
      </c>
      <c r="D921" s="59" t="s">
        <v>70</v>
      </c>
      <c r="E921" s="59" t="s">
        <v>374</v>
      </c>
      <c r="F921" s="59" t="s">
        <v>114</v>
      </c>
      <c r="G921" s="58">
        <f>20777-270</f>
        <v>20507</v>
      </c>
    </row>
    <row r="922" spans="1:7" ht="12.75">
      <c r="A922" s="28" t="s">
        <v>115</v>
      </c>
      <c r="B922" s="60" t="s">
        <v>414</v>
      </c>
      <c r="C922" s="59" t="s">
        <v>69</v>
      </c>
      <c r="D922" s="59" t="s">
        <v>70</v>
      </c>
      <c r="E922" s="59" t="s">
        <v>374</v>
      </c>
      <c r="F922" s="59" t="s">
        <v>116</v>
      </c>
      <c r="G922" s="58">
        <f>100+200</f>
        <v>300</v>
      </c>
    </row>
    <row r="923" spans="1:7" ht="12.75">
      <c r="A923" s="152" t="s">
        <v>613</v>
      </c>
      <c r="B923" s="62" t="s">
        <v>414</v>
      </c>
      <c r="C923" s="63" t="s">
        <v>69</v>
      </c>
      <c r="D923" s="63" t="s">
        <v>69</v>
      </c>
      <c r="E923" s="63"/>
      <c r="F923" s="63"/>
      <c r="G923" s="64">
        <f>G924+G931+G937+G961</f>
        <v>1558.5</v>
      </c>
    </row>
    <row r="924" spans="1:7" ht="25.5">
      <c r="A924" s="126" t="s">
        <v>534</v>
      </c>
      <c r="B924" s="60" t="s">
        <v>414</v>
      </c>
      <c r="C924" s="59" t="s">
        <v>69</v>
      </c>
      <c r="D924" s="59" t="s">
        <v>69</v>
      </c>
      <c r="E924" s="161" t="s">
        <v>186</v>
      </c>
      <c r="F924" s="59"/>
      <c r="G924" s="58">
        <f>G925</f>
        <v>47.6</v>
      </c>
    </row>
    <row r="925" spans="1:7" ht="38.25">
      <c r="A925" s="126" t="s">
        <v>535</v>
      </c>
      <c r="B925" s="60" t="s">
        <v>414</v>
      </c>
      <c r="C925" s="59" t="s">
        <v>69</v>
      </c>
      <c r="D925" s="59" t="s">
        <v>69</v>
      </c>
      <c r="E925" s="161" t="s">
        <v>333</v>
      </c>
      <c r="F925" s="59"/>
      <c r="G925" s="58">
        <f>G926</f>
        <v>47.6</v>
      </c>
    </row>
    <row r="926" spans="1:7" ht="12.75">
      <c r="A926" s="126" t="s">
        <v>185</v>
      </c>
      <c r="B926" s="60" t="s">
        <v>414</v>
      </c>
      <c r="C926" s="162" t="s">
        <v>69</v>
      </c>
      <c r="D926" s="162" t="s">
        <v>69</v>
      </c>
      <c r="E926" s="161" t="s">
        <v>334</v>
      </c>
      <c r="F926" s="162"/>
      <c r="G926" s="58">
        <f>G927</f>
        <v>47.6</v>
      </c>
    </row>
    <row r="927" spans="1:7" ht="38.25">
      <c r="A927" s="126" t="s">
        <v>102</v>
      </c>
      <c r="B927" s="60" t="s">
        <v>414</v>
      </c>
      <c r="C927" s="162" t="s">
        <v>69</v>
      </c>
      <c r="D927" s="162" t="s">
        <v>69</v>
      </c>
      <c r="E927" s="161" t="s">
        <v>334</v>
      </c>
      <c r="F927" s="59" t="s">
        <v>103</v>
      </c>
      <c r="G927" s="58">
        <f>G928</f>
        <v>47.6</v>
      </c>
    </row>
    <row r="928" spans="1:7" ht="12.75">
      <c r="A928" s="28" t="s">
        <v>295</v>
      </c>
      <c r="B928" s="60" t="s">
        <v>414</v>
      </c>
      <c r="C928" s="162" t="s">
        <v>69</v>
      </c>
      <c r="D928" s="162" t="s">
        <v>69</v>
      </c>
      <c r="E928" s="161" t="s">
        <v>334</v>
      </c>
      <c r="F928" s="59" t="s">
        <v>297</v>
      </c>
      <c r="G928" s="58">
        <f>G929+G930</f>
        <v>47.6</v>
      </c>
    </row>
    <row r="929" spans="1:7" ht="12.75">
      <c r="A929" s="28" t="s">
        <v>545</v>
      </c>
      <c r="B929" s="60" t="s">
        <v>414</v>
      </c>
      <c r="C929" s="162" t="s">
        <v>69</v>
      </c>
      <c r="D929" s="162" t="s">
        <v>69</v>
      </c>
      <c r="E929" s="161" t="s">
        <v>334</v>
      </c>
      <c r="F929" s="59" t="s">
        <v>298</v>
      </c>
      <c r="G929" s="58">
        <f>'МП пр.5'!G300</f>
        <v>36.6</v>
      </c>
    </row>
    <row r="930" spans="1:7" ht="25.5">
      <c r="A930" s="28" t="s">
        <v>438</v>
      </c>
      <c r="B930" s="60" t="s">
        <v>414</v>
      </c>
      <c r="C930" s="162" t="s">
        <v>69</v>
      </c>
      <c r="D930" s="162" t="s">
        <v>69</v>
      </c>
      <c r="E930" s="161" t="s">
        <v>334</v>
      </c>
      <c r="F930" s="59" t="s">
        <v>299</v>
      </c>
      <c r="G930" s="58">
        <f>'МП пр.5'!G302</f>
        <v>11</v>
      </c>
    </row>
    <row r="931" spans="1:7" ht="25.5">
      <c r="A931" s="126" t="s">
        <v>536</v>
      </c>
      <c r="B931" s="60" t="s">
        <v>414</v>
      </c>
      <c r="C931" s="59" t="s">
        <v>69</v>
      </c>
      <c r="D931" s="59" t="s">
        <v>69</v>
      </c>
      <c r="E931" s="161" t="s">
        <v>188</v>
      </c>
      <c r="F931" s="59"/>
      <c r="G931" s="58">
        <f>G932</f>
        <v>384.8</v>
      </c>
    </row>
    <row r="932" spans="1:7" ht="25.5">
      <c r="A932" s="126" t="s">
        <v>254</v>
      </c>
      <c r="B932" s="60" t="s">
        <v>414</v>
      </c>
      <c r="C932" s="59" t="s">
        <v>69</v>
      </c>
      <c r="D932" s="59" t="s">
        <v>69</v>
      </c>
      <c r="E932" s="161" t="s">
        <v>335</v>
      </c>
      <c r="F932" s="59"/>
      <c r="G932" s="58">
        <f>G933</f>
        <v>384.8</v>
      </c>
    </row>
    <row r="933" spans="1:7" ht="12.75">
      <c r="A933" s="126" t="s">
        <v>187</v>
      </c>
      <c r="B933" s="60" t="s">
        <v>414</v>
      </c>
      <c r="C933" s="59" t="s">
        <v>69</v>
      </c>
      <c r="D933" s="59" t="s">
        <v>69</v>
      </c>
      <c r="E933" s="161" t="s">
        <v>336</v>
      </c>
      <c r="F933" s="59"/>
      <c r="G933" s="58">
        <f>G934</f>
        <v>384.8</v>
      </c>
    </row>
    <row r="934" spans="1:7" ht="25.5">
      <c r="A934" s="28" t="s">
        <v>610</v>
      </c>
      <c r="B934" s="60" t="s">
        <v>414</v>
      </c>
      <c r="C934" s="59" t="s">
        <v>69</v>
      </c>
      <c r="D934" s="59" t="s">
        <v>69</v>
      </c>
      <c r="E934" s="161" t="s">
        <v>336</v>
      </c>
      <c r="F934" s="59" t="s">
        <v>104</v>
      </c>
      <c r="G934" s="58">
        <f>G935</f>
        <v>384.8</v>
      </c>
    </row>
    <row r="935" spans="1:7" ht="25.5">
      <c r="A935" s="28" t="s">
        <v>98</v>
      </c>
      <c r="B935" s="60" t="s">
        <v>414</v>
      </c>
      <c r="C935" s="59" t="s">
        <v>69</v>
      </c>
      <c r="D935" s="59" t="s">
        <v>69</v>
      </c>
      <c r="E935" s="161" t="s">
        <v>336</v>
      </c>
      <c r="F935" s="59" t="s">
        <v>99</v>
      </c>
      <c r="G935" s="58">
        <f>G936</f>
        <v>384.8</v>
      </c>
    </row>
    <row r="936" spans="1:7" ht="25.5">
      <c r="A936" s="28" t="s">
        <v>100</v>
      </c>
      <c r="B936" s="60" t="s">
        <v>414</v>
      </c>
      <c r="C936" s="59" t="s">
        <v>69</v>
      </c>
      <c r="D936" s="59" t="s">
        <v>69</v>
      </c>
      <c r="E936" s="161" t="s">
        <v>336</v>
      </c>
      <c r="F936" s="59" t="s">
        <v>101</v>
      </c>
      <c r="G936" s="58">
        <f>'МП пр.5'!G311</f>
        <v>384.8</v>
      </c>
    </row>
    <row r="937" spans="1:7" ht="25.5">
      <c r="A937" s="126" t="s">
        <v>547</v>
      </c>
      <c r="B937" s="60" t="s">
        <v>414</v>
      </c>
      <c r="C937" s="59" t="s">
        <v>69</v>
      </c>
      <c r="D937" s="59" t="s">
        <v>69</v>
      </c>
      <c r="E937" s="161" t="s">
        <v>194</v>
      </c>
      <c r="F937" s="59"/>
      <c r="G937" s="58">
        <f>G938+G943</f>
        <v>300</v>
      </c>
    </row>
    <row r="938" spans="1:7" ht="12.75">
      <c r="A938" s="126" t="s">
        <v>256</v>
      </c>
      <c r="B938" s="60" t="s">
        <v>414</v>
      </c>
      <c r="C938" s="59" t="s">
        <v>69</v>
      </c>
      <c r="D938" s="59" t="s">
        <v>69</v>
      </c>
      <c r="E938" s="161" t="s">
        <v>343</v>
      </c>
      <c r="F938" s="59"/>
      <c r="G938" s="58">
        <f>G939</f>
        <v>50</v>
      </c>
    </row>
    <row r="939" spans="1:7" ht="12.75">
      <c r="A939" s="126" t="s">
        <v>178</v>
      </c>
      <c r="B939" s="60" t="s">
        <v>414</v>
      </c>
      <c r="C939" s="59" t="s">
        <v>69</v>
      </c>
      <c r="D939" s="59" t="s">
        <v>69</v>
      </c>
      <c r="E939" s="161" t="s">
        <v>344</v>
      </c>
      <c r="F939" s="59"/>
      <c r="G939" s="58">
        <f>G940</f>
        <v>50</v>
      </c>
    </row>
    <row r="940" spans="1:7" ht="25.5">
      <c r="A940" s="28" t="s">
        <v>610</v>
      </c>
      <c r="B940" s="60" t="s">
        <v>414</v>
      </c>
      <c r="C940" s="59" t="s">
        <v>69</v>
      </c>
      <c r="D940" s="59" t="s">
        <v>69</v>
      </c>
      <c r="E940" s="161" t="s">
        <v>344</v>
      </c>
      <c r="F940" s="59" t="s">
        <v>104</v>
      </c>
      <c r="G940" s="58">
        <f>G941</f>
        <v>50</v>
      </c>
    </row>
    <row r="941" spans="1:7" ht="25.5">
      <c r="A941" s="28" t="s">
        <v>98</v>
      </c>
      <c r="B941" s="60" t="s">
        <v>414</v>
      </c>
      <c r="C941" s="59" t="s">
        <v>69</v>
      </c>
      <c r="D941" s="59" t="s">
        <v>69</v>
      </c>
      <c r="E941" s="161" t="s">
        <v>344</v>
      </c>
      <c r="F941" s="59" t="s">
        <v>99</v>
      </c>
      <c r="G941" s="58">
        <f>G942</f>
        <v>50</v>
      </c>
    </row>
    <row r="942" spans="1:7" ht="25.5">
      <c r="A942" s="28" t="s">
        <v>100</v>
      </c>
      <c r="B942" s="60" t="s">
        <v>414</v>
      </c>
      <c r="C942" s="59" t="s">
        <v>69</v>
      </c>
      <c r="D942" s="59" t="s">
        <v>69</v>
      </c>
      <c r="E942" s="161" t="s">
        <v>344</v>
      </c>
      <c r="F942" s="59" t="s">
        <v>101</v>
      </c>
      <c r="G942" s="58">
        <f>'МП пр.5'!G324</f>
        <v>50</v>
      </c>
    </row>
    <row r="943" spans="1:7" ht="12.75">
      <c r="A943" s="126" t="s">
        <v>257</v>
      </c>
      <c r="B943" s="60" t="s">
        <v>414</v>
      </c>
      <c r="C943" s="59" t="s">
        <v>69</v>
      </c>
      <c r="D943" s="59" t="s">
        <v>69</v>
      </c>
      <c r="E943" s="161" t="s">
        <v>345</v>
      </c>
      <c r="F943" s="59"/>
      <c r="G943" s="58">
        <f>G944+G948+G953+G957</f>
        <v>250</v>
      </c>
    </row>
    <row r="944" spans="1:7" ht="12.75">
      <c r="A944" s="126" t="s">
        <v>195</v>
      </c>
      <c r="B944" s="60" t="s">
        <v>414</v>
      </c>
      <c r="C944" s="59" t="s">
        <v>69</v>
      </c>
      <c r="D944" s="59" t="s">
        <v>69</v>
      </c>
      <c r="E944" s="161" t="s">
        <v>346</v>
      </c>
      <c r="F944" s="59"/>
      <c r="G944" s="58">
        <f>G945</f>
        <v>95</v>
      </c>
    </row>
    <row r="945" spans="1:7" ht="25.5">
      <c r="A945" s="28" t="s">
        <v>610</v>
      </c>
      <c r="B945" s="60" t="s">
        <v>414</v>
      </c>
      <c r="C945" s="59" t="s">
        <v>69</v>
      </c>
      <c r="D945" s="59" t="s">
        <v>69</v>
      </c>
      <c r="E945" s="161" t="s">
        <v>346</v>
      </c>
      <c r="F945" s="59" t="s">
        <v>104</v>
      </c>
      <c r="G945" s="58">
        <f>G946</f>
        <v>95</v>
      </c>
    </row>
    <row r="946" spans="1:7" ht="25.5">
      <c r="A946" s="28" t="s">
        <v>98</v>
      </c>
      <c r="B946" s="60" t="s">
        <v>414</v>
      </c>
      <c r="C946" s="59" t="s">
        <v>69</v>
      </c>
      <c r="D946" s="59" t="s">
        <v>69</v>
      </c>
      <c r="E946" s="161" t="s">
        <v>346</v>
      </c>
      <c r="F946" s="59" t="s">
        <v>99</v>
      </c>
      <c r="G946" s="58">
        <f>G947</f>
        <v>95</v>
      </c>
    </row>
    <row r="947" spans="1:7" ht="25.5">
      <c r="A947" s="28" t="s">
        <v>100</v>
      </c>
      <c r="B947" s="60" t="s">
        <v>414</v>
      </c>
      <c r="C947" s="59" t="s">
        <v>69</v>
      </c>
      <c r="D947" s="59" t="s">
        <v>69</v>
      </c>
      <c r="E947" s="161" t="s">
        <v>346</v>
      </c>
      <c r="F947" s="59" t="s">
        <v>101</v>
      </c>
      <c r="G947" s="58">
        <f>'МП пр.5'!G332</f>
        <v>95</v>
      </c>
    </row>
    <row r="948" spans="1:7" ht="12.75">
      <c r="A948" s="126" t="s">
        <v>196</v>
      </c>
      <c r="B948" s="60" t="s">
        <v>414</v>
      </c>
      <c r="C948" s="59" t="s">
        <v>69</v>
      </c>
      <c r="D948" s="59" t="s">
        <v>69</v>
      </c>
      <c r="E948" s="161" t="s">
        <v>347</v>
      </c>
      <c r="F948" s="59"/>
      <c r="G948" s="58">
        <f>G949</f>
        <v>100</v>
      </c>
    </row>
    <row r="949" spans="1:7" ht="38.25">
      <c r="A949" s="126" t="s">
        <v>102</v>
      </c>
      <c r="B949" s="60" t="s">
        <v>414</v>
      </c>
      <c r="C949" s="59" t="s">
        <v>69</v>
      </c>
      <c r="D949" s="59" t="s">
        <v>69</v>
      </c>
      <c r="E949" s="161" t="s">
        <v>347</v>
      </c>
      <c r="F949" s="59" t="s">
        <v>103</v>
      </c>
      <c r="G949" s="58">
        <f>G950</f>
        <v>100</v>
      </c>
    </row>
    <row r="950" spans="1:7" ht="12.75">
      <c r="A950" s="28" t="s">
        <v>295</v>
      </c>
      <c r="B950" s="60" t="s">
        <v>414</v>
      </c>
      <c r="C950" s="59" t="s">
        <v>69</v>
      </c>
      <c r="D950" s="59" t="s">
        <v>69</v>
      </c>
      <c r="E950" s="161" t="s">
        <v>347</v>
      </c>
      <c r="F950" s="59" t="s">
        <v>297</v>
      </c>
      <c r="G950" s="58">
        <f>G951+G952</f>
        <v>100</v>
      </c>
    </row>
    <row r="951" spans="1:7" ht="12.75">
      <c r="A951" s="28" t="s">
        <v>434</v>
      </c>
      <c r="B951" s="60" t="s">
        <v>414</v>
      </c>
      <c r="C951" s="59" t="s">
        <v>69</v>
      </c>
      <c r="D951" s="59" t="s">
        <v>69</v>
      </c>
      <c r="E951" s="161" t="s">
        <v>347</v>
      </c>
      <c r="F951" s="59" t="s">
        <v>296</v>
      </c>
      <c r="G951" s="58">
        <f>'МП пр.5'!G339</f>
        <v>20</v>
      </c>
    </row>
    <row r="952" spans="1:7" ht="25.5">
      <c r="A952" s="28" t="s">
        <v>548</v>
      </c>
      <c r="B952" s="60" t="s">
        <v>414</v>
      </c>
      <c r="C952" s="59" t="s">
        <v>69</v>
      </c>
      <c r="D952" s="59" t="s">
        <v>69</v>
      </c>
      <c r="E952" s="161" t="s">
        <v>347</v>
      </c>
      <c r="F952" s="59" t="s">
        <v>549</v>
      </c>
      <c r="G952" s="58">
        <f>'МП пр.5'!G341</f>
        <v>80</v>
      </c>
    </row>
    <row r="953" spans="1:7" ht="12.75">
      <c r="A953" s="126" t="s">
        <v>197</v>
      </c>
      <c r="B953" s="60" t="s">
        <v>414</v>
      </c>
      <c r="C953" s="59" t="s">
        <v>69</v>
      </c>
      <c r="D953" s="59" t="s">
        <v>69</v>
      </c>
      <c r="E953" s="161" t="s">
        <v>348</v>
      </c>
      <c r="F953" s="59"/>
      <c r="G953" s="58">
        <f>G954</f>
        <v>35</v>
      </c>
    </row>
    <row r="954" spans="1:7" ht="25.5">
      <c r="A954" s="28" t="s">
        <v>610</v>
      </c>
      <c r="B954" s="60" t="s">
        <v>414</v>
      </c>
      <c r="C954" s="59" t="s">
        <v>69</v>
      </c>
      <c r="D954" s="59" t="s">
        <v>69</v>
      </c>
      <c r="E954" s="161" t="s">
        <v>348</v>
      </c>
      <c r="F954" s="59" t="s">
        <v>104</v>
      </c>
      <c r="G954" s="58">
        <f>G955</f>
        <v>35</v>
      </c>
    </row>
    <row r="955" spans="1:7" ht="25.5">
      <c r="A955" s="28" t="s">
        <v>98</v>
      </c>
      <c r="B955" s="60" t="s">
        <v>414</v>
      </c>
      <c r="C955" s="59" t="s">
        <v>69</v>
      </c>
      <c r="D955" s="59" t="s">
        <v>69</v>
      </c>
      <c r="E955" s="161" t="s">
        <v>348</v>
      </c>
      <c r="F955" s="59" t="s">
        <v>99</v>
      </c>
      <c r="G955" s="58">
        <f>G956</f>
        <v>35</v>
      </c>
    </row>
    <row r="956" spans="1:7" ht="25.5">
      <c r="A956" s="28" t="s">
        <v>100</v>
      </c>
      <c r="B956" s="60" t="s">
        <v>414</v>
      </c>
      <c r="C956" s="59" t="s">
        <v>69</v>
      </c>
      <c r="D956" s="59" t="s">
        <v>69</v>
      </c>
      <c r="E956" s="161" t="s">
        <v>348</v>
      </c>
      <c r="F956" s="59" t="s">
        <v>101</v>
      </c>
      <c r="G956" s="58">
        <f>'МП пр.5'!G348</f>
        <v>35</v>
      </c>
    </row>
    <row r="957" spans="1:7" ht="12.75">
      <c r="A957" s="126" t="s">
        <v>198</v>
      </c>
      <c r="B957" s="60" t="s">
        <v>414</v>
      </c>
      <c r="C957" s="59" t="s">
        <v>69</v>
      </c>
      <c r="D957" s="59" t="s">
        <v>69</v>
      </c>
      <c r="E957" s="161" t="s">
        <v>349</v>
      </c>
      <c r="F957" s="59"/>
      <c r="G957" s="58">
        <f>G958</f>
        <v>20</v>
      </c>
    </row>
    <row r="958" spans="1:7" ht="25.5">
      <c r="A958" s="28" t="s">
        <v>610</v>
      </c>
      <c r="B958" s="60" t="s">
        <v>414</v>
      </c>
      <c r="C958" s="59" t="s">
        <v>69</v>
      </c>
      <c r="D958" s="59" t="s">
        <v>69</v>
      </c>
      <c r="E958" s="161" t="s">
        <v>349</v>
      </c>
      <c r="F958" s="59" t="s">
        <v>104</v>
      </c>
      <c r="G958" s="58">
        <f>G959</f>
        <v>20</v>
      </c>
    </row>
    <row r="959" spans="1:7" ht="25.5">
      <c r="A959" s="28" t="s">
        <v>98</v>
      </c>
      <c r="B959" s="60" t="s">
        <v>414</v>
      </c>
      <c r="C959" s="59" t="s">
        <v>69</v>
      </c>
      <c r="D959" s="59" t="s">
        <v>69</v>
      </c>
      <c r="E959" s="161" t="s">
        <v>349</v>
      </c>
      <c r="F959" s="59" t="s">
        <v>99</v>
      </c>
      <c r="G959" s="58">
        <f>G960</f>
        <v>20</v>
      </c>
    </row>
    <row r="960" spans="1:7" ht="25.5">
      <c r="A960" s="28" t="s">
        <v>100</v>
      </c>
      <c r="B960" s="60" t="s">
        <v>414</v>
      </c>
      <c r="C960" s="59" t="s">
        <v>69</v>
      </c>
      <c r="D960" s="59" t="s">
        <v>69</v>
      </c>
      <c r="E960" s="161" t="s">
        <v>349</v>
      </c>
      <c r="F960" s="59" t="s">
        <v>101</v>
      </c>
      <c r="G960" s="58">
        <f>'МП пр.5'!G355</f>
        <v>20</v>
      </c>
    </row>
    <row r="961" spans="1:7" ht="12.75">
      <c r="A961" s="28" t="s">
        <v>51</v>
      </c>
      <c r="B961" s="60" t="s">
        <v>414</v>
      </c>
      <c r="C961" s="59" t="s">
        <v>69</v>
      </c>
      <c r="D961" s="59" t="s">
        <v>69</v>
      </c>
      <c r="E961" s="59" t="s">
        <v>213</v>
      </c>
      <c r="F961" s="59"/>
      <c r="G961" s="58">
        <f>G962</f>
        <v>826.1</v>
      </c>
    </row>
    <row r="962" spans="1:7" ht="12.75">
      <c r="A962" s="28" t="s">
        <v>377</v>
      </c>
      <c r="B962" s="60" t="s">
        <v>414</v>
      </c>
      <c r="C962" s="59" t="s">
        <v>69</v>
      </c>
      <c r="D962" s="59" t="s">
        <v>69</v>
      </c>
      <c r="E962" s="59" t="s">
        <v>404</v>
      </c>
      <c r="F962" s="59"/>
      <c r="G962" s="58">
        <f>G963</f>
        <v>826.1</v>
      </c>
    </row>
    <row r="963" spans="1:7" ht="25.5">
      <c r="A963" s="28" t="s">
        <v>610</v>
      </c>
      <c r="B963" s="60" t="s">
        <v>414</v>
      </c>
      <c r="C963" s="59" t="s">
        <v>69</v>
      </c>
      <c r="D963" s="59" t="s">
        <v>69</v>
      </c>
      <c r="E963" s="59" t="s">
        <v>404</v>
      </c>
      <c r="F963" s="59" t="s">
        <v>104</v>
      </c>
      <c r="G963" s="58">
        <f>G964</f>
        <v>826.1</v>
      </c>
    </row>
    <row r="964" spans="1:7" ht="25.5">
      <c r="A964" s="28" t="s">
        <v>98</v>
      </c>
      <c r="B964" s="60" t="s">
        <v>414</v>
      </c>
      <c r="C964" s="59" t="s">
        <v>69</v>
      </c>
      <c r="D964" s="59" t="s">
        <v>69</v>
      </c>
      <c r="E964" s="59" t="s">
        <v>404</v>
      </c>
      <c r="F964" s="59" t="s">
        <v>99</v>
      </c>
      <c r="G964" s="58">
        <f>G965</f>
        <v>826.1</v>
      </c>
    </row>
    <row r="965" spans="1:7" ht="25.5">
      <c r="A965" s="28" t="s">
        <v>100</v>
      </c>
      <c r="B965" s="60" t="s">
        <v>414</v>
      </c>
      <c r="C965" s="59" t="s">
        <v>69</v>
      </c>
      <c r="D965" s="59" t="s">
        <v>69</v>
      </c>
      <c r="E965" s="59" t="s">
        <v>404</v>
      </c>
      <c r="F965" s="59" t="s">
        <v>101</v>
      </c>
      <c r="G965" s="58">
        <f>35+791.1</f>
        <v>826.1</v>
      </c>
    </row>
    <row r="966" spans="1:7" ht="12.75">
      <c r="A966" s="61" t="s">
        <v>145</v>
      </c>
      <c r="B966" s="62" t="s">
        <v>414</v>
      </c>
      <c r="C966" s="63" t="s">
        <v>73</v>
      </c>
      <c r="D966" s="63" t="s">
        <v>36</v>
      </c>
      <c r="E966" s="63"/>
      <c r="F966" s="63"/>
      <c r="G966" s="64">
        <f>G967+G1078</f>
        <v>52385.9</v>
      </c>
    </row>
    <row r="967" spans="1:7" ht="12.75">
      <c r="A967" s="61" t="s">
        <v>12</v>
      </c>
      <c r="B967" s="62" t="s">
        <v>414</v>
      </c>
      <c r="C967" s="63" t="s">
        <v>73</v>
      </c>
      <c r="D967" s="63" t="s">
        <v>66</v>
      </c>
      <c r="E967" s="63"/>
      <c r="F967" s="63"/>
      <c r="G967" s="64">
        <f>G968+G974+G992+G1039+G1051+G1058+G1072+G1032</f>
        <v>39547.9</v>
      </c>
    </row>
    <row r="968" spans="1:7" ht="25.5">
      <c r="A968" s="126" t="s">
        <v>423</v>
      </c>
      <c r="B968" s="60" t="s">
        <v>414</v>
      </c>
      <c r="C968" s="59" t="s">
        <v>73</v>
      </c>
      <c r="D968" s="59" t="s">
        <v>66</v>
      </c>
      <c r="E968" s="161" t="s">
        <v>189</v>
      </c>
      <c r="F968" s="59"/>
      <c r="G968" s="58">
        <f>G969</f>
        <v>300</v>
      </c>
    </row>
    <row r="969" spans="1:7" ht="25.5">
      <c r="A969" s="126" t="s">
        <v>258</v>
      </c>
      <c r="B969" s="60" t="s">
        <v>414</v>
      </c>
      <c r="C969" s="59" t="s">
        <v>73</v>
      </c>
      <c r="D969" s="59" t="s">
        <v>66</v>
      </c>
      <c r="E969" s="161" t="s">
        <v>550</v>
      </c>
      <c r="F969" s="59"/>
      <c r="G969" s="58">
        <f>G970</f>
        <v>300</v>
      </c>
    </row>
    <row r="970" spans="1:7" ht="12.75">
      <c r="A970" s="126" t="s">
        <v>199</v>
      </c>
      <c r="B970" s="60" t="s">
        <v>414</v>
      </c>
      <c r="C970" s="59" t="s">
        <v>73</v>
      </c>
      <c r="D970" s="59" t="s">
        <v>66</v>
      </c>
      <c r="E970" s="161" t="s">
        <v>551</v>
      </c>
      <c r="F970" s="59"/>
      <c r="G970" s="58">
        <f>G971</f>
        <v>300</v>
      </c>
    </row>
    <row r="971" spans="1:7" ht="25.5">
      <c r="A971" s="28" t="s">
        <v>105</v>
      </c>
      <c r="B971" s="60" t="s">
        <v>414</v>
      </c>
      <c r="C971" s="59" t="s">
        <v>73</v>
      </c>
      <c r="D971" s="59" t="s">
        <v>66</v>
      </c>
      <c r="E971" s="161" t="s">
        <v>551</v>
      </c>
      <c r="F971" s="59" t="s">
        <v>106</v>
      </c>
      <c r="G971" s="58">
        <f>G972</f>
        <v>300</v>
      </c>
    </row>
    <row r="972" spans="1:7" ht="12.75">
      <c r="A972" s="28" t="s">
        <v>111</v>
      </c>
      <c r="B972" s="60" t="s">
        <v>414</v>
      </c>
      <c r="C972" s="59" t="s">
        <v>73</v>
      </c>
      <c r="D972" s="59" t="s">
        <v>66</v>
      </c>
      <c r="E972" s="161" t="s">
        <v>551</v>
      </c>
      <c r="F972" s="59" t="s">
        <v>112</v>
      </c>
      <c r="G972" s="58">
        <f>G973</f>
        <v>300</v>
      </c>
    </row>
    <row r="973" spans="1:7" ht="12.75">
      <c r="A973" s="28" t="s">
        <v>115</v>
      </c>
      <c r="B973" s="60" t="s">
        <v>414</v>
      </c>
      <c r="C973" s="59" t="s">
        <v>73</v>
      </c>
      <c r="D973" s="59" t="s">
        <v>66</v>
      </c>
      <c r="E973" s="161" t="s">
        <v>551</v>
      </c>
      <c r="F973" s="59" t="s">
        <v>116</v>
      </c>
      <c r="G973" s="58">
        <f>'МП пр.5'!G671</f>
        <v>300</v>
      </c>
    </row>
    <row r="974" spans="1:7" ht="25.5">
      <c r="A974" s="126" t="s">
        <v>513</v>
      </c>
      <c r="B974" s="60" t="s">
        <v>414</v>
      </c>
      <c r="C974" s="59" t="s">
        <v>73</v>
      </c>
      <c r="D974" s="59" t="s">
        <v>66</v>
      </c>
      <c r="E974" s="161" t="s">
        <v>180</v>
      </c>
      <c r="F974" s="59"/>
      <c r="G974" s="58">
        <f>G975</f>
        <v>365.3</v>
      </c>
    </row>
    <row r="975" spans="1:7" ht="25.5">
      <c r="A975" s="126" t="s">
        <v>251</v>
      </c>
      <c r="B975" s="60" t="s">
        <v>414</v>
      </c>
      <c r="C975" s="59" t="s">
        <v>73</v>
      </c>
      <c r="D975" s="59" t="s">
        <v>66</v>
      </c>
      <c r="E975" s="161" t="s">
        <v>325</v>
      </c>
      <c r="F975" s="59"/>
      <c r="G975" s="58">
        <f>G976+G980+G984+G988</f>
        <v>365.3</v>
      </c>
    </row>
    <row r="976" spans="1:7" ht="12.75">
      <c r="A976" s="126" t="s">
        <v>179</v>
      </c>
      <c r="B976" s="60" t="s">
        <v>414</v>
      </c>
      <c r="C976" s="59" t="s">
        <v>73</v>
      </c>
      <c r="D976" s="59" t="s">
        <v>66</v>
      </c>
      <c r="E976" s="161" t="s">
        <v>326</v>
      </c>
      <c r="F976" s="59"/>
      <c r="G976" s="58">
        <f>G977</f>
        <v>206.3</v>
      </c>
    </row>
    <row r="977" spans="1:7" ht="25.5">
      <c r="A977" s="28" t="s">
        <v>105</v>
      </c>
      <c r="B977" s="60" t="s">
        <v>414</v>
      </c>
      <c r="C977" s="59" t="s">
        <v>73</v>
      </c>
      <c r="D977" s="59" t="s">
        <v>66</v>
      </c>
      <c r="E977" s="161" t="s">
        <v>326</v>
      </c>
      <c r="F977" s="59" t="s">
        <v>106</v>
      </c>
      <c r="G977" s="58">
        <f>G978</f>
        <v>206.3</v>
      </c>
    </row>
    <row r="978" spans="1:7" ht="12.75">
      <c r="A978" s="28" t="s">
        <v>111</v>
      </c>
      <c r="B978" s="60" t="s">
        <v>414</v>
      </c>
      <c r="C978" s="59" t="s">
        <v>73</v>
      </c>
      <c r="D978" s="59" t="s">
        <v>66</v>
      </c>
      <c r="E978" s="161" t="s">
        <v>326</v>
      </c>
      <c r="F978" s="59" t="s">
        <v>112</v>
      </c>
      <c r="G978" s="58">
        <f>G979</f>
        <v>206.3</v>
      </c>
    </row>
    <row r="979" spans="1:7" ht="12.75">
      <c r="A979" s="28" t="s">
        <v>115</v>
      </c>
      <c r="B979" s="60" t="s">
        <v>414</v>
      </c>
      <c r="C979" s="59" t="s">
        <v>73</v>
      </c>
      <c r="D979" s="59" t="s">
        <v>66</v>
      </c>
      <c r="E979" s="161" t="s">
        <v>326</v>
      </c>
      <c r="F979" s="59" t="s">
        <v>116</v>
      </c>
      <c r="G979" s="58">
        <f>'МП пр.5'!G539</f>
        <v>206.3</v>
      </c>
    </row>
    <row r="980" spans="1:7" ht="12.75">
      <c r="A980" s="126" t="s">
        <v>182</v>
      </c>
      <c r="B980" s="60" t="s">
        <v>414</v>
      </c>
      <c r="C980" s="59" t="s">
        <v>73</v>
      </c>
      <c r="D980" s="59" t="s">
        <v>66</v>
      </c>
      <c r="E980" s="161" t="s">
        <v>330</v>
      </c>
      <c r="F980" s="59"/>
      <c r="G980" s="58">
        <f>G981</f>
        <v>80</v>
      </c>
    </row>
    <row r="981" spans="1:7" ht="25.5">
      <c r="A981" s="28" t="s">
        <v>105</v>
      </c>
      <c r="B981" s="60" t="s">
        <v>414</v>
      </c>
      <c r="C981" s="59" t="s">
        <v>73</v>
      </c>
      <c r="D981" s="59" t="s">
        <v>66</v>
      </c>
      <c r="E981" s="161" t="s">
        <v>330</v>
      </c>
      <c r="F981" s="59" t="s">
        <v>106</v>
      </c>
      <c r="G981" s="58">
        <f>G982</f>
        <v>80</v>
      </c>
    </row>
    <row r="982" spans="1:7" ht="12.75">
      <c r="A982" s="28" t="s">
        <v>111</v>
      </c>
      <c r="B982" s="60" t="s">
        <v>414</v>
      </c>
      <c r="C982" s="59" t="s">
        <v>73</v>
      </c>
      <c r="D982" s="59" t="s">
        <v>66</v>
      </c>
      <c r="E982" s="161" t="s">
        <v>330</v>
      </c>
      <c r="F982" s="59" t="s">
        <v>112</v>
      </c>
      <c r="G982" s="58">
        <f>G983</f>
        <v>80</v>
      </c>
    </row>
    <row r="983" spans="1:7" ht="12.75">
      <c r="A983" s="28" t="s">
        <v>115</v>
      </c>
      <c r="B983" s="60" t="s">
        <v>414</v>
      </c>
      <c r="C983" s="59" t="s">
        <v>73</v>
      </c>
      <c r="D983" s="59" t="s">
        <v>66</v>
      </c>
      <c r="E983" s="161" t="s">
        <v>330</v>
      </c>
      <c r="F983" s="59" t="s">
        <v>116</v>
      </c>
      <c r="G983" s="58">
        <f>'МП пр.5'!G563</f>
        <v>80</v>
      </c>
    </row>
    <row r="984" spans="1:7" ht="12.75">
      <c r="A984" s="126" t="s">
        <v>193</v>
      </c>
      <c r="B984" s="60" t="s">
        <v>414</v>
      </c>
      <c r="C984" s="59" t="s">
        <v>73</v>
      </c>
      <c r="D984" s="59" t="s">
        <v>66</v>
      </c>
      <c r="E984" s="161" t="s">
        <v>342</v>
      </c>
      <c r="F984" s="59"/>
      <c r="G984" s="58">
        <f>G985</f>
        <v>59</v>
      </c>
    </row>
    <row r="985" spans="1:7" ht="25.5">
      <c r="A985" s="28" t="s">
        <v>105</v>
      </c>
      <c r="B985" s="60" t="s">
        <v>414</v>
      </c>
      <c r="C985" s="59" t="s">
        <v>73</v>
      </c>
      <c r="D985" s="59" t="s">
        <v>66</v>
      </c>
      <c r="E985" s="161" t="s">
        <v>342</v>
      </c>
      <c r="F985" s="59" t="s">
        <v>106</v>
      </c>
      <c r="G985" s="58">
        <f>G986</f>
        <v>59</v>
      </c>
    </row>
    <row r="986" spans="1:7" ht="12.75">
      <c r="A986" s="28" t="s">
        <v>111</v>
      </c>
      <c r="B986" s="60" t="s">
        <v>414</v>
      </c>
      <c r="C986" s="59" t="s">
        <v>73</v>
      </c>
      <c r="D986" s="59" t="s">
        <v>66</v>
      </c>
      <c r="E986" s="161" t="s">
        <v>342</v>
      </c>
      <c r="F986" s="59" t="s">
        <v>112</v>
      </c>
      <c r="G986" s="58">
        <f>G987</f>
        <v>59</v>
      </c>
    </row>
    <row r="987" spans="1:7" ht="12.75">
      <c r="A987" s="28" t="s">
        <v>115</v>
      </c>
      <c r="B987" s="60" t="s">
        <v>414</v>
      </c>
      <c r="C987" s="59" t="s">
        <v>73</v>
      </c>
      <c r="D987" s="59" t="s">
        <v>66</v>
      </c>
      <c r="E987" s="161" t="s">
        <v>342</v>
      </c>
      <c r="F987" s="59" t="s">
        <v>116</v>
      </c>
      <c r="G987" s="58">
        <f>'МП пр.5'!G582</f>
        <v>59</v>
      </c>
    </row>
    <row r="988" spans="1:7" ht="25.5">
      <c r="A988" s="126" t="s">
        <v>611</v>
      </c>
      <c r="B988" s="60" t="s">
        <v>414</v>
      </c>
      <c r="C988" s="59" t="s">
        <v>73</v>
      </c>
      <c r="D988" s="59" t="s">
        <v>66</v>
      </c>
      <c r="E988" s="161" t="s">
        <v>328</v>
      </c>
      <c r="F988" s="59"/>
      <c r="G988" s="58">
        <f>G989</f>
        <v>20</v>
      </c>
    </row>
    <row r="989" spans="1:7" ht="25.5">
      <c r="A989" s="28" t="s">
        <v>105</v>
      </c>
      <c r="B989" s="60" t="s">
        <v>414</v>
      </c>
      <c r="C989" s="59" t="s">
        <v>73</v>
      </c>
      <c r="D989" s="59" t="s">
        <v>66</v>
      </c>
      <c r="E989" s="161" t="s">
        <v>328</v>
      </c>
      <c r="F989" s="59" t="s">
        <v>106</v>
      </c>
      <c r="G989" s="58">
        <f>G990</f>
        <v>20</v>
      </c>
    </row>
    <row r="990" spans="1:7" ht="12.75">
      <c r="A990" s="28" t="s">
        <v>111</v>
      </c>
      <c r="B990" s="60" t="s">
        <v>414</v>
      </c>
      <c r="C990" s="59" t="s">
        <v>73</v>
      </c>
      <c r="D990" s="59" t="s">
        <v>66</v>
      </c>
      <c r="E990" s="161" t="s">
        <v>328</v>
      </c>
      <c r="F990" s="59" t="s">
        <v>112</v>
      </c>
      <c r="G990" s="58">
        <f>G991</f>
        <v>20</v>
      </c>
    </row>
    <row r="991" spans="1:7" ht="12.75">
      <c r="A991" s="28" t="s">
        <v>115</v>
      </c>
      <c r="B991" s="60" t="s">
        <v>414</v>
      </c>
      <c r="C991" s="59" t="s">
        <v>73</v>
      </c>
      <c r="D991" s="59" t="s">
        <v>66</v>
      </c>
      <c r="E991" s="161" t="s">
        <v>328</v>
      </c>
      <c r="F991" s="59" t="s">
        <v>116</v>
      </c>
      <c r="G991" s="58">
        <f>'МП пр.5'!G627</f>
        <v>20</v>
      </c>
    </row>
    <row r="992" spans="1:7" ht="25.5">
      <c r="A992" s="126" t="s">
        <v>552</v>
      </c>
      <c r="B992" s="60" t="s">
        <v>414</v>
      </c>
      <c r="C992" s="59" t="s">
        <v>73</v>
      </c>
      <c r="D992" s="59" t="s">
        <v>66</v>
      </c>
      <c r="E992" s="161" t="s">
        <v>200</v>
      </c>
      <c r="F992" s="59"/>
      <c r="G992" s="58">
        <f>G993+G1018+G1023+G1013</f>
        <v>2394.6000000000004</v>
      </c>
    </row>
    <row r="993" spans="1:7" ht="25.5">
      <c r="A993" s="28" t="s">
        <v>553</v>
      </c>
      <c r="B993" s="60" t="s">
        <v>414</v>
      </c>
      <c r="C993" s="59" t="s">
        <v>73</v>
      </c>
      <c r="D993" s="59" t="s">
        <v>66</v>
      </c>
      <c r="E993" s="161" t="s">
        <v>350</v>
      </c>
      <c r="F993" s="59"/>
      <c r="G993" s="58">
        <f>G1005+G1009+G994+G1001</f>
        <v>116.19999999999999</v>
      </c>
    </row>
    <row r="994" spans="1:7" ht="18.75" customHeight="1">
      <c r="A994" s="28" t="str">
        <f>'МП пр.5'!A719</f>
        <v>Обеспечение гарантированного комплектования фондов библиотек</v>
      </c>
      <c r="B994" s="60" t="s">
        <v>414</v>
      </c>
      <c r="C994" s="59" t="s">
        <v>73</v>
      </c>
      <c r="D994" s="59" t="s">
        <v>66</v>
      </c>
      <c r="E994" s="164" t="s">
        <v>670</v>
      </c>
      <c r="F994" s="59"/>
      <c r="G994" s="58">
        <f>G995</f>
        <v>2.6</v>
      </c>
    </row>
    <row r="995" spans="1:7" ht="25.5">
      <c r="A995" s="28" t="s">
        <v>105</v>
      </c>
      <c r="B995" s="60" t="s">
        <v>414</v>
      </c>
      <c r="C995" s="59" t="s">
        <v>73</v>
      </c>
      <c r="D995" s="59" t="s">
        <v>66</v>
      </c>
      <c r="E995" s="164" t="s">
        <v>670</v>
      </c>
      <c r="F995" s="59" t="s">
        <v>106</v>
      </c>
      <c r="G995" s="58">
        <f>G996</f>
        <v>2.6</v>
      </c>
    </row>
    <row r="996" spans="1:7" ht="12.75">
      <c r="A996" s="28" t="s">
        <v>111</v>
      </c>
      <c r="B996" s="60" t="s">
        <v>414</v>
      </c>
      <c r="C996" s="59" t="s">
        <v>73</v>
      </c>
      <c r="D996" s="59" t="s">
        <v>66</v>
      </c>
      <c r="E996" s="164" t="s">
        <v>670</v>
      </c>
      <c r="F996" s="59" t="s">
        <v>112</v>
      </c>
      <c r="G996" s="58">
        <f>G997</f>
        <v>2.6</v>
      </c>
    </row>
    <row r="997" spans="1:7" ht="12.75">
      <c r="A997" s="28" t="s">
        <v>115</v>
      </c>
      <c r="B997" s="60" t="s">
        <v>414</v>
      </c>
      <c r="C997" s="59" t="s">
        <v>73</v>
      </c>
      <c r="D997" s="59" t="s">
        <v>66</v>
      </c>
      <c r="E997" s="164" t="s">
        <v>670</v>
      </c>
      <c r="F997" s="59" t="s">
        <v>116</v>
      </c>
      <c r="G997" s="58">
        <f>'МП пр.5'!G725</f>
        <v>2.6</v>
      </c>
    </row>
    <row r="998" spans="1:7" ht="25.5">
      <c r="A998" s="28" t="str">
        <f>'МП пр.5'!A726</f>
        <v>Обеспечение гарантированного комплектования фондов библиотек за счет средств местного бюджета</v>
      </c>
      <c r="B998" s="60" t="s">
        <v>414</v>
      </c>
      <c r="C998" s="59" t="s">
        <v>73</v>
      </c>
      <c r="D998" s="59" t="s">
        <v>66</v>
      </c>
      <c r="E998" s="164" t="s">
        <v>799</v>
      </c>
      <c r="F998" s="59"/>
      <c r="G998" s="58">
        <f>G999</f>
        <v>0.4</v>
      </c>
    </row>
    <row r="999" spans="1:7" ht="25.5">
      <c r="A999" s="28" t="s">
        <v>105</v>
      </c>
      <c r="B999" s="60" t="s">
        <v>414</v>
      </c>
      <c r="C999" s="59" t="s">
        <v>73</v>
      </c>
      <c r="D999" s="59" t="s">
        <v>66</v>
      </c>
      <c r="E999" s="164" t="s">
        <v>799</v>
      </c>
      <c r="F999" s="59" t="s">
        <v>106</v>
      </c>
      <c r="G999" s="58">
        <f>G1000</f>
        <v>0.4</v>
      </c>
    </row>
    <row r="1000" spans="1:7" ht="12.75">
      <c r="A1000" s="28" t="s">
        <v>111</v>
      </c>
      <c r="B1000" s="60" t="s">
        <v>414</v>
      </c>
      <c r="C1000" s="59" t="s">
        <v>73</v>
      </c>
      <c r="D1000" s="59" t="s">
        <v>66</v>
      </c>
      <c r="E1000" s="164" t="s">
        <v>799</v>
      </c>
      <c r="F1000" s="59" t="s">
        <v>112</v>
      </c>
      <c r="G1000" s="58">
        <f>G1001</f>
        <v>0.4</v>
      </c>
    </row>
    <row r="1001" spans="1:7" ht="12.75">
      <c r="A1001" s="28" t="s">
        <v>115</v>
      </c>
      <c r="B1001" s="60" t="s">
        <v>414</v>
      </c>
      <c r="C1001" s="59" t="s">
        <v>73</v>
      </c>
      <c r="D1001" s="59" t="s">
        <v>66</v>
      </c>
      <c r="E1001" s="164" t="s">
        <v>799</v>
      </c>
      <c r="F1001" s="59" t="s">
        <v>116</v>
      </c>
      <c r="G1001" s="58">
        <v>0.4</v>
      </c>
    </row>
    <row r="1002" spans="1:7" ht="12.75" hidden="1">
      <c r="A1002" s="28"/>
      <c r="B1002" s="60"/>
      <c r="C1002" s="59"/>
      <c r="D1002" s="59"/>
      <c r="E1002" s="164"/>
      <c r="F1002" s="59"/>
      <c r="G1002" s="58"/>
    </row>
    <row r="1003" spans="1:7" ht="12.75" hidden="1">
      <c r="A1003" s="28"/>
      <c r="B1003" s="60"/>
      <c r="C1003" s="59"/>
      <c r="D1003" s="59"/>
      <c r="E1003" s="164"/>
      <c r="F1003" s="59"/>
      <c r="G1003" s="58"/>
    </row>
    <row r="1004" spans="1:7" ht="12.75" hidden="1">
      <c r="A1004" s="28"/>
      <c r="B1004" s="60"/>
      <c r="C1004" s="59"/>
      <c r="D1004" s="59"/>
      <c r="E1004" s="164"/>
      <c r="F1004" s="59"/>
      <c r="G1004" s="58"/>
    </row>
    <row r="1005" spans="1:7" ht="22.5" customHeight="1">
      <c r="A1005" s="28" t="str">
        <f>'МП пр.5'!A732</f>
        <v>Приобретение литературно-художественных изданий</v>
      </c>
      <c r="B1005" s="60" t="s">
        <v>414</v>
      </c>
      <c r="C1005" s="59" t="s">
        <v>73</v>
      </c>
      <c r="D1005" s="59" t="s">
        <v>66</v>
      </c>
      <c r="E1005" s="59" t="s">
        <v>554</v>
      </c>
      <c r="F1005" s="59"/>
      <c r="G1005" s="58">
        <f>G1006</f>
        <v>103.6</v>
      </c>
    </row>
    <row r="1006" spans="1:7" ht="25.5">
      <c r="A1006" s="28" t="s">
        <v>105</v>
      </c>
      <c r="B1006" s="60" t="s">
        <v>414</v>
      </c>
      <c r="C1006" s="59" t="s">
        <v>73</v>
      </c>
      <c r="D1006" s="59" t="s">
        <v>66</v>
      </c>
      <c r="E1006" s="59" t="s">
        <v>554</v>
      </c>
      <c r="F1006" s="59" t="s">
        <v>106</v>
      </c>
      <c r="G1006" s="58">
        <f>G1007</f>
        <v>103.6</v>
      </c>
    </row>
    <row r="1007" spans="1:7" ht="12.75">
      <c r="A1007" s="28" t="s">
        <v>111</v>
      </c>
      <c r="B1007" s="60" t="s">
        <v>414</v>
      </c>
      <c r="C1007" s="59" t="s">
        <v>73</v>
      </c>
      <c r="D1007" s="59" t="s">
        <v>66</v>
      </c>
      <c r="E1007" s="59" t="s">
        <v>554</v>
      </c>
      <c r="F1007" s="59" t="s">
        <v>112</v>
      </c>
      <c r="G1007" s="58">
        <f>G1008</f>
        <v>103.6</v>
      </c>
    </row>
    <row r="1008" spans="1:7" ht="12.75">
      <c r="A1008" s="28" t="s">
        <v>115</v>
      </c>
      <c r="B1008" s="60" t="s">
        <v>414</v>
      </c>
      <c r="C1008" s="59" t="s">
        <v>73</v>
      </c>
      <c r="D1008" s="59" t="s">
        <v>66</v>
      </c>
      <c r="E1008" s="59" t="s">
        <v>554</v>
      </c>
      <c r="F1008" s="59" t="s">
        <v>116</v>
      </c>
      <c r="G1008" s="58">
        <f>'МП пр.5'!G738</f>
        <v>103.6</v>
      </c>
    </row>
    <row r="1009" spans="1:7" ht="24" customHeight="1">
      <c r="A1009" s="28" t="str">
        <f>'МП пр.5'!A739</f>
        <v>Приобретение литературно-художественных изданий за счет средств местного бюджета</v>
      </c>
      <c r="B1009" s="60" t="s">
        <v>414</v>
      </c>
      <c r="C1009" s="59" t="s">
        <v>73</v>
      </c>
      <c r="D1009" s="59" t="s">
        <v>66</v>
      </c>
      <c r="E1009" s="59" t="s">
        <v>555</v>
      </c>
      <c r="F1009" s="59"/>
      <c r="G1009" s="58">
        <f>G1010</f>
        <v>9.6</v>
      </c>
    </row>
    <row r="1010" spans="1:7" ht="25.5">
      <c r="A1010" s="28" t="s">
        <v>105</v>
      </c>
      <c r="B1010" s="60" t="s">
        <v>414</v>
      </c>
      <c r="C1010" s="59" t="s">
        <v>73</v>
      </c>
      <c r="D1010" s="59" t="s">
        <v>66</v>
      </c>
      <c r="E1010" s="59" t="s">
        <v>555</v>
      </c>
      <c r="F1010" s="59" t="s">
        <v>106</v>
      </c>
      <c r="G1010" s="58">
        <f>G1011</f>
        <v>9.6</v>
      </c>
    </row>
    <row r="1011" spans="1:7" ht="12.75">
      <c r="A1011" s="28" t="s">
        <v>111</v>
      </c>
      <c r="B1011" s="60" t="s">
        <v>414</v>
      </c>
      <c r="C1011" s="59" t="s">
        <v>73</v>
      </c>
      <c r="D1011" s="59" t="s">
        <v>66</v>
      </c>
      <c r="E1011" s="59" t="s">
        <v>555</v>
      </c>
      <c r="F1011" s="59" t="s">
        <v>112</v>
      </c>
      <c r="G1011" s="58">
        <f>G1012</f>
        <v>9.6</v>
      </c>
    </row>
    <row r="1012" spans="1:7" ht="12.75">
      <c r="A1012" s="28" t="s">
        <v>115</v>
      </c>
      <c r="B1012" s="60" t="s">
        <v>414</v>
      </c>
      <c r="C1012" s="59" t="s">
        <v>73</v>
      </c>
      <c r="D1012" s="59" t="s">
        <v>66</v>
      </c>
      <c r="E1012" s="59" t="s">
        <v>555</v>
      </c>
      <c r="F1012" s="59" t="s">
        <v>116</v>
      </c>
      <c r="G1012" s="58">
        <f>'МП пр.5'!G745</f>
        <v>9.6</v>
      </c>
    </row>
    <row r="1013" spans="1:7" ht="12.75">
      <c r="A1013" s="28" t="str">
        <f>'МП пр.5'!A746</f>
        <v>Основное мероприятие "Сохранение культурного наследия и творческого потенциала"</v>
      </c>
      <c r="B1013" s="60" t="s">
        <v>414</v>
      </c>
      <c r="C1013" s="59" t="s">
        <v>73</v>
      </c>
      <c r="D1013" s="59" t="s">
        <v>66</v>
      </c>
      <c r="E1013" s="149" t="str">
        <f>'МП пр.5'!B746</f>
        <v>7Е 0 02 00000 </v>
      </c>
      <c r="F1013" s="149"/>
      <c r="G1013" s="146">
        <f>G1014</f>
        <v>96</v>
      </c>
    </row>
    <row r="1014" spans="1:7" ht="12.75">
      <c r="A1014" s="28" t="str">
        <f>'МП пр.5'!A747</f>
        <v>Укрепление материально- технической базы учреждений культуры</v>
      </c>
      <c r="B1014" s="60" t="s">
        <v>414</v>
      </c>
      <c r="C1014" s="59" t="s">
        <v>73</v>
      </c>
      <c r="D1014" s="59" t="s">
        <v>66</v>
      </c>
      <c r="E1014" s="149" t="str">
        <f>'МП пр.5'!B747</f>
        <v>7Е 0 02 92510 </v>
      </c>
      <c r="F1014" s="149"/>
      <c r="G1014" s="146">
        <f>G1015</f>
        <v>96</v>
      </c>
    </row>
    <row r="1015" spans="1:7" ht="25.5">
      <c r="A1015" s="28" t="str">
        <f>'МП пр.5'!A750</f>
        <v>Предоставление субсидий бюджетным, автономным учреждениям и иным некоммерческим организациям</v>
      </c>
      <c r="B1015" s="60" t="s">
        <v>414</v>
      </c>
      <c r="C1015" s="59" t="s">
        <v>73</v>
      </c>
      <c r="D1015" s="59" t="s">
        <v>66</v>
      </c>
      <c r="E1015" s="149" t="str">
        <f>'МП пр.5'!B750</f>
        <v>7Е 0 02 92510 </v>
      </c>
      <c r="F1015" s="149" t="str">
        <f>'МП пр.5'!E742</f>
        <v>600</v>
      </c>
      <c r="G1015" s="146">
        <f>G1016</f>
        <v>96</v>
      </c>
    </row>
    <row r="1016" spans="1:7" ht="12.75">
      <c r="A1016" s="28" t="str">
        <f>'МП пр.5'!A751</f>
        <v>Субсидии бюджетным учреждениям</v>
      </c>
      <c r="B1016" s="60" t="s">
        <v>414</v>
      </c>
      <c r="C1016" s="59" t="s">
        <v>73</v>
      </c>
      <c r="D1016" s="59" t="s">
        <v>66</v>
      </c>
      <c r="E1016" s="149" t="str">
        <f>'МП пр.5'!B751</f>
        <v>7Е 0 02 92510 </v>
      </c>
      <c r="F1016" s="149" t="str">
        <f>'МП пр.5'!E743</f>
        <v>610</v>
      </c>
      <c r="G1016" s="146">
        <f>G1017</f>
        <v>96</v>
      </c>
    </row>
    <row r="1017" spans="1:7" ht="12.75">
      <c r="A1017" s="28" t="str">
        <f>'МП пр.5'!A752</f>
        <v>Субсидии  бюджетным учреждениям на иные цели</v>
      </c>
      <c r="B1017" s="60" t="s">
        <v>414</v>
      </c>
      <c r="C1017" s="59" t="s">
        <v>73</v>
      </c>
      <c r="D1017" s="59" t="s">
        <v>66</v>
      </c>
      <c r="E1017" s="149" t="str">
        <f>'МП пр.5'!B752</f>
        <v>7Е 0 02 92510 </v>
      </c>
      <c r="F1017" s="149" t="str">
        <f>'МП пр.5'!E744</f>
        <v>612</v>
      </c>
      <c r="G1017" s="146">
        <f>'МП пр.5'!G752</f>
        <v>96</v>
      </c>
    </row>
    <row r="1018" spans="1:7" ht="38.25">
      <c r="A1018" s="28" t="s">
        <v>473</v>
      </c>
      <c r="B1018" s="60" t="s">
        <v>414</v>
      </c>
      <c r="C1018" s="59" t="s">
        <v>73</v>
      </c>
      <c r="D1018" s="59" t="s">
        <v>66</v>
      </c>
      <c r="E1018" s="161" t="s">
        <v>556</v>
      </c>
      <c r="F1018" s="59"/>
      <c r="G1018" s="58">
        <f>G1019</f>
        <v>1032.4</v>
      </c>
    </row>
    <row r="1019" spans="1:7" ht="38.25">
      <c r="A1019" s="28" t="s">
        <v>506</v>
      </c>
      <c r="B1019" s="60" t="s">
        <v>414</v>
      </c>
      <c r="C1019" s="59" t="s">
        <v>73</v>
      </c>
      <c r="D1019" s="59" t="s">
        <v>66</v>
      </c>
      <c r="E1019" s="161" t="s">
        <v>557</v>
      </c>
      <c r="F1019" s="59"/>
      <c r="G1019" s="58">
        <f>G1020</f>
        <v>1032.4</v>
      </c>
    </row>
    <row r="1020" spans="1:7" ht="25.5">
      <c r="A1020" s="28" t="s">
        <v>105</v>
      </c>
      <c r="B1020" s="60" t="s">
        <v>414</v>
      </c>
      <c r="C1020" s="59" t="s">
        <v>73</v>
      </c>
      <c r="D1020" s="59" t="s">
        <v>66</v>
      </c>
      <c r="E1020" s="161" t="s">
        <v>557</v>
      </c>
      <c r="F1020" s="59" t="s">
        <v>106</v>
      </c>
      <c r="G1020" s="58">
        <f>G1021</f>
        <v>1032.4</v>
      </c>
    </row>
    <row r="1021" spans="1:7" ht="12.75">
      <c r="A1021" s="28" t="s">
        <v>111</v>
      </c>
      <c r="B1021" s="60" t="s">
        <v>414</v>
      </c>
      <c r="C1021" s="59" t="s">
        <v>73</v>
      </c>
      <c r="D1021" s="59" t="s">
        <v>66</v>
      </c>
      <c r="E1021" s="161" t="s">
        <v>557</v>
      </c>
      <c r="F1021" s="59" t="s">
        <v>112</v>
      </c>
      <c r="G1021" s="58">
        <f>G1022</f>
        <v>1032.4</v>
      </c>
    </row>
    <row r="1022" spans="1:7" ht="12.75">
      <c r="A1022" s="28" t="s">
        <v>115</v>
      </c>
      <c r="B1022" s="60" t="s">
        <v>414</v>
      </c>
      <c r="C1022" s="59" t="s">
        <v>73</v>
      </c>
      <c r="D1022" s="59" t="s">
        <v>66</v>
      </c>
      <c r="E1022" s="161" t="s">
        <v>557</v>
      </c>
      <c r="F1022" s="59" t="s">
        <v>116</v>
      </c>
      <c r="G1022" s="58">
        <f>'МП пр.5'!G772</f>
        <v>1032.4</v>
      </c>
    </row>
    <row r="1023" spans="1:7" ht="25.5">
      <c r="A1023" s="28" t="s">
        <v>798</v>
      </c>
      <c r="B1023" s="60" t="s">
        <v>414</v>
      </c>
      <c r="C1023" s="59" t="s">
        <v>73</v>
      </c>
      <c r="D1023" s="59" t="s">
        <v>66</v>
      </c>
      <c r="E1023" s="161" t="s">
        <v>674</v>
      </c>
      <c r="F1023" s="59"/>
      <c r="G1023" s="58">
        <f>G1024+G1028</f>
        <v>1150</v>
      </c>
    </row>
    <row r="1024" spans="1:7" ht="38.25">
      <c r="A1024" s="28" t="s">
        <v>672</v>
      </c>
      <c r="B1024" s="60" t="s">
        <v>414</v>
      </c>
      <c r="C1024" s="59" t="s">
        <v>73</v>
      </c>
      <c r="D1024" s="59" t="s">
        <v>66</v>
      </c>
      <c r="E1024" s="161" t="s">
        <v>675</v>
      </c>
      <c r="F1024" s="59"/>
      <c r="G1024" s="58">
        <f>G1025</f>
        <v>1000</v>
      </c>
    </row>
    <row r="1025" spans="1:7" ht="25.5">
      <c r="A1025" s="28" t="s">
        <v>105</v>
      </c>
      <c r="B1025" s="60" t="s">
        <v>414</v>
      </c>
      <c r="C1025" s="59" t="s">
        <v>73</v>
      </c>
      <c r="D1025" s="59" t="s">
        <v>66</v>
      </c>
      <c r="E1025" s="161" t="s">
        <v>675</v>
      </c>
      <c r="F1025" s="59" t="s">
        <v>106</v>
      </c>
      <c r="G1025" s="58">
        <f>G1026</f>
        <v>1000</v>
      </c>
    </row>
    <row r="1026" spans="1:7" ht="12.75">
      <c r="A1026" s="28" t="s">
        <v>111</v>
      </c>
      <c r="B1026" s="60" t="s">
        <v>414</v>
      </c>
      <c r="C1026" s="59" t="s">
        <v>73</v>
      </c>
      <c r="D1026" s="59" t="s">
        <v>66</v>
      </c>
      <c r="E1026" s="161" t="s">
        <v>675</v>
      </c>
      <c r="F1026" s="59" t="s">
        <v>112</v>
      </c>
      <c r="G1026" s="58">
        <f>G1027</f>
        <v>1000</v>
      </c>
    </row>
    <row r="1027" spans="1:7" ht="12.75">
      <c r="A1027" s="28" t="s">
        <v>115</v>
      </c>
      <c r="B1027" s="60" t="s">
        <v>414</v>
      </c>
      <c r="C1027" s="59" t="s">
        <v>73</v>
      </c>
      <c r="D1027" s="59" t="s">
        <v>66</v>
      </c>
      <c r="E1027" s="161" t="s">
        <v>675</v>
      </c>
      <c r="F1027" s="59" t="s">
        <v>116</v>
      </c>
      <c r="G1027" s="58">
        <f>'МП пр.5'!G780</f>
        <v>1000</v>
      </c>
    </row>
    <row r="1028" spans="1:7" ht="25.5">
      <c r="A1028" s="28" t="s">
        <v>673</v>
      </c>
      <c r="B1028" s="60" t="s">
        <v>414</v>
      </c>
      <c r="C1028" s="59" t="s">
        <v>73</v>
      </c>
      <c r="D1028" s="59" t="s">
        <v>66</v>
      </c>
      <c r="E1028" s="161" t="s">
        <v>676</v>
      </c>
      <c r="F1028" s="59"/>
      <c r="G1028" s="58">
        <f>G1029</f>
        <v>150</v>
      </c>
    </row>
    <row r="1029" spans="1:7" ht="25.5">
      <c r="A1029" s="28" t="s">
        <v>105</v>
      </c>
      <c r="B1029" s="60" t="s">
        <v>414</v>
      </c>
      <c r="C1029" s="59" t="s">
        <v>73</v>
      </c>
      <c r="D1029" s="59" t="s">
        <v>66</v>
      </c>
      <c r="E1029" s="161" t="s">
        <v>676</v>
      </c>
      <c r="F1029" s="59" t="s">
        <v>106</v>
      </c>
      <c r="G1029" s="58">
        <f>G1030</f>
        <v>150</v>
      </c>
    </row>
    <row r="1030" spans="1:7" ht="12.75">
      <c r="A1030" s="28" t="s">
        <v>111</v>
      </c>
      <c r="B1030" s="60" t="s">
        <v>414</v>
      </c>
      <c r="C1030" s="59" t="s">
        <v>73</v>
      </c>
      <c r="D1030" s="59" t="s">
        <v>66</v>
      </c>
      <c r="E1030" s="161" t="s">
        <v>676</v>
      </c>
      <c r="F1030" s="59" t="s">
        <v>112</v>
      </c>
      <c r="G1030" s="58">
        <f>G1031</f>
        <v>150</v>
      </c>
    </row>
    <row r="1031" spans="1:7" ht="12.75">
      <c r="A1031" s="28" t="s">
        <v>115</v>
      </c>
      <c r="B1031" s="60" t="s">
        <v>414</v>
      </c>
      <c r="C1031" s="59" t="s">
        <v>73</v>
      </c>
      <c r="D1031" s="59" t="s">
        <v>66</v>
      </c>
      <c r="E1031" s="161" t="s">
        <v>676</v>
      </c>
      <c r="F1031" s="59" t="s">
        <v>116</v>
      </c>
      <c r="G1031" s="58">
        <f>'МП пр.5'!G787</f>
        <v>150</v>
      </c>
    </row>
    <row r="1032" spans="1:7" ht="27.75" customHeight="1">
      <c r="A1032" s="28" t="s">
        <v>449</v>
      </c>
      <c r="B1032" s="60" t="s">
        <v>414</v>
      </c>
      <c r="C1032" s="59" t="s">
        <v>73</v>
      </c>
      <c r="D1032" s="59" t="s">
        <v>66</v>
      </c>
      <c r="E1032" s="59" t="s">
        <v>450</v>
      </c>
      <c r="F1032" s="59"/>
      <c r="G1032" s="58">
        <f>G1033</f>
        <v>100</v>
      </c>
    </row>
    <row r="1033" spans="1:7" ht="26.25" customHeight="1">
      <c r="A1033" s="28" t="s">
        <v>461</v>
      </c>
      <c r="B1033" s="60" t="s">
        <v>414</v>
      </c>
      <c r="C1033" s="59" t="s">
        <v>73</v>
      </c>
      <c r="D1033" s="59" t="s">
        <v>66</v>
      </c>
      <c r="E1033" s="59" t="s">
        <v>462</v>
      </c>
      <c r="F1033" s="59"/>
      <c r="G1033" s="143">
        <f>G1034</f>
        <v>100</v>
      </c>
    </row>
    <row r="1034" spans="1:7" ht="25.5">
      <c r="A1034" s="28" t="s">
        <v>463</v>
      </c>
      <c r="B1034" s="60" t="s">
        <v>414</v>
      </c>
      <c r="C1034" s="59" t="s">
        <v>73</v>
      </c>
      <c r="D1034" s="59" t="s">
        <v>66</v>
      </c>
      <c r="E1034" s="59" t="s">
        <v>464</v>
      </c>
      <c r="F1034" s="59"/>
      <c r="G1034" s="58">
        <f>G1035</f>
        <v>100</v>
      </c>
    </row>
    <row r="1035" spans="1:7" ht="25.5">
      <c r="A1035" s="28" t="s">
        <v>105</v>
      </c>
      <c r="B1035" s="60" t="s">
        <v>414</v>
      </c>
      <c r="C1035" s="59" t="s">
        <v>73</v>
      </c>
      <c r="D1035" s="59" t="s">
        <v>66</v>
      </c>
      <c r="E1035" s="59" t="s">
        <v>464</v>
      </c>
      <c r="F1035" s="59" t="s">
        <v>106</v>
      </c>
      <c r="G1035" s="58">
        <f>G1036</f>
        <v>100</v>
      </c>
    </row>
    <row r="1036" spans="1:7" ht="12.75">
      <c r="A1036" s="28" t="s">
        <v>111</v>
      </c>
      <c r="B1036" s="60" t="s">
        <v>414</v>
      </c>
      <c r="C1036" s="59" t="s">
        <v>73</v>
      </c>
      <c r="D1036" s="59" t="s">
        <v>66</v>
      </c>
      <c r="E1036" s="59" t="s">
        <v>464</v>
      </c>
      <c r="F1036" s="59" t="s">
        <v>112</v>
      </c>
      <c r="G1036" s="58">
        <f>G1037</f>
        <v>100</v>
      </c>
    </row>
    <row r="1037" spans="1:7" ht="12.75">
      <c r="A1037" s="28" t="s">
        <v>115</v>
      </c>
      <c r="B1037" s="60" t="s">
        <v>414</v>
      </c>
      <c r="C1037" s="59" t="s">
        <v>73</v>
      </c>
      <c r="D1037" s="59" t="s">
        <v>66</v>
      </c>
      <c r="E1037" s="59" t="s">
        <v>464</v>
      </c>
      <c r="F1037" s="59" t="s">
        <v>116</v>
      </c>
      <c r="G1037" s="58">
        <f>'МП пр.5'!G75</f>
        <v>100</v>
      </c>
    </row>
    <row r="1038" spans="1:7" ht="12.75">
      <c r="A1038" s="28" t="s">
        <v>360</v>
      </c>
      <c r="B1038" s="60" t="s">
        <v>414</v>
      </c>
      <c r="C1038" s="59" t="s">
        <v>73</v>
      </c>
      <c r="D1038" s="59" t="s">
        <v>66</v>
      </c>
      <c r="E1038" s="59" t="s">
        <v>215</v>
      </c>
      <c r="F1038" s="59"/>
      <c r="G1038" s="58">
        <f>G1039</f>
        <v>787.4</v>
      </c>
    </row>
    <row r="1039" spans="1:7" ht="12.75">
      <c r="A1039" s="28" t="s">
        <v>363</v>
      </c>
      <c r="B1039" s="60" t="s">
        <v>414</v>
      </c>
      <c r="C1039" s="59" t="s">
        <v>73</v>
      </c>
      <c r="D1039" s="59" t="s">
        <v>66</v>
      </c>
      <c r="E1039" s="59" t="s">
        <v>358</v>
      </c>
      <c r="F1039" s="59"/>
      <c r="G1039" s="58">
        <f>G1040+G1047</f>
        <v>787.4</v>
      </c>
    </row>
    <row r="1040" spans="1:7" ht="51">
      <c r="A1040" s="28" t="s">
        <v>287</v>
      </c>
      <c r="B1040" s="60" t="s">
        <v>414</v>
      </c>
      <c r="C1040" s="59" t="s">
        <v>73</v>
      </c>
      <c r="D1040" s="59" t="s">
        <v>66</v>
      </c>
      <c r="E1040" s="59" t="s">
        <v>359</v>
      </c>
      <c r="F1040" s="59"/>
      <c r="G1040" s="58">
        <f>G1044+G1041</f>
        <v>754.9</v>
      </c>
    </row>
    <row r="1041" spans="1:7" ht="38.25">
      <c r="A1041" s="28" t="s">
        <v>102</v>
      </c>
      <c r="B1041" s="60" t="s">
        <v>414</v>
      </c>
      <c r="C1041" s="59" t="s">
        <v>73</v>
      </c>
      <c r="D1041" s="59" t="s">
        <v>66</v>
      </c>
      <c r="E1041" s="59" t="s">
        <v>359</v>
      </c>
      <c r="F1041" s="59" t="s">
        <v>103</v>
      </c>
      <c r="G1041" s="58">
        <f>G1042</f>
        <v>44.6</v>
      </c>
    </row>
    <row r="1042" spans="1:7" ht="12.75">
      <c r="A1042" s="28" t="s">
        <v>295</v>
      </c>
      <c r="B1042" s="60" t="s">
        <v>414</v>
      </c>
      <c r="C1042" s="59" t="s">
        <v>73</v>
      </c>
      <c r="D1042" s="59" t="s">
        <v>66</v>
      </c>
      <c r="E1042" s="59" t="s">
        <v>359</v>
      </c>
      <c r="F1042" s="59" t="s">
        <v>297</v>
      </c>
      <c r="G1042" s="58">
        <f>G1043</f>
        <v>44.6</v>
      </c>
    </row>
    <row r="1043" spans="1:7" ht="12.75">
      <c r="A1043" s="28" t="s">
        <v>434</v>
      </c>
      <c r="B1043" s="60" t="s">
        <v>414</v>
      </c>
      <c r="C1043" s="59" t="s">
        <v>73</v>
      </c>
      <c r="D1043" s="59" t="s">
        <v>66</v>
      </c>
      <c r="E1043" s="59" t="s">
        <v>359</v>
      </c>
      <c r="F1043" s="59" t="s">
        <v>296</v>
      </c>
      <c r="G1043" s="58">
        <f>50-5.4</f>
        <v>44.6</v>
      </c>
    </row>
    <row r="1044" spans="1:7" ht="25.5">
      <c r="A1044" s="28" t="s">
        <v>105</v>
      </c>
      <c r="B1044" s="60" t="s">
        <v>414</v>
      </c>
      <c r="C1044" s="59" t="s">
        <v>73</v>
      </c>
      <c r="D1044" s="59" t="s">
        <v>66</v>
      </c>
      <c r="E1044" s="59" t="s">
        <v>359</v>
      </c>
      <c r="F1044" s="59" t="s">
        <v>106</v>
      </c>
      <c r="G1044" s="58">
        <f>G1045</f>
        <v>710.3</v>
      </c>
    </row>
    <row r="1045" spans="1:7" ht="12.75">
      <c r="A1045" s="28" t="s">
        <v>111</v>
      </c>
      <c r="B1045" s="60" t="s">
        <v>414</v>
      </c>
      <c r="C1045" s="59" t="s">
        <v>73</v>
      </c>
      <c r="D1045" s="59" t="s">
        <v>66</v>
      </c>
      <c r="E1045" s="59" t="s">
        <v>359</v>
      </c>
      <c r="F1045" s="59" t="s">
        <v>112</v>
      </c>
      <c r="G1045" s="58">
        <f>G1046</f>
        <v>710.3</v>
      </c>
    </row>
    <row r="1046" spans="1:7" ht="12.75">
      <c r="A1046" s="28" t="s">
        <v>115</v>
      </c>
      <c r="B1046" s="60" t="s">
        <v>414</v>
      </c>
      <c r="C1046" s="59" t="s">
        <v>73</v>
      </c>
      <c r="D1046" s="59" t="s">
        <v>66</v>
      </c>
      <c r="E1046" s="59" t="s">
        <v>359</v>
      </c>
      <c r="F1046" s="59" t="s">
        <v>116</v>
      </c>
      <c r="G1046" s="58">
        <f>768+80-137.7</f>
        <v>710.3</v>
      </c>
    </row>
    <row r="1047" spans="1:7" ht="12.75">
      <c r="A1047" s="28" t="s">
        <v>235</v>
      </c>
      <c r="B1047" s="60" t="s">
        <v>414</v>
      </c>
      <c r="C1047" s="59" t="s">
        <v>73</v>
      </c>
      <c r="D1047" s="59" t="s">
        <v>66</v>
      </c>
      <c r="E1047" s="59" t="s">
        <v>362</v>
      </c>
      <c r="F1047" s="59"/>
      <c r="G1047" s="58">
        <f>G1048</f>
        <v>32.5</v>
      </c>
    </row>
    <row r="1048" spans="1:7" ht="25.5">
      <c r="A1048" s="28" t="s">
        <v>105</v>
      </c>
      <c r="B1048" s="60" t="s">
        <v>414</v>
      </c>
      <c r="C1048" s="59" t="s">
        <v>73</v>
      </c>
      <c r="D1048" s="59" t="s">
        <v>66</v>
      </c>
      <c r="E1048" s="59" t="s">
        <v>362</v>
      </c>
      <c r="F1048" s="59" t="s">
        <v>106</v>
      </c>
      <c r="G1048" s="58">
        <f>G1049</f>
        <v>32.5</v>
      </c>
    </row>
    <row r="1049" spans="1:7" ht="12.75">
      <c r="A1049" s="28" t="s">
        <v>111</v>
      </c>
      <c r="B1049" s="60" t="s">
        <v>414</v>
      </c>
      <c r="C1049" s="59" t="s">
        <v>73</v>
      </c>
      <c r="D1049" s="59" t="s">
        <v>66</v>
      </c>
      <c r="E1049" s="59" t="s">
        <v>362</v>
      </c>
      <c r="F1049" s="59" t="s">
        <v>112</v>
      </c>
      <c r="G1049" s="58">
        <f>G1050</f>
        <v>32.5</v>
      </c>
    </row>
    <row r="1050" spans="1:7" ht="12.75">
      <c r="A1050" s="28" t="s">
        <v>115</v>
      </c>
      <c r="B1050" s="60" t="s">
        <v>414</v>
      </c>
      <c r="C1050" s="59" t="s">
        <v>73</v>
      </c>
      <c r="D1050" s="59" t="s">
        <v>66</v>
      </c>
      <c r="E1050" s="59" t="s">
        <v>362</v>
      </c>
      <c r="F1050" s="59" t="s">
        <v>116</v>
      </c>
      <c r="G1050" s="58">
        <f>218-185.5</f>
        <v>32.5</v>
      </c>
    </row>
    <row r="1051" spans="1:7" ht="12.75">
      <c r="A1051" s="28" t="s">
        <v>271</v>
      </c>
      <c r="B1051" s="60" t="s">
        <v>414</v>
      </c>
      <c r="C1051" s="59" t="s">
        <v>73</v>
      </c>
      <c r="D1051" s="59" t="s">
        <v>66</v>
      </c>
      <c r="E1051" s="59" t="s">
        <v>212</v>
      </c>
      <c r="F1051" s="59"/>
      <c r="G1051" s="58">
        <f>G1052</f>
        <v>21759.100000000002</v>
      </c>
    </row>
    <row r="1052" spans="1:7" ht="38.25">
      <c r="A1052" s="28" t="s">
        <v>473</v>
      </c>
      <c r="B1052" s="60" t="s">
        <v>414</v>
      </c>
      <c r="C1052" s="59" t="s">
        <v>73</v>
      </c>
      <c r="D1052" s="59" t="s">
        <v>66</v>
      </c>
      <c r="E1052" s="59" t="s">
        <v>378</v>
      </c>
      <c r="F1052" s="59"/>
      <c r="G1052" s="58">
        <f>G1054</f>
        <v>21759.100000000002</v>
      </c>
    </row>
    <row r="1053" spans="1:7" ht="12.75">
      <c r="A1053" s="28" t="s">
        <v>249</v>
      </c>
      <c r="B1053" s="60" t="s">
        <v>414</v>
      </c>
      <c r="C1053" s="59" t="s">
        <v>73</v>
      </c>
      <c r="D1053" s="59" t="s">
        <v>66</v>
      </c>
      <c r="E1053" s="59" t="s">
        <v>379</v>
      </c>
      <c r="F1053" s="59"/>
      <c r="G1053" s="58">
        <f>G1054</f>
        <v>21759.100000000002</v>
      </c>
    </row>
    <row r="1054" spans="1:7" ht="25.5">
      <c r="A1054" s="28" t="s">
        <v>105</v>
      </c>
      <c r="B1054" s="60" t="s">
        <v>414</v>
      </c>
      <c r="C1054" s="59" t="s">
        <v>73</v>
      </c>
      <c r="D1054" s="59" t="s">
        <v>66</v>
      </c>
      <c r="E1054" s="59" t="s">
        <v>379</v>
      </c>
      <c r="F1054" s="59" t="s">
        <v>106</v>
      </c>
      <c r="G1054" s="58">
        <f>G1055</f>
        <v>21759.100000000002</v>
      </c>
    </row>
    <row r="1055" spans="1:7" ht="12.75">
      <c r="A1055" s="28" t="s">
        <v>111</v>
      </c>
      <c r="B1055" s="60" t="s">
        <v>414</v>
      </c>
      <c r="C1055" s="59" t="s">
        <v>73</v>
      </c>
      <c r="D1055" s="59" t="s">
        <v>66</v>
      </c>
      <c r="E1055" s="59" t="s">
        <v>379</v>
      </c>
      <c r="F1055" s="59" t="s">
        <v>112</v>
      </c>
      <c r="G1055" s="58">
        <f>G1056+G1057</f>
        <v>21759.100000000002</v>
      </c>
    </row>
    <row r="1056" spans="1:7" ht="38.25">
      <c r="A1056" s="28" t="s">
        <v>113</v>
      </c>
      <c r="B1056" s="60" t="s">
        <v>414</v>
      </c>
      <c r="C1056" s="59" t="s">
        <v>73</v>
      </c>
      <c r="D1056" s="59" t="s">
        <v>66</v>
      </c>
      <c r="E1056" s="59" t="s">
        <v>379</v>
      </c>
      <c r="F1056" s="59" t="s">
        <v>114</v>
      </c>
      <c r="G1056" s="58">
        <f>10841.6+7891.6+2216.9</f>
        <v>20950.100000000002</v>
      </c>
    </row>
    <row r="1057" spans="1:7" ht="12.75">
      <c r="A1057" s="28" t="s">
        <v>115</v>
      </c>
      <c r="B1057" s="60" t="s">
        <v>414</v>
      </c>
      <c r="C1057" s="59" t="s">
        <v>73</v>
      </c>
      <c r="D1057" s="59" t="s">
        <v>66</v>
      </c>
      <c r="E1057" s="59" t="s">
        <v>379</v>
      </c>
      <c r="F1057" s="59" t="s">
        <v>116</v>
      </c>
      <c r="G1057" s="58">
        <f>250-150+709</f>
        <v>809</v>
      </c>
    </row>
    <row r="1058" spans="1:7" ht="12.75">
      <c r="A1058" s="28" t="s">
        <v>81</v>
      </c>
      <c r="B1058" s="60" t="s">
        <v>414</v>
      </c>
      <c r="C1058" s="59" t="s">
        <v>73</v>
      </c>
      <c r="D1058" s="59" t="s">
        <v>66</v>
      </c>
      <c r="E1058" s="59" t="s">
        <v>225</v>
      </c>
      <c r="F1058" s="59"/>
      <c r="G1058" s="58">
        <f>G1059</f>
        <v>2119.6000000000004</v>
      </c>
    </row>
    <row r="1059" spans="1:7" ht="25.5">
      <c r="A1059" s="28" t="s">
        <v>250</v>
      </c>
      <c r="B1059" s="60" t="s">
        <v>414</v>
      </c>
      <c r="C1059" s="59" t="s">
        <v>73</v>
      </c>
      <c r="D1059" s="59" t="s">
        <v>66</v>
      </c>
      <c r="E1059" s="59" t="s">
        <v>380</v>
      </c>
      <c r="F1059" s="59"/>
      <c r="G1059" s="58">
        <f>G1060</f>
        <v>2119.6000000000004</v>
      </c>
    </row>
    <row r="1060" spans="1:7" ht="12.75">
      <c r="A1060" s="28" t="s">
        <v>381</v>
      </c>
      <c r="B1060" s="60" t="s">
        <v>414</v>
      </c>
      <c r="C1060" s="59" t="s">
        <v>73</v>
      </c>
      <c r="D1060" s="59" t="s">
        <v>66</v>
      </c>
      <c r="E1060" s="59" t="s">
        <v>405</v>
      </c>
      <c r="F1060" s="59"/>
      <c r="G1060" s="58">
        <f>G1061+G1066+G1069</f>
        <v>2119.6000000000004</v>
      </c>
    </row>
    <row r="1061" spans="1:7" ht="38.25">
      <c r="A1061" s="28" t="s">
        <v>102</v>
      </c>
      <c r="B1061" s="60" t="s">
        <v>414</v>
      </c>
      <c r="C1061" s="59" t="s">
        <v>73</v>
      </c>
      <c r="D1061" s="59" t="s">
        <v>66</v>
      </c>
      <c r="E1061" s="59" t="s">
        <v>405</v>
      </c>
      <c r="F1061" s="59" t="s">
        <v>103</v>
      </c>
      <c r="G1061" s="58">
        <f>G1062</f>
        <v>1771.8</v>
      </c>
    </row>
    <row r="1062" spans="1:7" ht="12.75">
      <c r="A1062" s="28" t="s">
        <v>295</v>
      </c>
      <c r="B1062" s="60" t="s">
        <v>414</v>
      </c>
      <c r="C1062" s="59" t="s">
        <v>73</v>
      </c>
      <c r="D1062" s="59" t="s">
        <v>66</v>
      </c>
      <c r="E1062" s="59" t="s">
        <v>405</v>
      </c>
      <c r="F1062" s="59" t="s">
        <v>297</v>
      </c>
      <c r="G1062" s="58">
        <f>G1063+G1064+G1065</f>
        <v>1771.8</v>
      </c>
    </row>
    <row r="1063" spans="1:7" ht="12.75">
      <c r="A1063" s="28" t="s">
        <v>545</v>
      </c>
      <c r="B1063" s="60" t="s">
        <v>414</v>
      </c>
      <c r="C1063" s="59" t="s">
        <v>73</v>
      </c>
      <c r="D1063" s="59" t="s">
        <v>66</v>
      </c>
      <c r="E1063" s="59" t="s">
        <v>405</v>
      </c>
      <c r="F1063" s="59" t="s">
        <v>298</v>
      </c>
      <c r="G1063" s="58">
        <f>1100+296.1</f>
        <v>1396.1</v>
      </c>
    </row>
    <row r="1064" spans="1:7" ht="12.75">
      <c r="A1064" s="28" t="s">
        <v>434</v>
      </c>
      <c r="B1064" s="60" t="s">
        <v>414</v>
      </c>
      <c r="C1064" s="59" t="s">
        <v>73</v>
      </c>
      <c r="D1064" s="59" t="s">
        <v>66</v>
      </c>
      <c r="E1064" s="59" t="s">
        <v>405</v>
      </c>
      <c r="F1064" s="59" t="s">
        <v>296</v>
      </c>
      <c r="G1064" s="58">
        <f>7-7</f>
        <v>0</v>
      </c>
    </row>
    <row r="1065" spans="1:7" ht="25.5">
      <c r="A1065" s="28" t="s">
        <v>438</v>
      </c>
      <c r="B1065" s="60" t="s">
        <v>414</v>
      </c>
      <c r="C1065" s="59" t="s">
        <v>73</v>
      </c>
      <c r="D1065" s="59" t="s">
        <v>66</v>
      </c>
      <c r="E1065" s="59" t="s">
        <v>405</v>
      </c>
      <c r="F1065" s="59" t="s">
        <v>299</v>
      </c>
      <c r="G1065" s="58">
        <f>332.2+43.5</f>
        <v>375.7</v>
      </c>
    </row>
    <row r="1066" spans="1:7" ht="25.5">
      <c r="A1066" s="28" t="s">
        <v>610</v>
      </c>
      <c r="B1066" s="60" t="s">
        <v>414</v>
      </c>
      <c r="C1066" s="59" t="s">
        <v>73</v>
      </c>
      <c r="D1066" s="59" t="s">
        <v>66</v>
      </c>
      <c r="E1066" s="59" t="s">
        <v>405</v>
      </c>
      <c r="F1066" s="59" t="s">
        <v>104</v>
      </c>
      <c r="G1066" s="58">
        <f>G1067</f>
        <v>347</v>
      </c>
    </row>
    <row r="1067" spans="1:7" ht="25.5">
      <c r="A1067" s="28" t="s">
        <v>98</v>
      </c>
      <c r="B1067" s="60" t="s">
        <v>414</v>
      </c>
      <c r="C1067" s="59" t="s">
        <v>73</v>
      </c>
      <c r="D1067" s="59" t="s">
        <v>66</v>
      </c>
      <c r="E1067" s="59" t="s">
        <v>405</v>
      </c>
      <c r="F1067" s="59" t="s">
        <v>99</v>
      </c>
      <c r="G1067" s="58">
        <f>G1068</f>
        <v>347</v>
      </c>
    </row>
    <row r="1068" spans="1:7" ht="25.5">
      <c r="A1068" s="28" t="s">
        <v>100</v>
      </c>
      <c r="B1068" s="60" t="s">
        <v>414</v>
      </c>
      <c r="C1068" s="59" t="s">
        <v>73</v>
      </c>
      <c r="D1068" s="59" t="s">
        <v>66</v>
      </c>
      <c r="E1068" s="59" t="s">
        <v>405</v>
      </c>
      <c r="F1068" s="59" t="s">
        <v>101</v>
      </c>
      <c r="G1068" s="58">
        <f>298+49</f>
        <v>347</v>
      </c>
    </row>
    <row r="1069" spans="1:7" ht="12.75">
      <c r="A1069" s="28" t="s">
        <v>128</v>
      </c>
      <c r="B1069" s="60" t="s">
        <v>414</v>
      </c>
      <c r="C1069" s="59" t="s">
        <v>73</v>
      </c>
      <c r="D1069" s="59" t="s">
        <v>66</v>
      </c>
      <c r="E1069" s="59" t="s">
        <v>405</v>
      </c>
      <c r="F1069" s="59" t="s">
        <v>129</v>
      </c>
      <c r="G1069" s="58">
        <f>G1070</f>
        <v>0.7999999999999998</v>
      </c>
    </row>
    <row r="1070" spans="1:7" ht="12.75">
      <c r="A1070" s="28" t="s">
        <v>131</v>
      </c>
      <c r="B1070" s="60" t="s">
        <v>414</v>
      </c>
      <c r="C1070" s="59" t="s">
        <v>73</v>
      </c>
      <c r="D1070" s="59" t="s">
        <v>66</v>
      </c>
      <c r="E1070" s="59" t="s">
        <v>405</v>
      </c>
      <c r="F1070" s="59" t="s">
        <v>132</v>
      </c>
      <c r="G1070" s="58">
        <f>G1071</f>
        <v>0.7999999999999998</v>
      </c>
    </row>
    <row r="1071" spans="1:7" ht="12.75">
      <c r="A1071" s="28" t="s">
        <v>133</v>
      </c>
      <c r="B1071" s="60" t="s">
        <v>414</v>
      </c>
      <c r="C1071" s="59" t="s">
        <v>73</v>
      </c>
      <c r="D1071" s="59" t="s">
        <v>66</v>
      </c>
      <c r="E1071" s="59" t="s">
        <v>405</v>
      </c>
      <c r="F1071" s="59" t="s">
        <v>134</v>
      </c>
      <c r="G1071" s="58">
        <f>3-2.2</f>
        <v>0.7999999999999998</v>
      </c>
    </row>
    <row r="1072" spans="1:7" ht="12.75">
      <c r="A1072" s="28" t="s">
        <v>165</v>
      </c>
      <c r="B1072" s="60" t="s">
        <v>414</v>
      </c>
      <c r="C1072" s="59" t="s">
        <v>73</v>
      </c>
      <c r="D1072" s="59" t="s">
        <v>66</v>
      </c>
      <c r="E1072" s="59" t="s">
        <v>230</v>
      </c>
      <c r="F1072" s="59"/>
      <c r="G1072" s="58">
        <f>G1073</f>
        <v>11721.9</v>
      </c>
    </row>
    <row r="1073" spans="1:7" ht="38.25">
      <c r="A1073" s="28" t="s">
        <v>473</v>
      </c>
      <c r="B1073" s="60" t="s">
        <v>414</v>
      </c>
      <c r="C1073" s="59" t="s">
        <v>73</v>
      </c>
      <c r="D1073" s="59" t="s">
        <v>66</v>
      </c>
      <c r="E1073" s="59" t="s">
        <v>382</v>
      </c>
      <c r="F1073" s="59"/>
      <c r="G1073" s="58">
        <f>G1074</f>
        <v>11721.9</v>
      </c>
    </row>
    <row r="1074" spans="1:7" ht="12.75">
      <c r="A1074" s="28" t="s">
        <v>249</v>
      </c>
      <c r="B1074" s="60" t="s">
        <v>414</v>
      </c>
      <c r="C1074" s="59" t="s">
        <v>73</v>
      </c>
      <c r="D1074" s="59" t="s">
        <v>66</v>
      </c>
      <c r="E1074" s="59" t="s">
        <v>383</v>
      </c>
      <c r="F1074" s="59"/>
      <c r="G1074" s="58">
        <f>G1075</f>
        <v>11721.9</v>
      </c>
    </row>
    <row r="1075" spans="1:7" ht="25.5">
      <c r="A1075" s="28" t="s">
        <v>105</v>
      </c>
      <c r="B1075" s="60" t="s">
        <v>414</v>
      </c>
      <c r="C1075" s="59" t="s">
        <v>73</v>
      </c>
      <c r="D1075" s="59" t="s">
        <v>66</v>
      </c>
      <c r="E1075" s="59" t="s">
        <v>383</v>
      </c>
      <c r="F1075" s="59" t="s">
        <v>106</v>
      </c>
      <c r="G1075" s="58">
        <f>G1076</f>
        <v>11721.9</v>
      </c>
    </row>
    <row r="1076" spans="1:7" ht="12.75">
      <c r="A1076" s="28" t="s">
        <v>111</v>
      </c>
      <c r="B1076" s="60" t="s">
        <v>414</v>
      </c>
      <c r="C1076" s="59" t="s">
        <v>73</v>
      </c>
      <c r="D1076" s="59" t="s">
        <v>66</v>
      </c>
      <c r="E1076" s="59" t="s">
        <v>383</v>
      </c>
      <c r="F1076" s="59" t="s">
        <v>112</v>
      </c>
      <c r="G1076" s="58">
        <f>G1077</f>
        <v>11721.9</v>
      </c>
    </row>
    <row r="1077" spans="1:7" ht="38.25">
      <c r="A1077" s="28" t="s">
        <v>113</v>
      </c>
      <c r="B1077" s="60" t="s">
        <v>414</v>
      </c>
      <c r="C1077" s="59" t="s">
        <v>73</v>
      </c>
      <c r="D1077" s="59" t="s">
        <v>66</v>
      </c>
      <c r="E1077" s="59" t="s">
        <v>383</v>
      </c>
      <c r="F1077" s="59" t="s">
        <v>114</v>
      </c>
      <c r="G1077" s="58">
        <f>10551.3+1700-529.4</f>
        <v>11721.9</v>
      </c>
    </row>
    <row r="1078" spans="1:7" ht="12.75">
      <c r="A1078" s="61" t="s">
        <v>86</v>
      </c>
      <c r="B1078" s="62" t="s">
        <v>414</v>
      </c>
      <c r="C1078" s="63" t="s">
        <v>73</v>
      </c>
      <c r="D1078" s="63" t="s">
        <v>68</v>
      </c>
      <c r="E1078" s="63"/>
      <c r="F1078" s="63"/>
      <c r="G1078" s="64">
        <f>G1079+G1085+G1094+G1108+G1124</f>
        <v>12838</v>
      </c>
    </row>
    <row r="1079" spans="1:7" ht="25.5">
      <c r="A1079" s="126" t="s">
        <v>513</v>
      </c>
      <c r="B1079" s="60" t="s">
        <v>414</v>
      </c>
      <c r="C1079" s="59" t="s">
        <v>73</v>
      </c>
      <c r="D1079" s="59" t="s">
        <v>68</v>
      </c>
      <c r="E1079" s="161" t="s">
        <v>180</v>
      </c>
      <c r="F1079" s="59"/>
      <c r="G1079" s="58">
        <f>G1080</f>
        <v>39</v>
      </c>
    </row>
    <row r="1080" spans="1:7" ht="25.5">
      <c r="A1080" s="126" t="s">
        <v>251</v>
      </c>
      <c r="B1080" s="60" t="s">
        <v>414</v>
      </c>
      <c r="C1080" s="59" t="s">
        <v>73</v>
      </c>
      <c r="D1080" s="59" t="s">
        <v>68</v>
      </c>
      <c r="E1080" s="161" t="s">
        <v>325</v>
      </c>
      <c r="F1080" s="59"/>
      <c r="G1080" s="58">
        <f>G1081</f>
        <v>39</v>
      </c>
    </row>
    <row r="1081" spans="1:7" ht="12.75">
      <c r="A1081" s="126" t="s">
        <v>193</v>
      </c>
      <c r="B1081" s="60" t="s">
        <v>414</v>
      </c>
      <c r="C1081" s="59" t="s">
        <v>73</v>
      </c>
      <c r="D1081" s="59" t="s">
        <v>68</v>
      </c>
      <c r="E1081" s="161" t="s">
        <v>342</v>
      </c>
      <c r="F1081" s="59"/>
      <c r="G1081" s="58">
        <f>G1082</f>
        <v>39</v>
      </c>
    </row>
    <row r="1082" spans="1:7" ht="25.5">
      <c r="A1082" s="28" t="s">
        <v>610</v>
      </c>
      <c r="B1082" s="60" t="s">
        <v>414</v>
      </c>
      <c r="C1082" s="59" t="s">
        <v>73</v>
      </c>
      <c r="D1082" s="59" t="s">
        <v>68</v>
      </c>
      <c r="E1082" s="161" t="s">
        <v>342</v>
      </c>
      <c r="F1082" s="59" t="s">
        <v>104</v>
      </c>
      <c r="G1082" s="58">
        <f>G1083</f>
        <v>39</v>
      </c>
    </row>
    <row r="1083" spans="1:7" ht="25.5">
      <c r="A1083" s="28" t="s">
        <v>98</v>
      </c>
      <c r="B1083" s="60" t="s">
        <v>414</v>
      </c>
      <c r="C1083" s="59" t="s">
        <v>73</v>
      </c>
      <c r="D1083" s="59" t="s">
        <v>68</v>
      </c>
      <c r="E1083" s="161" t="s">
        <v>342</v>
      </c>
      <c r="F1083" s="59" t="s">
        <v>99</v>
      </c>
      <c r="G1083" s="58">
        <f>G1084</f>
        <v>39</v>
      </c>
    </row>
    <row r="1084" spans="1:7" ht="25.5">
      <c r="A1084" s="28" t="s">
        <v>100</v>
      </c>
      <c r="B1084" s="60" t="s">
        <v>414</v>
      </c>
      <c r="C1084" s="59" t="s">
        <v>73</v>
      </c>
      <c r="D1084" s="59" t="s">
        <v>68</v>
      </c>
      <c r="E1084" s="161" t="s">
        <v>342</v>
      </c>
      <c r="F1084" s="59" t="s">
        <v>101</v>
      </c>
      <c r="G1084" s="58">
        <f>'МП пр.5'!G587</f>
        <v>39</v>
      </c>
    </row>
    <row r="1085" spans="1:7" ht="25.5">
      <c r="A1085" s="126" t="s">
        <v>552</v>
      </c>
      <c r="B1085" s="60" t="s">
        <v>414</v>
      </c>
      <c r="C1085" s="59" t="s">
        <v>73</v>
      </c>
      <c r="D1085" s="59" t="s">
        <v>68</v>
      </c>
      <c r="E1085" s="161" t="s">
        <v>200</v>
      </c>
      <c r="F1085" s="59"/>
      <c r="G1085" s="58">
        <f>G1086</f>
        <v>240.1</v>
      </c>
    </row>
    <row r="1086" spans="1:7" ht="12.75">
      <c r="A1086" s="126" t="s">
        <v>259</v>
      </c>
      <c r="B1086" s="60" t="s">
        <v>414</v>
      </c>
      <c r="C1086" s="59" t="s">
        <v>73</v>
      </c>
      <c r="D1086" s="59" t="s">
        <v>68</v>
      </c>
      <c r="E1086" s="161" t="s">
        <v>558</v>
      </c>
      <c r="F1086" s="59"/>
      <c r="G1086" s="58">
        <f>G1087</f>
        <v>240.1</v>
      </c>
    </row>
    <row r="1087" spans="1:7" ht="14.25" customHeight="1">
      <c r="A1087" s="28" t="s">
        <v>627</v>
      </c>
      <c r="B1087" s="60" t="s">
        <v>414</v>
      </c>
      <c r="C1087" s="59" t="s">
        <v>73</v>
      </c>
      <c r="D1087" s="59" t="s">
        <v>68</v>
      </c>
      <c r="E1087" s="161" t="s">
        <v>628</v>
      </c>
      <c r="F1087" s="63"/>
      <c r="G1087" s="58">
        <f>G1088+G1091</f>
        <v>240.1</v>
      </c>
    </row>
    <row r="1088" spans="1:7" ht="38.25">
      <c r="A1088" s="28" t="s">
        <v>102</v>
      </c>
      <c r="B1088" s="60" t="s">
        <v>414</v>
      </c>
      <c r="C1088" s="59" t="s">
        <v>73</v>
      </c>
      <c r="D1088" s="59" t="s">
        <v>68</v>
      </c>
      <c r="E1088" s="161" t="s">
        <v>628</v>
      </c>
      <c r="F1088" s="59" t="s">
        <v>103</v>
      </c>
      <c r="G1088" s="58">
        <f>G1089</f>
        <v>84</v>
      </c>
    </row>
    <row r="1089" spans="1:7" ht="12.75">
      <c r="A1089" s="28" t="s">
        <v>295</v>
      </c>
      <c r="B1089" s="60" t="s">
        <v>414</v>
      </c>
      <c r="C1089" s="59" t="s">
        <v>73</v>
      </c>
      <c r="D1089" s="59" t="s">
        <v>68</v>
      </c>
      <c r="E1089" s="161" t="s">
        <v>628</v>
      </c>
      <c r="F1089" s="59" t="s">
        <v>297</v>
      </c>
      <c r="G1089" s="58">
        <f>G1090</f>
        <v>84</v>
      </c>
    </row>
    <row r="1090" spans="1:7" ht="25.5">
      <c r="A1090" s="28" t="s">
        <v>548</v>
      </c>
      <c r="B1090" s="60" t="s">
        <v>414</v>
      </c>
      <c r="C1090" s="59" t="s">
        <v>73</v>
      </c>
      <c r="D1090" s="59" t="s">
        <v>68</v>
      </c>
      <c r="E1090" s="161" t="s">
        <v>628</v>
      </c>
      <c r="F1090" s="59" t="s">
        <v>549</v>
      </c>
      <c r="G1090" s="58">
        <f>'МП пр.5'!G760</f>
        <v>84</v>
      </c>
    </row>
    <row r="1091" spans="1:7" ht="25.5">
      <c r="A1091" s="28" t="s">
        <v>610</v>
      </c>
      <c r="B1091" s="60" t="s">
        <v>414</v>
      </c>
      <c r="C1091" s="59" t="s">
        <v>73</v>
      </c>
      <c r="D1091" s="59" t="s">
        <v>68</v>
      </c>
      <c r="E1091" s="161" t="s">
        <v>628</v>
      </c>
      <c r="F1091" s="59" t="s">
        <v>104</v>
      </c>
      <c r="G1091" s="58">
        <f>G1092</f>
        <v>156.1</v>
      </c>
    </row>
    <row r="1092" spans="1:7" ht="25.5">
      <c r="A1092" s="28" t="s">
        <v>98</v>
      </c>
      <c r="B1092" s="60" t="s">
        <v>414</v>
      </c>
      <c r="C1092" s="59" t="s">
        <v>73</v>
      </c>
      <c r="D1092" s="59" t="s">
        <v>68</v>
      </c>
      <c r="E1092" s="161" t="s">
        <v>628</v>
      </c>
      <c r="F1092" s="59" t="s">
        <v>99</v>
      </c>
      <c r="G1092" s="58">
        <f>G1093</f>
        <v>156.1</v>
      </c>
    </row>
    <row r="1093" spans="1:7" ht="25.5">
      <c r="A1093" s="28" t="s">
        <v>100</v>
      </c>
      <c r="B1093" s="60" t="s">
        <v>414</v>
      </c>
      <c r="C1093" s="59" t="s">
        <v>73</v>
      </c>
      <c r="D1093" s="59" t="s">
        <v>68</v>
      </c>
      <c r="E1093" s="161" t="s">
        <v>628</v>
      </c>
      <c r="F1093" s="59" t="s">
        <v>101</v>
      </c>
      <c r="G1093" s="58">
        <f>'МП пр.5'!G764</f>
        <v>156.1</v>
      </c>
    </row>
    <row r="1094" spans="1:7" ht="12.75">
      <c r="A1094" s="28" t="s">
        <v>360</v>
      </c>
      <c r="B1094" s="60" t="s">
        <v>414</v>
      </c>
      <c r="C1094" s="59" t="s">
        <v>73</v>
      </c>
      <c r="D1094" s="59" t="s">
        <v>68</v>
      </c>
      <c r="E1094" s="59" t="s">
        <v>215</v>
      </c>
      <c r="F1094" s="59"/>
      <c r="G1094" s="58">
        <f>G1095</f>
        <v>584.7</v>
      </c>
    </row>
    <row r="1095" spans="1:7" ht="12.75">
      <c r="A1095" s="28" t="s">
        <v>361</v>
      </c>
      <c r="B1095" s="60" t="s">
        <v>414</v>
      </c>
      <c r="C1095" s="59" t="s">
        <v>73</v>
      </c>
      <c r="D1095" s="59" t="s">
        <v>68</v>
      </c>
      <c r="E1095" s="59" t="s">
        <v>358</v>
      </c>
      <c r="F1095" s="59"/>
      <c r="G1095" s="58">
        <f>G1096+G1103</f>
        <v>584.7</v>
      </c>
    </row>
    <row r="1096" spans="1:7" ht="44.25" customHeight="1">
      <c r="A1096" s="28" t="s">
        <v>287</v>
      </c>
      <c r="B1096" s="60" t="s">
        <v>414</v>
      </c>
      <c r="C1096" s="59" t="s">
        <v>73</v>
      </c>
      <c r="D1096" s="59" t="s">
        <v>68</v>
      </c>
      <c r="E1096" s="59" t="s">
        <v>359</v>
      </c>
      <c r="F1096" s="59"/>
      <c r="G1096" s="58">
        <f>G1097</f>
        <v>576.2</v>
      </c>
    </row>
    <row r="1097" spans="1:7" ht="38.25">
      <c r="A1097" s="28" t="s">
        <v>102</v>
      </c>
      <c r="B1097" s="60" t="s">
        <v>414</v>
      </c>
      <c r="C1097" s="59" t="s">
        <v>73</v>
      </c>
      <c r="D1097" s="59" t="s">
        <v>68</v>
      </c>
      <c r="E1097" s="59" t="s">
        <v>359</v>
      </c>
      <c r="F1097" s="59" t="s">
        <v>103</v>
      </c>
      <c r="G1097" s="58">
        <f>G1098+G1100</f>
        <v>576.2</v>
      </c>
    </row>
    <row r="1098" spans="1:7" ht="12.75">
      <c r="A1098" s="28" t="s">
        <v>295</v>
      </c>
      <c r="B1098" s="60" t="s">
        <v>414</v>
      </c>
      <c r="C1098" s="59" t="s">
        <v>73</v>
      </c>
      <c r="D1098" s="59" t="s">
        <v>68</v>
      </c>
      <c r="E1098" s="59" t="s">
        <v>359</v>
      </c>
      <c r="F1098" s="59" t="s">
        <v>297</v>
      </c>
      <c r="G1098" s="58">
        <f>G1099</f>
        <v>502.7</v>
      </c>
    </row>
    <row r="1099" spans="1:7" ht="12.75">
      <c r="A1099" s="28" t="s">
        <v>434</v>
      </c>
      <c r="B1099" s="60" t="s">
        <v>414</v>
      </c>
      <c r="C1099" s="59" t="s">
        <v>73</v>
      </c>
      <c r="D1099" s="59" t="s">
        <v>68</v>
      </c>
      <c r="E1099" s="59" t="s">
        <v>359</v>
      </c>
      <c r="F1099" s="59" t="s">
        <v>296</v>
      </c>
      <c r="G1099" s="58">
        <f>280+90+96.5+33.2+3</f>
        <v>502.7</v>
      </c>
    </row>
    <row r="1100" spans="1:7" ht="12.75">
      <c r="A1100" s="28" t="s">
        <v>93</v>
      </c>
      <c r="B1100" s="60" t="s">
        <v>414</v>
      </c>
      <c r="C1100" s="59" t="s">
        <v>73</v>
      </c>
      <c r="D1100" s="59" t="s">
        <v>68</v>
      </c>
      <c r="E1100" s="59" t="s">
        <v>359</v>
      </c>
      <c r="F1100" s="59" t="s">
        <v>94</v>
      </c>
      <c r="G1100" s="58">
        <f>G1101</f>
        <v>73.5</v>
      </c>
    </row>
    <row r="1101" spans="1:7" ht="25.5">
      <c r="A1101" s="28" t="s">
        <v>96</v>
      </c>
      <c r="B1101" s="60" t="s">
        <v>414</v>
      </c>
      <c r="C1101" s="59" t="s">
        <v>73</v>
      </c>
      <c r="D1101" s="59" t="s">
        <v>68</v>
      </c>
      <c r="E1101" s="59" t="s">
        <v>359</v>
      </c>
      <c r="F1101" s="59" t="s">
        <v>97</v>
      </c>
      <c r="G1101" s="58">
        <f>260-90-96.5</f>
        <v>73.5</v>
      </c>
    </row>
    <row r="1102" spans="1:7" ht="12.75">
      <c r="A1102" s="28" t="s">
        <v>235</v>
      </c>
      <c r="B1102" s="60" t="s">
        <v>414</v>
      </c>
      <c r="C1102" s="59" t="s">
        <v>73</v>
      </c>
      <c r="D1102" s="59" t="s">
        <v>68</v>
      </c>
      <c r="E1102" s="59" t="s">
        <v>362</v>
      </c>
      <c r="F1102" s="59"/>
      <c r="G1102" s="58">
        <f>G1103</f>
        <v>8.5</v>
      </c>
    </row>
    <row r="1103" spans="1:7" ht="38.25">
      <c r="A1103" s="28" t="s">
        <v>102</v>
      </c>
      <c r="B1103" s="60" t="s">
        <v>414</v>
      </c>
      <c r="C1103" s="59" t="s">
        <v>73</v>
      </c>
      <c r="D1103" s="59" t="s">
        <v>68</v>
      </c>
      <c r="E1103" s="59" t="s">
        <v>362</v>
      </c>
      <c r="F1103" s="59" t="s">
        <v>103</v>
      </c>
      <c r="G1103" s="58">
        <f>G1104+G1107</f>
        <v>8.5</v>
      </c>
    </row>
    <row r="1104" spans="1:7" ht="12.75">
      <c r="A1104" s="28" t="s">
        <v>295</v>
      </c>
      <c r="B1104" s="60" t="s">
        <v>414</v>
      </c>
      <c r="C1104" s="59" t="s">
        <v>73</v>
      </c>
      <c r="D1104" s="59" t="s">
        <v>68</v>
      </c>
      <c r="E1104" s="59" t="s">
        <v>362</v>
      </c>
      <c r="F1104" s="59" t="s">
        <v>297</v>
      </c>
      <c r="G1104" s="58">
        <f>G1105</f>
        <v>0</v>
      </c>
    </row>
    <row r="1105" spans="1:7" ht="12.75">
      <c r="A1105" s="28" t="s">
        <v>434</v>
      </c>
      <c r="B1105" s="60" t="s">
        <v>414</v>
      </c>
      <c r="C1105" s="59" t="s">
        <v>73</v>
      </c>
      <c r="D1105" s="59" t="s">
        <v>68</v>
      </c>
      <c r="E1105" s="59" t="s">
        <v>362</v>
      </c>
      <c r="F1105" s="59" t="s">
        <v>296</v>
      </c>
      <c r="G1105" s="58">
        <f>10-10</f>
        <v>0</v>
      </c>
    </row>
    <row r="1106" spans="1:7" ht="12.75">
      <c r="A1106" s="28" t="s">
        <v>93</v>
      </c>
      <c r="B1106" s="60" t="s">
        <v>414</v>
      </c>
      <c r="C1106" s="59" t="s">
        <v>73</v>
      </c>
      <c r="D1106" s="59" t="s">
        <v>68</v>
      </c>
      <c r="E1106" s="59" t="s">
        <v>362</v>
      </c>
      <c r="F1106" s="59" t="s">
        <v>94</v>
      </c>
      <c r="G1106" s="58">
        <f>G1107</f>
        <v>8.5</v>
      </c>
    </row>
    <row r="1107" spans="1:7" ht="25.5">
      <c r="A1107" s="28" t="s">
        <v>96</v>
      </c>
      <c r="B1107" s="60" t="s">
        <v>414</v>
      </c>
      <c r="C1107" s="59" t="s">
        <v>73</v>
      </c>
      <c r="D1107" s="59" t="s">
        <v>68</v>
      </c>
      <c r="E1107" s="59" t="s">
        <v>362</v>
      </c>
      <c r="F1107" s="59" t="s">
        <v>97</v>
      </c>
      <c r="G1107" s="58">
        <f>200-40-151.5</f>
        <v>8.5</v>
      </c>
    </row>
    <row r="1108" spans="1:7" ht="25.5">
      <c r="A1108" s="28" t="s">
        <v>416</v>
      </c>
      <c r="B1108" s="60" t="s">
        <v>414</v>
      </c>
      <c r="C1108" s="59" t="s">
        <v>73</v>
      </c>
      <c r="D1108" s="59" t="s">
        <v>68</v>
      </c>
      <c r="E1108" s="59" t="s">
        <v>214</v>
      </c>
      <c r="F1108" s="59"/>
      <c r="G1108" s="58">
        <f>G1109</f>
        <v>5874.700000000001</v>
      </c>
    </row>
    <row r="1109" spans="1:7" ht="12.75">
      <c r="A1109" s="28" t="s">
        <v>50</v>
      </c>
      <c r="B1109" s="60" t="s">
        <v>414</v>
      </c>
      <c r="C1109" s="59" t="s">
        <v>73</v>
      </c>
      <c r="D1109" s="59" t="s">
        <v>68</v>
      </c>
      <c r="E1109" s="59" t="s">
        <v>240</v>
      </c>
      <c r="F1109" s="59"/>
      <c r="G1109" s="58">
        <f>G1110+G1116</f>
        <v>5874.700000000001</v>
      </c>
    </row>
    <row r="1110" spans="1:7" ht="12.75">
      <c r="A1110" s="28" t="s">
        <v>236</v>
      </c>
      <c r="B1110" s="60" t="s">
        <v>414</v>
      </c>
      <c r="C1110" s="59" t="s">
        <v>73</v>
      </c>
      <c r="D1110" s="59" t="s">
        <v>68</v>
      </c>
      <c r="E1110" s="59" t="s">
        <v>241</v>
      </c>
      <c r="F1110" s="59"/>
      <c r="G1110" s="58">
        <f>G1111</f>
        <v>5365.6</v>
      </c>
    </row>
    <row r="1111" spans="1:7" ht="38.25">
      <c r="A1111" s="28" t="s">
        <v>102</v>
      </c>
      <c r="B1111" s="60" t="s">
        <v>414</v>
      </c>
      <c r="C1111" s="59" t="s">
        <v>73</v>
      </c>
      <c r="D1111" s="59" t="s">
        <v>68</v>
      </c>
      <c r="E1111" s="59" t="s">
        <v>241</v>
      </c>
      <c r="F1111" s="59" t="s">
        <v>103</v>
      </c>
      <c r="G1111" s="58">
        <f>G1112</f>
        <v>5365.6</v>
      </c>
    </row>
    <row r="1112" spans="1:7" ht="12.75">
      <c r="A1112" s="28" t="s">
        <v>93</v>
      </c>
      <c r="B1112" s="60" t="s">
        <v>414</v>
      </c>
      <c r="C1112" s="59" t="s">
        <v>73</v>
      </c>
      <c r="D1112" s="59" t="s">
        <v>68</v>
      </c>
      <c r="E1112" s="59" t="s">
        <v>241</v>
      </c>
      <c r="F1112" s="59" t="s">
        <v>94</v>
      </c>
      <c r="G1112" s="58">
        <f>G1113+G1114+G1115</f>
        <v>5365.6</v>
      </c>
    </row>
    <row r="1113" spans="1:7" ht="25.5">
      <c r="A1113" s="28" t="s">
        <v>559</v>
      </c>
      <c r="B1113" s="60" t="s">
        <v>414</v>
      </c>
      <c r="C1113" s="59" t="s">
        <v>73</v>
      </c>
      <c r="D1113" s="59" t="s">
        <v>68</v>
      </c>
      <c r="E1113" s="59" t="s">
        <v>241</v>
      </c>
      <c r="F1113" s="59" t="s">
        <v>95</v>
      </c>
      <c r="G1113" s="58">
        <f>4080.2+194</f>
        <v>4274.2</v>
      </c>
    </row>
    <row r="1114" spans="1:7" ht="25.5">
      <c r="A1114" s="28" t="s">
        <v>96</v>
      </c>
      <c r="B1114" s="60" t="s">
        <v>414</v>
      </c>
      <c r="C1114" s="59" t="s">
        <v>73</v>
      </c>
      <c r="D1114" s="59" t="s">
        <v>68</v>
      </c>
      <c r="E1114" s="59" t="s">
        <v>241</v>
      </c>
      <c r="F1114" s="59" t="s">
        <v>97</v>
      </c>
      <c r="G1114" s="58">
        <f>28-10</f>
        <v>18</v>
      </c>
    </row>
    <row r="1115" spans="1:7" ht="25.5">
      <c r="A1115" s="28" t="s">
        <v>160</v>
      </c>
      <c r="B1115" s="60" t="s">
        <v>414</v>
      </c>
      <c r="C1115" s="59" t="s">
        <v>73</v>
      </c>
      <c r="D1115" s="59" t="s">
        <v>68</v>
      </c>
      <c r="E1115" s="59" t="s">
        <v>241</v>
      </c>
      <c r="F1115" s="59" t="s">
        <v>159</v>
      </c>
      <c r="G1115" s="58">
        <f>1230.9-157.5</f>
        <v>1073.4</v>
      </c>
    </row>
    <row r="1116" spans="1:7" ht="12.75">
      <c r="A1116" s="28" t="s">
        <v>237</v>
      </c>
      <c r="B1116" s="60" t="s">
        <v>414</v>
      </c>
      <c r="C1116" s="59" t="s">
        <v>73</v>
      </c>
      <c r="D1116" s="59" t="s">
        <v>68</v>
      </c>
      <c r="E1116" s="59" t="s">
        <v>242</v>
      </c>
      <c r="F1116" s="59"/>
      <c r="G1116" s="58">
        <f>G1117+G1120</f>
        <v>509.09999999999997</v>
      </c>
    </row>
    <row r="1117" spans="1:7" ht="25.5">
      <c r="A1117" s="28" t="s">
        <v>610</v>
      </c>
      <c r="B1117" s="60" t="s">
        <v>414</v>
      </c>
      <c r="C1117" s="59" t="s">
        <v>73</v>
      </c>
      <c r="D1117" s="59" t="s">
        <v>68</v>
      </c>
      <c r="E1117" s="59" t="s">
        <v>242</v>
      </c>
      <c r="F1117" s="59" t="s">
        <v>104</v>
      </c>
      <c r="G1117" s="58">
        <f>G1118</f>
        <v>505.29999999999995</v>
      </c>
    </row>
    <row r="1118" spans="1:7" ht="25.5">
      <c r="A1118" s="28" t="s">
        <v>98</v>
      </c>
      <c r="B1118" s="60" t="s">
        <v>414</v>
      </c>
      <c r="C1118" s="59" t="s">
        <v>73</v>
      </c>
      <c r="D1118" s="59" t="s">
        <v>68</v>
      </c>
      <c r="E1118" s="59" t="s">
        <v>242</v>
      </c>
      <c r="F1118" s="59" t="s">
        <v>99</v>
      </c>
      <c r="G1118" s="58">
        <f>G1119</f>
        <v>505.29999999999995</v>
      </c>
    </row>
    <row r="1119" spans="1:7" ht="25.5">
      <c r="A1119" s="28" t="s">
        <v>100</v>
      </c>
      <c r="B1119" s="60" t="s">
        <v>414</v>
      </c>
      <c r="C1119" s="59" t="s">
        <v>73</v>
      </c>
      <c r="D1119" s="59" t="s">
        <v>68</v>
      </c>
      <c r="E1119" s="59" t="s">
        <v>242</v>
      </c>
      <c r="F1119" s="59" t="s">
        <v>101</v>
      </c>
      <c r="G1119" s="58">
        <f>300.2+47+158.1</f>
        <v>505.29999999999995</v>
      </c>
    </row>
    <row r="1120" spans="1:7" ht="12.75">
      <c r="A1120" s="28" t="s">
        <v>128</v>
      </c>
      <c r="B1120" s="60" t="s">
        <v>414</v>
      </c>
      <c r="C1120" s="59" t="s">
        <v>73</v>
      </c>
      <c r="D1120" s="59" t="s">
        <v>68</v>
      </c>
      <c r="E1120" s="59" t="s">
        <v>242</v>
      </c>
      <c r="F1120" s="59" t="s">
        <v>129</v>
      </c>
      <c r="G1120" s="58">
        <f>G1121</f>
        <v>3.8</v>
      </c>
    </row>
    <row r="1121" spans="1:7" ht="12.75">
      <c r="A1121" s="28" t="s">
        <v>131</v>
      </c>
      <c r="B1121" s="60" t="s">
        <v>414</v>
      </c>
      <c r="C1121" s="59" t="s">
        <v>73</v>
      </c>
      <c r="D1121" s="59" t="s">
        <v>68</v>
      </c>
      <c r="E1121" s="59" t="s">
        <v>242</v>
      </c>
      <c r="F1121" s="59" t="s">
        <v>132</v>
      </c>
      <c r="G1121" s="58">
        <f>G1122+G1123</f>
        <v>3.8</v>
      </c>
    </row>
    <row r="1122" spans="1:7" ht="12.75">
      <c r="A1122" s="28" t="s">
        <v>133</v>
      </c>
      <c r="B1122" s="60" t="s">
        <v>414</v>
      </c>
      <c r="C1122" s="59" t="s">
        <v>73</v>
      </c>
      <c r="D1122" s="59" t="s">
        <v>68</v>
      </c>
      <c r="E1122" s="59" t="s">
        <v>242</v>
      </c>
      <c r="F1122" s="59" t="s">
        <v>134</v>
      </c>
      <c r="G1122" s="58">
        <f>16-7-5.4</f>
        <v>3.5999999999999996</v>
      </c>
    </row>
    <row r="1123" spans="1:7" ht="12.75">
      <c r="A1123" s="28" t="s">
        <v>161</v>
      </c>
      <c r="B1123" s="60" t="s">
        <v>414</v>
      </c>
      <c r="C1123" s="59" t="s">
        <v>73</v>
      </c>
      <c r="D1123" s="59" t="s">
        <v>68</v>
      </c>
      <c r="E1123" s="59" t="s">
        <v>242</v>
      </c>
      <c r="F1123" s="59" t="s">
        <v>135</v>
      </c>
      <c r="G1123" s="58">
        <f>1-0.8</f>
        <v>0.19999999999999996</v>
      </c>
    </row>
    <row r="1124" spans="1:7" ht="38.25">
      <c r="A1124" s="28" t="s">
        <v>294</v>
      </c>
      <c r="B1124" s="60" t="s">
        <v>414</v>
      </c>
      <c r="C1124" s="59" t="s">
        <v>73</v>
      </c>
      <c r="D1124" s="59" t="s">
        <v>68</v>
      </c>
      <c r="E1124" s="59" t="s">
        <v>229</v>
      </c>
      <c r="F1124" s="59"/>
      <c r="G1124" s="58">
        <f>G1125</f>
        <v>6099.5</v>
      </c>
    </row>
    <row r="1125" spans="1:7" ht="38.25">
      <c r="A1125" s="28" t="s">
        <v>473</v>
      </c>
      <c r="B1125" s="60" t="s">
        <v>414</v>
      </c>
      <c r="C1125" s="59" t="s">
        <v>73</v>
      </c>
      <c r="D1125" s="59" t="s">
        <v>68</v>
      </c>
      <c r="E1125" s="59" t="s">
        <v>375</v>
      </c>
      <c r="F1125" s="59"/>
      <c r="G1125" s="58">
        <f>G1126</f>
        <v>6099.5</v>
      </c>
    </row>
    <row r="1126" spans="1:7" ht="12.75">
      <c r="A1126" s="28" t="s">
        <v>376</v>
      </c>
      <c r="B1126" s="60" t="s">
        <v>414</v>
      </c>
      <c r="C1126" s="59" t="s">
        <v>73</v>
      </c>
      <c r="D1126" s="59" t="s">
        <v>68</v>
      </c>
      <c r="E1126" s="59" t="s">
        <v>406</v>
      </c>
      <c r="F1126" s="59"/>
      <c r="G1126" s="58">
        <f>G1127+G1132+G1135</f>
        <v>6099.5</v>
      </c>
    </row>
    <row r="1127" spans="1:7" ht="38.25">
      <c r="A1127" s="28" t="s">
        <v>102</v>
      </c>
      <c r="B1127" s="60" t="s">
        <v>414</v>
      </c>
      <c r="C1127" s="59" t="s">
        <v>73</v>
      </c>
      <c r="D1127" s="59" t="s">
        <v>68</v>
      </c>
      <c r="E1127" s="59" t="s">
        <v>406</v>
      </c>
      <c r="F1127" s="59" t="s">
        <v>103</v>
      </c>
      <c r="G1127" s="58">
        <f>G1128</f>
        <v>5409.5</v>
      </c>
    </row>
    <row r="1128" spans="1:7" ht="12.75">
      <c r="A1128" s="28" t="s">
        <v>295</v>
      </c>
      <c r="B1128" s="60" t="s">
        <v>414</v>
      </c>
      <c r="C1128" s="59" t="s">
        <v>73</v>
      </c>
      <c r="D1128" s="59" t="s">
        <v>68</v>
      </c>
      <c r="E1128" s="59" t="s">
        <v>406</v>
      </c>
      <c r="F1128" s="59" t="s">
        <v>297</v>
      </c>
      <c r="G1128" s="58">
        <f>G1129+G1130+G1131</f>
        <v>5409.5</v>
      </c>
    </row>
    <row r="1129" spans="1:7" ht="12.75">
      <c r="A1129" s="28" t="s">
        <v>545</v>
      </c>
      <c r="B1129" s="60" t="s">
        <v>414</v>
      </c>
      <c r="C1129" s="59" t="s">
        <v>73</v>
      </c>
      <c r="D1129" s="59" t="s">
        <v>68</v>
      </c>
      <c r="E1129" s="59" t="s">
        <v>406</v>
      </c>
      <c r="F1129" s="59" t="s">
        <v>298</v>
      </c>
      <c r="G1129" s="58">
        <f>3750+405</f>
        <v>4155</v>
      </c>
    </row>
    <row r="1130" spans="1:7" ht="12.75">
      <c r="A1130" s="28" t="s">
        <v>434</v>
      </c>
      <c r="B1130" s="60" t="s">
        <v>414</v>
      </c>
      <c r="C1130" s="59" t="s">
        <v>73</v>
      </c>
      <c r="D1130" s="59" t="s">
        <v>68</v>
      </c>
      <c r="E1130" s="59" t="s">
        <v>406</v>
      </c>
      <c r="F1130" s="59" t="s">
        <v>296</v>
      </c>
      <c r="G1130" s="58">
        <f>7-7</f>
        <v>0</v>
      </c>
    </row>
    <row r="1131" spans="1:7" ht="25.5">
      <c r="A1131" s="28" t="s">
        <v>438</v>
      </c>
      <c r="B1131" s="60" t="s">
        <v>414</v>
      </c>
      <c r="C1131" s="59" t="s">
        <v>73</v>
      </c>
      <c r="D1131" s="59" t="s">
        <v>68</v>
      </c>
      <c r="E1131" s="59" t="s">
        <v>406</v>
      </c>
      <c r="F1131" s="59" t="s">
        <v>299</v>
      </c>
      <c r="G1131" s="58">
        <f>1132.5+122</f>
        <v>1254.5</v>
      </c>
    </row>
    <row r="1132" spans="1:7" ht="25.5">
      <c r="A1132" s="28" t="s">
        <v>610</v>
      </c>
      <c r="B1132" s="60" t="s">
        <v>414</v>
      </c>
      <c r="C1132" s="59" t="s">
        <v>73</v>
      </c>
      <c r="D1132" s="59" t="s">
        <v>68</v>
      </c>
      <c r="E1132" s="59" t="s">
        <v>406</v>
      </c>
      <c r="F1132" s="59" t="s">
        <v>104</v>
      </c>
      <c r="G1132" s="58">
        <f>G1133</f>
        <v>688.2</v>
      </c>
    </row>
    <row r="1133" spans="1:7" ht="25.5">
      <c r="A1133" s="28" t="s">
        <v>98</v>
      </c>
      <c r="B1133" s="60" t="s">
        <v>414</v>
      </c>
      <c r="C1133" s="59" t="s">
        <v>73</v>
      </c>
      <c r="D1133" s="59" t="s">
        <v>68</v>
      </c>
      <c r="E1133" s="59" t="s">
        <v>406</v>
      </c>
      <c r="F1133" s="59" t="s">
        <v>99</v>
      </c>
      <c r="G1133" s="58">
        <f>G1134</f>
        <v>688.2</v>
      </c>
    </row>
    <row r="1134" spans="1:7" ht="25.5">
      <c r="A1134" s="28" t="s">
        <v>100</v>
      </c>
      <c r="B1134" s="60" t="s">
        <v>414</v>
      </c>
      <c r="C1134" s="59" t="s">
        <v>73</v>
      </c>
      <c r="D1134" s="59" t="s">
        <v>68</v>
      </c>
      <c r="E1134" s="59" t="s">
        <v>406</v>
      </c>
      <c r="F1134" s="59" t="s">
        <v>101</v>
      </c>
      <c r="G1134" s="58">
        <f>566+122.2</f>
        <v>688.2</v>
      </c>
    </row>
    <row r="1135" spans="1:7" ht="12.75">
      <c r="A1135" s="28" t="s">
        <v>128</v>
      </c>
      <c r="B1135" s="60" t="s">
        <v>414</v>
      </c>
      <c r="C1135" s="59" t="s">
        <v>73</v>
      </c>
      <c r="D1135" s="59" t="s">
        <v>68</v>
      </c>
      <c r="E1135" s="59" t="s">
        <v>406</v>
      </c>
      <c r="F1135" s="59" t="s">
        <v>129</v>
      </c>
      <c r="G1135" s="58">
        <f>G1136</f>
        <v>1.8000000000000007</v>
      </c>
    </row>
    <row r="1136" spans="1:7" ht="12.75">
      <c r="A1136" s="28" t="s">
        <v>131</v>
      </c>
      <c r="B1136" s="60" t="s">
        <v>414</v>
      </c>
      <c r="C1136" s="59" t="s">
        <v>73</v>
      </c>
      <c r="D1136" s="59" t="s">
        <v>68</v>
      </c>
      <c r="E1136" s="59" t="s">
        <v>406</v>
      </c>
      <c r="F1136" s="59" t="s">
        <v>132</v>
      </c>
      <c r="G1136" s="58">
        <f>G1137</f>
        <v>1.8000000000000007</v>
      </c>
    </row>
    <row r="1137" spans="1:7" ht="12.75">
      <c r="A1137" s="28" t="s">
        <v>133</v>
      </c>
      <c r="B1137" s="60" t="s">
        <v>414</v>
      </c>
      <c r="C1137" s="59" t="s">
        <v>73</v>
      </c>
      <c r="D1137" s="59" t="s">
        <v>68</v>
      </c>
      <c r="E1137" s="59" t="s">
        <v>406</v>
      </c>
      <c r="F1137" s="59" t="s">
        <v>134</v>
      </c>
      <c r="G1137" s="58">
        <f>10-8.2</f>
        <v>1.8000000000000007</v>
      </c>
    </row>
    <row r="1138" spans="1:7" ht="12.75">
      <c r="A1138" s="61" t="s">
        <v>62</v>
      </c>
      <c r="B1138" s="62" t="s">
        <v>414</v>
      </c>
      <c r="C1138" s="63" t="s">
        <v>71</v>
      </c>
      <c r="D1138" s="63" t="s">
        <v>36</v>
      </c>
      <c r="E1138" s="63"/>
      <c r="F1138" s="63"/>
      <c r="G1138" s="64">
        <f>G1139</f>
        <v>1336.3</v>
      </c>
    </row>
    <row r="1139" spans="1:7" ht="12.75">
      <c r="A1139" s="156" t="s">
        <v>61</v>
      </c>
      <c r="B1139" s="62" t="s">
        <v>414</v>
      </c>
      <c r="C1139" s="63" t="s">
        <v>71</v>
      </c>
      <c r="D1139" s="63" t="s">
        <v>70</v>
      </c>
      <c r="E1139" s="63"/>
      <c r="F1139" s="63"/>
      <c r="G1139" s="64">
        <f aca="true" t="shared" si="6" ref="G1139:G1148">G1140</f>
        <v>1336.3</v>
      </c>
    </row>
    <row r="1140" spans="1:7" ht="25.5">
      <c r="A1140" s="126" t="s">
        <v>560</v>
      </c>
      <c r="B1140" s="60" t="s">
        <v>414</v>
      </c>
      <c r="C1140" s="59" t="s">
        <v>71</v>
      </c>
      <c r="D1140" s="59" t="s">
        <v>70</v>
      </c>
      <c r="E1140" s="161" t="s">
        <v>203</v>
      </c>
      <c r="F1140" s="59"/>
      <c r="G1140" s="58">
        <f t="shared" si="6"/>
        <v>1336.3</v>
      </c>
    </row>
    <row r="1141" spans="1:7" ht="12.75">
      <c r="A1141" s="126" t="s">
        <v>260</v>
      </c>
      <c r="B1141" s="60" t="s">
        <v>414</v>
      </c>
      <c r="C1141" s="59" t="s">
        <v>71</v>
      </c>
      <c r="D1141" s="59" t="s">
        <v>70</v>
      </c>
      <c r="E1141" s="161" t="s">
        <v>351</v>
      </c>
      <c r="F1141" s="59"/>
      <c r="G1141" s="58">
        <f>G1146+G1142</f>
        <v>1336.3</v>
      </c>
    </row>
    <row r="1142" spans="1:7" ht="21.75" customHeight="1">
      <c r="A1142" s="126" t="str">
        <f>'МП пр.5'!A395</f>
        <v>Социальная выплата на приобретение (строительство) жилья молодым семьям</v>
      </c>
      <c r="B1142" s="60" t="s">
        <v>414</v>
      </c>
      <c r="C1142" s="59" t="s">
        <v>71</v>
      </c>
      <c r="D1142" s="59" t="s">
        <v>70</v>
      </c>
      <c r="E1142" s="161" t="s">
        <v>801</v>
      </c>
      <c r="F1142" s="59"/>
      <c r="G1142" s="58">
        <f>G1143</f>
        <v>1131.8</v>
      </c>
    </row>
    <row r="1143" spans="1:7" ht="12.75">
      <c r="A1143" s="28" t="s">
        <v>117</v>
      </c>
      <c r="B1143" s="60" t="s">
        <v>414</v>
      </c>
      <c r="C1143" s="59" t="s">
        <v>71</v>
      </c>
      <c r="D1143" s="59" t="s">
        <v>70</v>
      </c>
      <c r="E1143" s="161" t="s">
        <v>801</v>
      </c>
      <c r="F1143" s="59" t="s">
        <v>118</v>
      </c>
      <c r="G1143" s="58">
        <f>G1144</f>
        <v>1131.8</v>
      </c>
    </row>
    <row r="1144" spans="1:7" ht="12.75">
      <c r="A1144" s="28" t="s">
        <v>137</v>
      </c>
      <c r="B1144" s="60" t="s">
        <v>414</v>
      </c>
      <c r="C1144" s="59" t="s">
        <v>71</v>
      </c>
      <c r="D1144" s="59" t="s">
        <v>70</v>
      </c>
      <c r="E1144" s="161" t="s">
        <v>801</v>
      </c>
      <c r="F1144" s="59" t="s">
        <v>136</v>
      </c>
      <c r="G1144" s="58">
        <f>G1145</f>
        <v>1131.8</v>
      </c>
    </row>
    <row r="1145" spans="1:7" ht="12.75">
      <c r="A1145" s="28" t="s">
        <v>562</v>
      </c>
      <c r="B1145" s="60" t="s">
        <v>414</v>
      </c>
      <c r="C1145" s="59" t="s">
        <v>71</v>
      </c>
      <c r="D1145" s="59" t="s">
        <v>70</v>
      </c>
      <c r="E1145" s="161" t="s">
        <v>801</v>
      </c>
      <c r="F1145" s="59" t="s">
        <v>563</v>
      </c>
      <c r="G1145" s="58">
        <v>1131.8</v>
      </c>
    </row>
    <row r="1146" spans="1:7" ht="30.75" customHeight="1">
      <c r="A1146" s="126" t="str">
        <f>'МП пр.5'!A403</f>
        <v>Социальная выплата на приобретение (строительство) жилья молодым семьям за счет средств местного бюджета</v>
      </c>
      <c r="B1146" s="60" t="s">
        <v>414</v>
      </c>
      <c r="C1146" s="59" t="s">
        <v>71</v>
      </c>
      <c r="D1146" s="59" t="s">
        <v>70</v>
      </c>
      <c r="E1146" s="161" t="s">
        <v>561</v>
      </c>
      <c r="F1146" s="59"/>
      <c r="G1146" s="58">
        <f t="shared" si="6"/>
        <v>204.5</v>
      </c>
    </row>
    <row r="1147" spans="1:7" ht="12.75">
      <c r="A1147" s="28" t="s">
        <v>117</v>
      </c>
      <c r="B1147" s="60" t="s">
        <v>414</v>
      </c>
      <c r="C1147" s="59" t="s">
        <v>71</v>
      </c>
      <c r="D1147" s="59" t="s">
        <v>70</v>
      </c>
      <c r="E1147" s="161" t="s">
        <v>561</v>
      </c>
      <c r="F1147" s="59" t="s">
        <v>118</v>
      </c>
      <c r="G1147" s="58">
        <f t="shared" si="6"/>
        <v>204.5</v>
      </c>
    </row>
    <row r="1148" spans="1:7" ht="12.75">
      <c r="A1148" s="28" t="s">
        <v>137</v>
      </c>
      <c r="B1148" s="60" t="s">
        <v>414</v>
      </c>
      <c r="C1148" s="59" t="s">
        <v>71</v>
      </c>
      <c r="D1148" s="59" t="s">
        <v>70</v>
      </c>
      <c r="E1148" s="161" t="s">
        <v>561</v>
      </c>
      <c r="F1148" s="59" t="s">
        <v>136</v>
      </c>
      <c r="G1148" s="58">
        <f t="shared" si="6"/>
        <v>204.5</v>
      </c>
    </row>
    <row r="1149" spans="1:7" ht="12.75">
      <c r="A1149" s="28" t="s">
        <v>562</v>
      </c>
      <c r="B1149" s="60" t="s">
        <v>414</v>
      </c>
      <c r="C1149" s="59" t="s">
        <v>71</v>
      </c>
      <c r="D1149" s="59" t="s">
        <v>70</v>
      </c>
      <c r="E1149" s="161" t="s">
        <v>561</v>
      </c>
      <c r="F1149" s="59" t="s">
        <v>563</v>
      </c>
      <c r="G1149" s="58">
        <f>'МП пр.5'!G409</f>
        <v>204.5</v>
      </c>
    </row>
    <row r="1150" spans="1:7" ht="12.75">
      <c r="A1150" s="61" t="s">
        <v>83</v>
      </c>
      <c r="B1150" s="62" t="s">
        <v>414</v>
      </c>
      <c r="C1150" s="63" t="s">
        <v>74</v>
      </c>
      <c r="D1150" s="63" t="s">
        <v>36</v>
      </c>
      <c r="E1150" s="59"/>
      <c r="F1150" s="59"/>
      <c r="G1150" s="64">
        <f>G1151</f>
        <v>19123.6</v>
      </c>
    </row>
    <row r="1151" spans="1:7" ht="12.75">
      <c r="A1151" s="61" t="s">
        <v>84</v>
      </c>
      <c r="B1151" s="62" t="s">
        <v>414</v>
      </c>
      <c r="C1151" s="63" t="s">
        <v>74</v>
      </c>
      <c r="D1151" s="63" t="s">
        <v>66</v>
      </c>
      <c r="E1151" s="63"/>
      <c r="F1151" s="63"/>
      <c r="G1151" s="64">
        <f>G1152+G1174+G1188+G1198+G1205</f>
        <v>19123.6</v>
      </c>
    </row>
    <row r="1152" spans="1:7" ht="25.5">
      <c r="A1152" s="126" t="s">
        <v>564</v>
      </c>
      <c r="B1152" s="60" t="s">
        <v>414</v>
      </c>
      <c r="C1152" s="59" t="s">
        <v>74</v>
      </c>
      <c r="D1152" s="59" t="s">
        <v>66</v>
      </c>
      <c r="E1152" s="161" t="s">
        <v>202</v>
      </c>
      <c r="F1152" s="165"/>
      <c r="G1152" s="58">
        <f>G1153</f>
        <v>2139.9</v>
      </c>
    </row>
    <row r="1153" spans="1:7" ht="25.5">
      <c r="A1153" s="126" t="s">
        <v>261</v>
      </c>
      <c r="B1153" s="60" t="s">
        <v>414</v>
      </c>
      <c r="C1153" s="59" t="s">
        <v>74</v>
      </c>
      <c r="D1153" s="59" t="s">
        <v>66</v>
      </c>
      <c r="E1153" s="161" t="s">
        <v>352</v>
      </c>
      <c r="F1153" s="165"/>
      <c r="G1153" s="58">
        <f>G1154+G1158+G1162+G1166+G1170</f>
        <v>2139.9</v>
      </c>
    </row>
    <row r="1154" spans="1:7" ht="12.75">
      <c r="A1154" s="126" t="s">
        <v>565</v>
      </c>
      <c r="B1154" s="60" t="s">
        <v>414</v>
      </c>
      <c r="C1154" s="59" t="s">
        <v>74</v>
      </c>
      <c r="D1154" s="59" t="s">
        <v>66</v>
      </c>
      <c r="E1154" s="161" t="s">
        <v>353</v>
      </c>
      <c r="F1154" s="165"/>
      <c r="G1154" s="58">
        <f>G1155</f>
        <v>756</v>
      </c>
    </row>
    <row r="1155" spans="1:7" ht="25.5">
      <c r="A1155" s="28" t="s">
        <v>105</v>
      </c>
      <c r="B1155" s="60" t="s">
        <v>414</v>
      </c>
      <c r="C1155" s="59" t="s">
        <v>74</v>
      </c>
      <c r="D1155" s="59" t="s">
        <v>66</v>
      </c>
      <c r="E1155" s="161" t="s">
        <v>353</v>
      </c>
      <c r="F1155" s="59" t="s">
        <v>106</v>
      </c>
      <c r="G1155" s="58">
        <f>G1156</f>
        <v>756</v>
      </c>
    </row>
    <row r="1156" spans="1:7" ht="12.75">
      <c r="A1156" s="28" t="s">
        <v>111</v>
      </c>
      <c r="B1156" s="60" t="s">
        <v>414</v>
      </c>
      <c r="C1156" s="59" t="s">
        <v>74</v>
      </c>
      <c r="D1156" s="59" t="s">
        <v>66</v>
      </c>
      <c r="E1156" s="161" t="s">
        <v>353</v>
      </c>
      <c r="F1156" s="59" t="s">
        <v>112</v>
      </c>
      <c r="G1156" s="58">
        <f>G1157</f>
        <v>756</v>
      </c>
    </row>
    <row r="1157" spans="1:7" ht="12.75">
      <c r="A1157" s="28" t="s">
        <v>115</v>
      </c>
      <c r="B1157" s="60" t="s">
        <v>414</v>
      </c>
      <c r="C1157" s="59" t="s">
        <v>74</v>
      </c>
      <c r="D1157" s="59" t="s">
        <v>66</v>
      </c>
      <c r="E1157" s="161" t="s">
        <v>353</v>
      </c>
      <c r="F1157" s="59" t="s">
        <v>116</v>
      </c>
      <c r="G1157" s="58">
        <f>'МП пр.5'!G364</f>
        <v>756</v>
      </c>
    </row>
    <row r="1158" spans="1:7" ht="12.75">
      <c r="A1158" s="126" t="s">
        <v>178</v>
      </c>
      <c r="B1158" s="60" t="s">
        <v>414</v>
      </c>
      <c r="C1158" s="59" t="s">
        <v>74</v>
      </c>
      <c r="D1158" s="59" t="s">
        <v>66</v>
      </c>
      <c r="E1158" s="161" t="s">
        <v>354</v>
      </c>
      <c r="F1158" s="59"/>
      <c r="G1158" s="58">
        <f>G1159</f>
        <v>173.89999999999998</v>
      </c>
    </row>
    <row r="1159" spans="1:7" ht="25.5">
      <c r="A1159" s="28" t="s">
        <v>105</v>
      </c>
      <c r="B1159" s="60" t="s">
        <v>414</v>
      </c>
      <c r="C1159" s="59" t="s">
        <v>74</v>
      </c>
      <c r="D1159" s="59" t="s">
        <v>66</v>
      </c>
      <c r="E1159" s="161" t="s">
        <v>354</v>
      </c>
      <c r="F1159" s="59" t="s">
        <v>106</v>
      </c>
      <c r="G1159" s="58">
        <f>G1160</f>
        <v>173.89999999999998</v>
      </c>
    </row>
    <row r="1160" spans="1:7" ht="12.75">
      <c r="A1160" s="28" t="s">
        <v>111</v>
      </c>
      <c r="B1160" s="60" t="s">
        <v>414</v>
      </c>
      <c r="C1160" s="59" t="s">
        <v>74</v>
      </c>
      <c r="D1160" s="59" t="s">
        <v>66</v>
      </c>
      <c r="E1160" s="161" t="s">
        <v>354</v>
      </c>
      <c r="F1160" s="59" t="s">
        <v>112</v>
      </c>
      <c r="G1160" s="58">
        <f>G1161</f>
        <v>173.89999999999998</v>
      </c>
    </row>
    <row r="1161" spans="1:7" ht="12.75">
      <c r="A1161" s="28" t="s">
        <v>115</v>
      </c>
      <c r="B1161" s="60" t="s">
        <v>414</v>
      </c>
      <c r="C1161" s="59" t="s">
        <v>74</v>
      </c>
      <c r="D1161" s="59" t="s">
        <v>66</v>
      </c>
      <c r="E1161" s="161" t="s">
        <v>354</v>
      </c>
      <c r="F1161" s="59" t="s">
        <v>116</v>
      </c>
      <c r="G1161" s="58">
        <f>'МП пр.5'!G371</f>
        <v>173.89999999999998</v>
      </c>
    </row>
    <row r="1162" spans="1:7" ht="12.75">
      <c r="A1162" s="126" t="s">
        <v>201</v>
      </c>
      <c r="B1162" s="60" t="s">
        <v>414</v>
      </c>
      <c r="C1162" s="59" t="s">
        <v>74</v>
      </c>
      <c r="D1162" s="59" t="s">
        <v>66</v>
      </c>
      <c r="E1162" s="161" t="s">
        <v>355</v>
      </c>
      <c r="F1162" s="59"/>
      <c r="G1162" s="58">
        <f>G1163</f>
        <v>0</v>
      </c>
    </row>
    <row r="1163" spans="1:7" ht="25.5">
      <c r="A1163" s="28" t="s">
        <v>105</v>
      </c>
      <c r="B1163" s="60" t="s">
        <v>414</v>
      </c>
      <c r="C1163" s="59" t="s">
        <v>74</v>
      </c>
      <c r="D1163" s="59" t="s">
        <v>66</v>
      </c>
      <c r="E1163" s="161" t="s">
        <v>355</v>
      </c>
      <c r="F1163" s="59" t="s">
        <v>106</v>
      </c>
      <c r="G1163" s="58">
        <f>G1164</f>
        <v>0</v>
      </c>
    </row>
    <row r="1164" spans="1:7" ht="12.75">
      <c r="A1164" s="28" t="s">
        <v>111</v>
      </c>
      <c r="B1164" s="60" t="s">
        <v>414</v>
      </c>
      <c r="C1164" s="59" t="s">
        <v>74</v>
      </c>
      <c r="D1164" s="59" t="s">
        <v>66</v>
      </c>
      <c r="E1164" s="161" t="s">
        <v>355</v>
      </c>
      <c r="F1164" s="59" t="s">
        <v>112</v>
      </c>
      <c r="G1164" s="58">
        <f>G1165</f>
        <v>0</v>
      </c>
    </row>
    <row r="1165" spans="1:7" ht="12.75">
      <c r="A1165" s="28" t="s">
        <v>115</v>
      </c>
      <c r="B1165" s="60" t="s">
        <v>414</v>
      </c>
      <c r="C1165" s="59" t="s">
        <v>74</v>
      </c>
      <c r="D1165" s="59" t="s">
        <v>66</v>
      </c>
      <c r="E1165" s="161" t="s">
        <v>355</v>
      </c>
      <c r="F1165" s="59" t="s">
        <v>116</v>
      </c>
      <c r="G1165" s="58">
        <f>'МП пр.5'!G378</f>
        <v>0</v>
      </c>
    </row>
    <row r="1166" spans="1:7" ht="29.25" customHeight="1">
      <c r="A1166" s="126" t="s">
        <v>833</v>
      </c>
      <c r="B1166" s="60" t="s">
        <v>414</v>
      </c>
      <c r="C1166" s="59" t="s">
        <v>74</v>
      </c>
      <c r="D1166" s="59" t="s">
        <v>66</v>
      </c>
      <c r="E1166" s="161" t="s">
        <v>834</v>
      </c>
      <c r="F1166" s="59"/>
      <c r="G1166" s="58">
        <f>G1167</f>
        <v>1200</v>
      </c>
    </row>
    <row r="1167" spans="1:7" ht="25.5">
      <c r="A1167" s="28" t="s">
        <v>105</v>
      </c>
      <c r="B1167" s="60" t="s">
        <v>414</v>
      </c>
      <c r="C1167" s="59" t="s">
        <v>74</v>
      </c>
      <c r="D1167" s="59" t="s">
        <v>66</v>
      </c>
      <c r="E1167" s="161" t="s">
        <v>834</v>
      </c>
      <c r="F1167" s="59" t="s">
        <v>106</v>
      </c>
      <c r="G1167" s="58">
        <f>G1168</f>
        <v>1200</v>
      </c>
    </row>
    <row r="1168" spans="1:7" ht="12.75">
      <c r="A1168" s="28" t="s">
        <v>111</v>
      </c>
      <c r="B1168" s="60" t="s">
        <v>414</v>
      </c>
      <c r="C1168" s="59" t="s">
        <v>74</v>
      </c>
      <c r="D1168" s="59" t="s">
        <v>66</v>
      </c>
      <c r="E1168" s="161" t="s">
        <v>834</v>
      </c>
      <c r="F1168" s="59" t="s">
        <v>112</v>
      </c>
      <c r="G1168" s="58">
        <f>G1169</f>
        <v>1200</v>
      </c>
    </row>
    <row r="1169" spans="1:7" ht="12.75">
      <c r="A1169" s="28" t="s">
        <v>115</v>
      </c>
      <c r="B1169" s="60" t="s">
        <v>414</v>
      </c>
      <c r="C1169" s="59" t="s">
        <v>74</v>
      </c>
      <c r="D1169" s="59" t="s">
        <v>66</v>
      </c>
      <c r="E1169" s="161" t="s">
        <v>834</v>
      </c>
      <c r="F1169" s="59" t="s">
        <v>116</v>
      </c>
      <c r="G1169" s="58">
        <f>'МП пр.5'!G385</f>
        <v>1200</v>
      </c>
    </row>
    <row r="1170" spans="1:7" ht="12.75">
      <c r="A1170" s="126" t="s">
        <v>833</v>
      </c>
      <c r="B1170" s="60" t="s">
        <v>414</v>
      </c>
      <c r="C1170" s="59" t="s">
        <v>74</v>
      </c>
      <c r="D1170" s="59" t="s">
        <v>66</v>
      </c>
      <c r="E1170" s="39" t="s">
        <v>835</v>
      </c>
      <c r="F1170" s="59"/>
      <c r="G1170" s="58">
        <f>G1171</f>
        <v>10</v>
      </c>
    </row>
    <row r="1171" spans="1:7" ht="25.5">
      <c r="A1171" s="28" t="s">
        <v>105</v>
      </c>
      <c r="B1171" s="60" t="s">
        <v>414</v>
      </c>
      <c r="C1171" s="59" t="s">
        <v>74</v>
      </c>
      <c r="D1171" s="59" t="s">
        <v>66</v>
      </c>
      <c r="E1171" s="39" t="s">
        <v>835</v>
      </c>
      <c r="F1171" s="59" t="s">
        <v>106</v>
      </c>
      <c r="G1171" s="58">
        <f>G1172</f>
        <v>10</v>
      </c>
    </row>
    <row r="1172" spans="1:7" ht="12.75">
      <c r="A1172" s="28" t="s">
        <v>111</v>
      </c>
      <c r="B1172" s="60" t="s">
        <v>414</v>
      </c>
      <c r="C1172" s="59" t="s">
        <v>74</v>
      </c>
      <c r="D1172" s="59" t="s">
        <v>66</v>
      </c>
      <c r="E1172" s="39" t="s">
        <v>835</v>
      </c>
      <c r="F1172" s="59" t="s">
        <v>112</v>
      </c>
      <c r="G1172" s="58">
        <f>G1173</f>
        <v>10</v>
      </c>
    </row>
    <row r="1173" spans="1:7" ht="12.75">
      <c r="A1173" s="28" t="s">
        <v>115</v>
      </c>
      <c r="B1173" s="60" t="s">
        <v>414</v>
      </c>
      <c r="C1173" s="59" t="s">
        <v>74</v>
      </c>
      <c r="D1173" s="59" t="s">
        <v>66</v>
      </c>
      <c r="E1173" s="39" t="s">
        <v>835</v>
      </c>
      <c r="F1173" s="59" t="s">
        <v>116</v>
      </c>
      <c r="G1173" s="58">
        <f>'МП пр.5'!G392</f>
        <v>10</v>
      </c>
    </row>
    <row r="1174" spans="1:7" ht="25.5">
      <c r="A1174" s="126" t="s">
        <v>513</v>
      </c>
      <c r="B1174" s="60" t="s">
        <v>414</v>
      </c>
      <c r="C1174" s="59" t="s">
        <v>74</v>
      </c>
      <c r="D1174" s="59" t="s">
        <v>66</v>
      </c>
      <c r="E1174" s="161" t="s">
        <v>180</v>
      </c>
      <c r="F1174" s="59"/>
      <c r="G1174" s="58">
        <f>G1175</f>
        <v>140</v>
      </c>
    </row>
    <row r="1175" spans="1:7" ht="25.5">
      <c r="A1175" s="126" t="s">
        <v>251</v>
      </c>
      <c r="B1175" s="60" t="s">
        <v>414</v>
      </c>
      <c r="C1175" s="59" t="s">
        <v>74</v>
      </c>
      <c r="D1175" s="59" t="s">
        <v>66</v>
      </c>
      <c r="E1175" s="161" t="s">
        <v>325</v>
      </c>
      <c r="F1175" s="59"/>
      <c r="G1175" s="58">
        <f>G1176+G1180+G1184</f>
        <v>140</v>
      </c>
    </row>
    <row r="1176" spans="1:7" ht="12.75">
      <c r="A1176" s="126" t="s">
        <v>179</v>
      </c>
      <c r="B1176" s="60" t="s">
        <v>414</v>
      </c>
      <c r="C1176" s="59" t="s">
        <v>74</v>
      </c>
      <c r="D1176" s="59" t="s">
        <v>66</v>
      </c>
      <c r="E1176" s="161" t="s">
        <v>326</v>
      </c>
      <c r="F1176" s="59"/>
      <c r="G1176" s="58">
        <f>G1177</f>
        <v>99.8</v>
      </c>
    </row>
    <row r="1177" spans="1:7" ht="25.5">
      <c r="A1177" s="28" t="s">
        <v>105</v>
      </c>
      <c r="B1177" s="60" t="s">
        <v>414</v>
      </c>
      <c r="C1177" s="59" t="s">
        <v>74</v>
      </c>
      <c r="D1177" s="59" t="s">
        <v>66</v>
      </c>
      <c r="E1177" s="161" t="s">
        <v>326</v>
      </c>
      <c r="F1177" s="59" t="s">
        <v>106</v>
      </c>
      <c r="G1177" s="58">
        <f>G1178</f>
        <v>99.8</v>
      </c>
    </row>
    <row r="1178" spans="1:7" ht="12.75">
      <c r="A1178" s="28" t="s">
        <v>111</v>
      </c>
      <c r="B1178" s="60" t="s">
        <v>414</v>
      </c>
      <c r="C1178" s="59" t="s">
        <v>74</v>
      </c>
      <c r="D1178" s="59" t="s">
        <v>66</v>
      </c>
      <c r="E1178" s="161" t="s">
        <v>326</v>
      </c>
      <c r="F1178" s="59" t="s">
        <v>112</v>
      </c>
      <c r="G1178" s="58">
        <f>G1179</f>
        <v>99.8</v>
      </c>
    </row>
    <row r="1179" spans="1:7" ht="12.75">
      <c r="A1179" s="28" t="s">
        <v>115</v>
      </c>
      <c r="B1179" s="60" t="s">
        <v>414</v>
      </c>
      <c r="C1179" s="59" t="s">
        <v>74</v>
      </c>
      <c r="D1179" s="59" t="s">
        <v>66</v>
      </c>
      <c r="E1179" s="161" t="s">
        <v>326</v>
      </c>
      <c r="F1179" s="59" t="s">
        <v>116</v>
      </c>
      <c r="G1179" s="58">
        <f>'МП пр.5'!G545</f>
        <v>99.8</v>
      </c>
    </row>
    <row r="1180" spans="1:7" ht="12.75">
      <c r="A1180" s="126" t="s">
        <v>182</v>
      </c>
      <c r="B1180" s="60" t="s">
        <v>414</v>
      </c>
      <c r="C1180" s="59" t="s">
        <v>74</v>
      </c>
      <c r="D1180" s="59" t="s">
        <v>66</v>
      </c>
      <c r="E1180" s="161" t="s">
        <v>330</v>
      </c>
      <c r="F1180" s="59"/>
      <c r="G1180" s="58">
        <f>G1181</f>
        <v>0</v>
      </c>
    </row>
    <row r="1181" spans="1:7" ht="25.5">
      <c r="A1181" s="28" t="s">
        <v>105</v>
      </c>
      <c r="B1181" s="60" t="s">
        <v>414</v>
      </c>
      <c r="C1181" s="59" t="s">
        <v>74</v>
      </c>
      <c r="D1181" s="59" t="s">
        <v>66</v>
      </c>
      <c r="E1181" s="161" t="s">
        <v>330</v>
      </c>
      <c r="F1181" s="59" t="s">
        <v>106</v>
      </c>
      <c r="G1181" s="58">
        <f>G1182</f>
        <v>0</v>
      </c>
    </row>
    <row r="1182" spans="1:7" ht="12.75">
      <c r="A1182" s="28" t="s">
        <v>111</v>
      </c>
      <c r="B1182" s="60" t="s">
        <v>414</v>
      </c>
      <c r="C1182" s="59" t="s">
        <v>74</v>
      </c>
      <c r="D1182" s="59" t="s">
        <v>66</v>
      </c>
      <c r="E1182" s="161" t="s">
        <v>330</v>
      </c>
      <c r="F1182" s="59" t="s">
        <v>112</v>
      </c>
      <c r="G1182" s="58">
        <f>G1183</f>
        <v>0</v>
      </c>
    </row>
    <row r="1183" spans="1:7" ht="12.75">
      <c r="A1183" s="28" t="s">
        <v>115</v>
      </c>
      <c r="B1183" s="60" t="s">
        <v>414</v>
      </c>
      <c r="C1183" s="59" t="s">
        <v>74</v>
      </c>
      <c r="D1183" s="59" t="s">
        <v>66</v>
      </c>
      <c r="E1183" s="161" t="s">
        <v>330</v>
      </c>
      <c r="F1183" s="59" t="s">
        <v>116</v>
      </c>
      <c r="G1183" s="58">
        <f>'МП пр.5'!G569</f>
        <v>0</v>
      </c>
    </row>
    <row r="1184" spans="1:7" ht="25.5">
      <c r="A1184" s="126" t="s">
        <v>611</v>
      </c>
      <c r="B1184" s="60" t="s">
        <v>414</v>
      </c>
      <c r="C1184" s="59" t="s">
        <v>74</v>
      </c>
      <c r="D1184" s="59" t="s">
        <v>66</v>
      </c>
      <c r="E1184" s="161" t="s">
        <v>328</v>
      </c>
      <c r="F1184" s="59"/>
      <c r="G1184" s="58">
        <f>G1185</f>
        <v>40.2</v>
      </c>
    </row>
    <row r="1185" spans="1:7" ht="25.5">
      <c r="A1185" s="28" t="s">
        <v>105</v>
      </c>
      <c r="B1185" s="60" t="s">
        <v>414</v>
      </c>
      <c r="C1185" s="59" t="s">
        <v>74</v>
      </c>
      <c r="D1185" s="59" t="s">
        <v>66</v>
      </c>
      <c r="E1185" s="161" t="s">
        <v>328</v>
      </c>
      <c r="F1185" s="59" t="s">
        <v>106</v>
      </c>
      <c r="G1185" s="58">
        <f>G1186</f>
        <v>40.2</v>
      </c>
    </row>
    <row r="1186" spans="1:7" ht="12.75">
      <c r="A1186" s="28" t="s">
        <v>111</v>
      </c>
      <c r="B1186" s="60" t="s">
        <v>414</v>
      </c>
      <c r="C1186" s="59" t="s">
        <v>74</v>
      </c>
      <c r="D1186" s="59" t="s">
        <v>66</v>
      </c>
      <c r="E1186" s="161" t="s">
        <v>328</v>
      </c>
      <c r="F1186" s="59" t="s">
        <v>112</v>
      </c>
      <c r="G1186" s="58">
        <f>G1187</f>
        <v>40.2</v>
      </c>
    </row>
    <row r="1187" spans="1:7" ht="12.75">
      <c r="A1187" s="28" t="s">
        <v>115</v>
      </c>
      <c r="B1187" s="60" t="s">
        <v>414</v>
      </c>
      <c r="C1187" s="59" t="s">
        <v>74</v>
      </c>
      <c r="D1187" s="59" t="s">
        <v>66</v>
      </c>
      <c r="E1187" s="161" t="s">
        <v>328</v>
      </c>
      <c r="F1187" s="59" t="s">
        <v>116</v>
      </c>
      <c r="G1187" s="58">
        <f>'МП пр.5'!G633</f>
        <v>40.2</v>
      </c>
    </row>
    <row r="1188" spans="1:7" ht="12.75">
      <c r="A1188" s="28" t="s">
        <v>360</v>
      </c>
      <c r="B1188" s="60" t="s">
        <v>414</v>
      </c>
      <c r="C1188" s="59" t="s">
        <v>74</v>
      </c>
      <c r="D1188" s="59" t="s">
        <v>66</v>
      </c>
      <c r="E1188" s="59" t="s">
        <v>215</v>
      </c>
      <c r="F1188" s="59"/>
      <c r="G1188" s="58">
        <f>G1189</f>
        <v>159.1</v>
      </c>
    </row>
    <row r="1189" spans="1:7" ht="12.75">
      <c r="A1189" s="28" t="s">
        <v>361</v>
      </c>
      <c r="B1189" s="60" t="s">
        <v>414</v>
      </c>
      <c r="C1189" s="59" t="s">
        <v>74</v>
      </c>
      <c r="D1189" s="59" t="s">
        <v>66</v>
      </c>
      <c r="E1189" s="59" t="s">
        <v>358</v>
      </c>
      <c r="F1189" s="59"/>
      <c r="G1189" s="58">
        <f>G1190+G1194</f>
        <v>159.1</v>
      </c>
    </row>
    <row r="1190" spans="1:7" ht="51">
      <c r="A1190" s="28" t="s">
        <v>287</v>
      </c>
      <c r="B1190" s="60" t="s">
        <v>414</v>
      </c>
      <c r="C1190" s="59" t="s">
        <v>74</v>
      </c>
      <c r="D1190" s="59" t="s">
        <v>66</v>
      </c>
      <c r="E1190" s="59" t="s">
        <v>359</v>
      </c>
      <c r="F1190" s="59"/>
      <c r="G1190" s="58">
        <f>G1191</f>
        <v>141.1</v>
      </c>
    </row>
    <row r="1191" spans="1:7" ht="25.5">
      <c r="A1191" s="28" t="s">
        <v>105</v>
      </c>
      <c r="B1191" s="60" t="s">
        <v>414</v>
      </c>
      <c r="C1191" s="59" t="s">
        <v>74</v>
      </c>
      <c r="D1191" s="59" t="s">
        <v>66</v>
      </c>
      <c r="E1191" s="59" t="s">
        <v>359</v>
      </c>
      <c r="F1191" s="59" t="s">
        <v>106</v>
      </c>
      <c r="G1191" s="58">
        <f>G1192</f>
        <v>141.1</v>
      </c>
    </row>
    <row r="1192" spans="1:7" ht="12.75">
      <c r="A1192" s="28" t="s">
        <v>111</v>
      </c>
      <c r="B1192" s="60" t="s">
        <v>414</v>
      </c>
      <c r="C1192" s="59" t="s">
        <v>74</v>
      </c>
      <c r="D1192" s="59" t="s">
        <v>66</v>
      </c>
      <c r="E1192" s="59" t="s">
        <v>359</v>
      </c>
      <c r="F1192" s="59" t="s">
        <v>112</v>
      </c>
      <c r="G1192" s="58">
        <f>G1193</f>
        <v>141.1</v>
      </c>
    </row>
    <row r="1193" spans="1:7" ht="12.75">
      <c r="A1193" s="28" t="s">
        <v>115</v>
      </c>
      <c r="B1193" s="60" t="s">
        <v>414</v>
      </c>
      <c r="C1193" s="59" t="s">
        <v>74</v>
      </c>
      <c r="D1193" s="59" t="s">
        <v>66</v>
      </c>
      <c r="E1193" s="59" t="s">
        <v>359</v>
      </c>
      <c r="F1193" s="59" t="s">
        <v>116</v>
      </c>
      <c r="G1193" s="58">
        <f>350-50-107-51.9</f>
        <v>141.1</v>
      </c>
    </row>
    <row r="1194" spans="1:7" ht="12.75">
      <c r="A1194" s="28" t="s">
        <v>235</v>
      </c>
      <c r="B1194" s="60" t="s">
        <v>414</v>
      </c>
      <c r="C1194" s="59" t="s">
        <v>74</v>
      </c>
      <c r="D1194" s="59" t="s">
        <v>66</v>
      </c>
      <c r="E1194" s="59" t="s">
        <v>362</v>
      </c>
      <c r="F1194" s="59"/>
      <c r="G1194" s="58">
        <f>G1195</f>
        <v>18</v>
      </c>
    </row>
    <row r="1195" spans="1:7" ht="25.5">
      <c r="A1195" s="28" t="s">
        <v>105</v>
      </c>
      <c r="B1195" s="60" t="s">
        <v>414</v>
      </c>
      <c r="C1195" s="59" t="s">
        <v>74</v>
      </c>
      <c r="D1195" s="59" t="s">
        <v>66</v>
      </c>
      <c r="E1195" s="59" t="s">
        <v>362</v>
      </c>
      <c r="F1195" s="59" t="s">
        <v>106</v>
      </c>
      <c r="G1195" s="58">
        <f>G1196</f>
        <v>18</v>
      </c>
    </row>
    <row r="1196" spans="1:7" ht="12.75">
      <c r="A1196" s="28" t="s">
        <v>111</v>
      </c>
      <c r="B1196" s="60" t="s">
        <v>414</v>
      </c>
      <c r="C1196" s="59" t="s">
        <v>74</v>
      </c>
      <c r="D1196" s="59" t="s">
        <v>66</v>
      </c>
      <c r="E1196" s="59" t="s">
        <v>362</v>
      </c>
      <c r="F1196" s="59" t="s">
        <v>112</v>
      </c>
      <c r="G1196" s="58">
        <f>G1197</f>
        <v>18</v>
      </c>
    </row>
    <row r="1197" spans="1:7" ht="12.75">
      <c r="A1197" s="28" t="s">
        <v>115</v>
      </c>
      <c r="B1197" s="60" t="s">
        <v>414</v>
      </c>
      <c r="C1197" s="59" t="s">
        <v>74</v>
      </c>
      <c r="D1197" s="59" t="s">
        <v>66</v>
      </c>
      <c r="E1197" s="59" t="s">
        <v>362</v>
      </c>
      <c r="F1197" s="59" t="s">
        <v>116</v>
      </c>
      <c r="G1197" s="58">
        <f>11+7</f>
        <v>18</v>
      </c>
    </row>
    <row r="1198" spans="1:7" ht="12.75">
      <c r="A1198" s="28" t="s">
        <v>29</v>
      </c>
      <c r="B1198" s="60" t="s">
        <v>414</v>
      </c>
      <c r="C1198" s="59" t="s">
        <v>74</v>
      </c>
      <c r="D1198" s="59" t="s">
        <v>66</v>
      </c>
      <c r="E1198" s="59" t="s">
        <v>232</v>
      </c>
      <c r="F1198" s="59"/>
      <c r="G1198" s="58">
        <f>G1199</f>
        <v>16584.6</v>
      </c>
    </row>
    <row r="1199" spans="1:7" ht="38.25">
      <c r="A1199" s="28" t="s">
        <v>473</v>
      </c>
      <c r="B1199" s="60" t="s">
        <v>414</v>
      </c>
      <c r="C1199" s="59" t="s">
        <v>74</v>
      </c>
      <c r="D1199" s="59" t="s">
        <v>66</v>
      </c>
      <c r="E1199" s="59" t="s">
        <v>385</v>
      </c>
      <c r="F1199" s="59"/>
      <c r="G1199" s="58">
        <f>G1200</f>
        <v>16584.6</v>
      </c>
    </row>
    <row r="1200" spans="1:7" ht="12.75">
      <c r="A1200" s="28" t="s">
        <v>249</v>
      </c>
      <c r="B1200" s="60" t="s">
        <v>414</v>
      </c>
      <c r="C1200" s="59" t="s">
        <v>74</v>
      </c>
      <c r="D1200" s="59" t="s">
        <v>66</v>
      </c>
      <c r="E1200" s="59" t="s">
        <v>386</v>
      </c>
      <c r="F1200" s="59"/>
      <c r="G1200" s="58">
        <f>G1201</f>
        <v>16584.6</v>
      </c>
    </row>
    <row r="1201" spans="1:7" ht="25.5">
      <c r="A1201" s="28" t="s">
        <v>105</v>
      </c>
      <c r="B1201" s="60" t="s">
        <v>414</v>
      </c>
      <c r="C1201" s="59" t="s">
        <v>74</v>
      </c>
      <c r="D1201" s="59" t="s">
        <v>66</v>
      </c>
      <c r="E1201" s="59" t="s">
        <v>386</v>
      </c>
      <c r="F1201" s="59" t="s">
        <v>106</v>
      </c>
      <c r="G1201" s="58">
        <f>G1202</f>
        <v>16584.6</v>
      </c>
    </row>
    <row r="1202" spans="1:7" ht="12.75">
      <c r="A1202" s="28" t="s">
        <v>111</v>
      </c>
      <c r="B1202" s="60" t="s">
        <v>414</v>
      </c>
      <c r="C1202" s="59" t="s">
        <v>74</v>
      </c>
      <c r="D1202" s="59" t="s">
        <v>66</v>
      </c>
      <c r="E1202" s="59" t="s">
        <v>386</v>
      </c>
      <c r="F1202" s="59" t="s">
        <v>112</v>
      </c>
      <c r="G1202" s="58">
        <f>G1203+G1204</f>
        <v>16584.6</v>
      </c>
    </row>
    <row r="1203" spans="1:7" ht="38.25">
      <c r="A1203" s="28" t="s">
        <v>113</v>
      </c>
      <c r="B1203" s="60" t="s">
        <v>414</v>
      </c>
      <c r="C1203" s="59" t="s">
        <v>74</v>
      </c>
      <c r="D1203" s="59" t="s">
        <v>66</v>
      </c>
      <c r="E1203" s="59" t="s">
        <v>386</v>
      </c>
      <c r="F1203" s="59" t="s">
        <v>114</v>
      </c>
      <c r="G1203" s="58">
        <f>21599.6-5926</f>
        <v>15673.599999999999</v>
      </c>
    </row>
    <row r="1204" spans="1:7" ht="12.75">
      <c r="A1204" s="28" t="s">
        <v>115</v>
      </c>
      <c r="B1204" s="60" t="s">
        <v>414</v>
      </c>
      <c r="C1204" s="59" t="s">
        <v>74</v>
      </c>
      <c r="D1204" s="59" t="s">
        <v>66</v>
      </c>
      <c r="E1204" s="59" t="s">
        <v>386</v>
      </c>
      <c r="F1204" s="59" t="s">
        <v>116</v>
      </c>
      <c r="G1204" s="58">
        <f>300+185+426</f>
        <v>911</v>
      </c>
    </row>
    <row r="1205" spans="1:7" ht="12.75">
      <c r="A1205" s="28" t="s">
        <v>30</v>
      </c>
      <c r="B1205" s="60" t="s">
        <v>414</v>
      </c>
      <c r="C1205" s="59" t="s">
        <v>74</v>
      </c>
      <c r="D1205" s="59" t="s">
        <v>66</v>
      </c>
      <c r="E1205" s="59" t="s">
        <v>231</v>
      </c>
      <c r="F1205" s="59"/>
      <c r="G1205" s="58">
        <f>G1206</f>
        <v>100</v>
      </c>
    </row>
    <row r="1206" spans="1:7" ht="12.75">
      <c r="A1206" s="28" t="s">
        <v>387</v>
      </c>
      <c r="B1206" s="60" t="s">
        <v>414</v>
      </c>
      <c r="C1206" s="59" t="s">
        <v>74</v>
      </c>
      <c r="D1206" s="59" t="s">
        <v>66</v>
      </c>
      <c r="E1206" s="59" t="s">
        <v>408</v>
      </c>
      <c r="F1206" s="59"/>
      <c r="G1206" s="58">
        <f>G1207</f>
        <v>100</v>
      </c>
    </row>
    <row r="1207" spans="1:7" ht="25.5">
      <c r="A1207" s="28" t="s">
        <v>105</v>
      </c>
      <c r="B1207" s="60" t="s">
        <v>414</v>
      </c>
      <c r="C1207" s="59" t="s">
        <v>74</v>
      </c>
      <c r="D1207" s="59" t="s">
        <v>66</v>
      </c>
      <c r="E1207" s="59" t="s">
        <v>408</v>
      </c>
      <c r="F1207" s="59" t="s">
        <v>106</v>
      </c>
      <c r="G1207" s="58">
        <f>G1208</f>
        <v>100</v>
      </c>
    </row>
    <row r="1208" spans="1:7" ht="12.75">
      <c r="A1208" s="28" t="s">
        <v>111</v>
      </c>
      <c r="B1208" s="60" t="s">
        <v>414</v>
      </c>
      <c r="C1208" s="59" t="s">
        <v>74</v>
      </c>
      <c r="D1208" s="59" t="s">
        <v>66</v>
      </c>
      <c r="E1208" s="59" t="s">
        <v>408</v>
      </c>
      <c r="F1208" s="59" t="s">
        <v>112</v>
      </c>
      <c r="G1208" s="58">
        <f>G1209</f>
        <v>100</v>
      </c>
    </row>
    <row r="1209" spans="1:7" ht="12.75">
      <c r="A1209" s="28" t="s">
        <v>115</v>
      </c>
      <c r="B1209" s="60" t="s">
        <v>414</v>
      </c>
      <c r="C1209" s="59" t="s">
        <v>74</v>
      </c>
      <c r="D1209" s="59" t="s">
        <v>66</v>
      </c>
      <c r="E1209" s="59" t="s">
        <v>408</v>
      </c>
      <c r="F1209" s="59" t="s">
        <v>116</v>
      </c>
      <c r="G1209" s="58">
        <f>100</f>
        <v>100</v>
      </c>
    </row>
    <row r="1210" spans="1:7" ht="25.5">
      <c r="A1210" s="61" t="s">
        <v>566</v>
      </c>
      <c r="B1210" s="62" t="s">
        <v>415</v>
      </c>
      <c r="C1210" s="63"/>
      <c r="D1210" s="63"/>
      <c r="E1210" s="63"/>
      <c r="F1210" s="63"/>
      <c r="G1210" s="64">
        <f>G1218+G1256+G1386+G1211</f>
        <v>64582.4</v>
      </c>
    </row>
    <row r="1211" spans="1:7" ht="12.75">
      <c r="A1211" s="15" t="s">
        <v>2</v>
      </c>
      <c r="B1211" s="32" t="s">
        <v>415</v>
      </c>
      <c r="C1211" s="32" t="s">
        <v>66</v>
      </c>
      <c r="D1211" s="32" t="s">
        <v>36</v>
      </c>
      <c r="E1211" s="32"/>
      <c r="F1211" s="32"/>
      <c r="G1211" s="64">
        <f aca="true" t="shared" si="7" ref="G1211:G1216">G1212</f>
        <v>7.8</v>
      </c>
    </row>
    <row r="1212" spans="1:7" ht="38.25">
      <c r="A1212" s="15" t="s">
        <v>17</v>
      </c>
      <c r="B1212" s="32" t="s">
        <v>415</v>
      </c>
      <c r="C1212" s="32" t="s">
        <v>66</v>
      </c>
      <c r="D1212" s="32" t="s">
        <v>68</v>
      </c>
      <c r="E1212" s="63"/>
      <c r="F1212" s="63"/>
      <c r="G1212" s="64">
        <f t="shared" si="7"/>
        <v>7.8</v>
      </c>
    </row>
    <row r="1213" spans="1:7" ht="12.75">
      <c r="A1213" s="16" t="s">
        <v>50</v>
      </c>
      <c r="B1213" s="19" t="s">
        <v>415</v>
      </c>
      <c r="C1213" s="19" t="s">
        <v>66</v>
      </c>
      <c r="D1213" s="19" t="s">
        <v>68</v>
      </c>
      <c r="E1213" s="19" t="s">
        <v>240</v>
      </c>
      <c r="F1213" s="63"/>
      <c r="G1213" s="58">
        <f t="shared" si="7"/>
        <v>7.8</v>
      </c>
    </row>
    <row r="1214" spans="1:7" ht="12.75">
      <c r="A1214" s="16" t="s">
        <v>237</v>
      </c>
      <c r="B1214" s="19" t="s">
        <v>415</v>
      </c>
      <c r="C1214" s="19" t="s">
        <v>66</v>
      </c>
      <c r="D1214" s="19" t="s">
        <v>68</v>
      </c>
      <c r="E1214" s="19" t="s">
        <v>242</v>
      </c>
      <c r="F1214" s="63"/>
      <c r="G1214" s="58">
        <f t="shared" si="7"/>
        <v>7.8</v>
      </c>
    </row>
    <row r="1215" spans="1:7" ht="25.5">
      <c r="A1215" s="16" t="s">
        <v>610</v>
      </c>
      <c r="B1215" s="19" t="s">
        <v>415</v>
      </c>
      <c r="C1215" s="19" t="s">
        <v>66</v>
      </c>
      <c r="D1215" s="19" t="s">
        <v>68</v>
      </c>
      <c r="E1215" s="19" t="s">
        <v>242</v>
      </c>
      <c r="F1215" s="19" t="s">
        <v>104</v>
      </c>
      <c r="G1215" s="58">
        <f t="shared" si="7"/>
        <v>7.8</v>
      </c>
    </row>
    <row r="1216" spans="1:7" ht="25.5">
      <c r="A1216" s="16" t="s">
        <v>98</v>
      </c>
      <c r="B1216" s="19" t="s">
        <v>415</v>
      </c>
      <c r="C1216" s="19" t="s">
        <v>66</v>
      </c>
      <c r="D1216" s="19" t="s">
        <v>68</v>
      </c>
      <c r="E1216" s="19" t="s">
        <v>242</v>
      </c>
      <c r="F1216" s="19" t="s">
        <v>99</v>
      </c>
      <c r="G1216" s="58">
        <f t="shared" si="7"/>
        <v>7.8</v>
      </c>
    </row>
    <row r="1217" spans="1:7" ht="25.5">
      <c r="A1217" s="16" t="s">
        <v>100</v>
      </c>
      <c r="B1217" s="19" t="s">
        <v>415</v>
      </c>
      <c r="C1217" s="19" t="s">
        <v>66</v>
      </c>
      <c r="D1217" s="19" t="s">
        <v>68</v>
      </c>
      <c r="E1217" s="19" t="s">
        <v>242</v>
      </c>
      <c r="F1217" s="19" t="s">
        <v>101</v>
      </c>
      <c r="G1217" s="58">
        <v>7.8</v>
      </c>
    </row>
    <row r="1218" spans="1:7" ht="12.75">
      <c r="A1218" s="152" t="s">
        <v>5</v>
      </c>
      <c r="B1218" s="62" t="s">
        <v>415</v>
      </c>
      <c r="C1218" s="62" t="s">
        <v>68</v>
      </c>
      <c r="D1218" s="62" t="s">
        <v>36</v>
      </c>
      <c r="E1218" s="63"/>
      <c r="F1218" s="63"/>
      <c r="G1218" s="64">
        <f>G1238+G1219</f>
        <v>6661.900000000001</v>
      </c>
    </row>
    <row r="1219" spans="1:7" s="57" customFormat="1" ht="12.75">
      <c r="A1219" s="61" t="s">
        <v>567</v>
      </c>
      <c r="B1219" s="62" t="s">
        <v>415</v>
      </c>
      <c r="C1219" s="62" t="s">
        <v>68</v>
      </c>
      <c r="D1219" s="62" t="s">
        <v>76</v>
      </c>
      <c r="E1219" s="63"/>
      <c r="F1219" s="63"/>
      <c r="G1219" s="64">
        <f>G1220+G1230</f>
        <v>1045.3</v>
      </c>
    </row>
    <row r="1220" spans="1:7" ht="25.5">
      <c r="A1220" s="28" t="s">
        <v>431</v>
      </c>
      <c r="B1220" s="59" t="s">
        <v>415</v>
      </c>
      <c r="C1220" s="162" t="s">
        <v>68</v>
      </c>
      <c r="D1220" s="162" t="s">
        <v>76</v>
      </c>
      <c r="E1220" s="161" t="s">
        <v>171</v>
      </c>
      <c r="F1220" s="63"/>
      <c r="G1220" s="64">
        <f>G1221</f>
        <v>1044.8</v>
      </c>
    </row>
    <row r="1221" spans="1:7" ht="38.25">
      <c r="A1221" s="28" t="str">
        <f>'МП пр.5'!A813</f>
        <v>Основное мероприятие "Составление декларации безопасности на объект "Берегоукрепление и устройство дамбы обвалования в г. Сусумане на р. "Берелех" (включая государственную экспертизу)"</v>
      </c>
      <c r="B1221" s="59" t="s">
        <v>415</v>
      </c>
      <c r="C1221" s="59" t="s">
        <v>68</v>
      </c>
      <c r="D1221" s="59" t="s">
        <v>76</v>
      </c>
      <c r="E1221" s="161" t="s">
        <v>569</v>
      </c>
      <c r="F1221" s="59"/>
      <c r="G1221" s="58">
        <f>G1222+G1226</f>
        <v>1044.8</v>
      </c>
    </row>
    <row r="1222" spans="1:7" ht="38.25">
      <c r="A1222" s="28" t="str">
        <f>'МП пр.5'!A814</f>
        <v>Финансирование мероприятия "Составление декларации безопасности на объект "Берегоукрепление и устройство дамбы обвалования в г. Сусумане на р. "Берелех" (включая государственную экспертизу)" за счет средств областного бюджета</v>
      </c>
      <c r="B1222" s="59" t="s">
        <v>415</v>
      </c>
      <c r="C1222" s="59" t="s">
        <v>68</v>
      </c>
      <c r="D1222" s="59" t="s">
        <v>76</v>
      </c>
      <c r="E1222" s="161" t="s">
        <v>570</v>
      </c>
      <c r="F1222" s="59"/>
      <c r="G1222" s="58">
        <f>G1223</f>
        <v>991.8</v>
      </c>
    </row>
    <row r="1223" spans="1:7" ht="25.5">
      <c r="A1223" s="28" t="s">
        <v>610</v>
      </c>
      <c r="B1223" s="59" t="s">
        <v>415</v>
      </c>
      <c r="C1223" s="59" t="s">
        <v>68</v>
      </c>
      <c r="D1223" s="59" t="s">
        <v>76</v>
      </c>
      <c r="E1223" s="161" t="s">
        <v>570</v>
      </c>
      <c r="F1223" s="59" t="s">
        <v>104</v>
      </c>
      <c r="G1223" s="58">
        <f>G1224</f>
        <v>991.8</v>
      </c>
    </row>
    <row r="1224" spans="1:7" ht="25.5">
      <c r="A1224" s="28" t="s">
        <v>98</v>
      </c>
      <c r="B1224" s="59" t="s">
        <v>415</v>
      </c>
      <c r="C1224" s="59" t="s">
        <v>68</v>
      </c>
      <c r="D1224" s="59" t="s">
        <v>76</v>
      </c>
      <c r="E1224" s="161" t="s">
        <v>570</v>
      </c>
      <c r="F1224" s="59" t="s">
        <v>99</v>
      </c>
      <c r="G1224" s="58">
        <f>G1225</f>
        <v>991.8</v>
      </c>
    </row>
    <row r="1225" spans="1:7" ht="25.5">
      <c r="A1225" s="28" t="s">
        <v>100</v>
      </c>
      <c r="B1225" s="59" t="s">
        <v>415</v>
      </c>
      <c r="C1225" s="59" t="s">
        <v>68</v>
      </c>
      <c r="D1225" s="59" t="s">
        <v>76</v>
      </c>
      <c r="E1225" s="161" t="s">
        <v>570</v>
      </c>
      <c r="F1225" s="59" t="s">
        <v>101</v>
      </c>
      <c r="G1225" s="58">
        <f>'МП пр.5'!G820</f>
        <v>991.8</v>
      </c>
    </row>
    <row r="1226" spans="1:7" ht="38.25">
      <c r="A1226" s="28" t="str">
        <f>'МП пр.5'!A821</f>
        <v>Софинансирование мероприятия "Составление декларации безопасности на объект "Берегоукрепление и устройство дамбы обвалования в г. Сусумане на р. "Берелех" (включая государственную экспертизу) </v>
      </c>
      <c r="B1226" s="59" t="s">
        <v>415</v>
      </c>
      <c r="C1226" s="59" t="s">
        <v>68</v>
      </c>
      <c r="D1226" s="59" t="s">
        <v>76</v>
      </c>
      <c r="E1226" s="161" t="s">
        <v>572</v>
      </c>
      <c r="F1226" s="59"/>
      <c r="G1226" s="58">
        <f>G1227</f>
        <v>53</v>
      </c>
    </row>
    <row r="1227" spans="1:7" ht="25.5">
      <c r="A1227" s="28" t="s">
        <v>610</v>
      </c>
      <c r="B1227" s="59" t="s">
        <v>415</v>
      </c>
      <c r="C1227" s="59" t="s">
        <v>68</v>
      </c>
      <c r="D1227" s="59" t="s">
        <v>76</v>
      </c>
      <c r="E1227" s="161" t="s">
        <v>572</v>
      </c>
      <c r="F1227" s="59" t="s">
        <v>104</v>
      </c>
      <c r="G1227" s="58">
        <f>G1228</f>
        <v>53</v>
      </c>
    </row>
    <row r="1228" spans="1:7" ht="25.5">
      <c r="A1228" s="28" t="s">
        <v>98</v>
      </c>
      <c r="B1228" s="59" t="s">
        <v>415</v>
      </c>
      <c r="C1228" s="59" t="s">
        <v>68</v>
      </c>
      <c r="D1228" s="59" t="s">
        <v>76</v>
      </c>
      <c r="E1228" s="161" t="s">
        <v>572</v>
      </c>
      <c r="F1228" s="59" t="s">
        <v>99</v>
      </c>
      <c r="G1228" s="58">
        <f>G1229</f>
        <v>53</v>
      </c>
    </row>
    <row r="1229" spans="1:7" ht="25.5">
      <c r="A1229" s="28" t="s">
        <v>100</v>
      </c>
      <c r="B1229" s="59" t="s">
        <v>415</v>
      </c>
      <c r="C1229" s="59" t="s">
        <v>68</v>
      </c>
      <c r="D1229" s="59" t="s">
        <v>76</v>
      </c>
      <c r="E1229" s="161" t="s">
        <v>572</v>
      </c>
      <c r="F1229" s="59" t="s">
        <v>101</v>
      </c>
      <c r="G1229" s="58">
        <f>'МП пр.5'!G827</f>
        <v>53</v>
      </c>
    </row>
    <row r="1230" spans="1:7" ht="12.75">
      <c r="A1230" s="16" t="s">
        <v>842</v>
      </c>
      <c r="B1230" s="19" t="s">
        <v>415</v>
      </c>
      <c r="C1230" s="19" t="s">
        <v>68</v>
      </c>
      <c r="D1230" s="19" t="s">
        <v>76</v>
      </c>
      <c r="E1230" s="19" t="s">
        <v>843</v>
      </c>
      <c r="F1230" s="19"/>
      <c r="G1230" s="19">
        <f>G1231</f>
        <v>0.5</v>
      </c>
    </row>
    <row r="1231" spans="1:7" ht="12.75">
      <c r="A1231" s="16" t="s">
        <v>844</v>
      </c>
      <c r="B1231" s="19" t="s">
        <v>415</v>
      </c>
      <c r="C1231" s="19" t="s">
        <v>68</v>
      </c>
      <c r="D1231" s="19" t="s">
        <v>76</v>
      </c>
      <c r="E1231" s="19" t="s">
        <v>845</v>
      </c>
      <c r="F1231" s="19"/>
      <c r="G1231" s="19">
        <f>G1232+G1235</f>
        <v>0.5</v>
      </c>
    </row>
    <row r="1232" spans="1:7" ht="25.5">
      <c r="A1232" s="16" t="s">
        <v>610</v>
      </c>
      <c r="B1232" s="19" t="s">
        <v>415</v>
      </c>
      <c r="C1232" s="19" t="s">
        <v>68</v>
      </c>
      <c r="D1232" s="19" t="s">
        <v>76</v>
      </c>
      <c r="E1232" s="19" t="s">
        <v>845</v>
      </c>
      <c r="F1232" s="19" t="s">
        <v>104</v>
      </c>
      <c r="G1232" s="181">
        <f>G1233</f>
        <v>0.1</v>
      </c>
    </row>
    <row r="1233" spans="1:7" ht="25.5">
      <c r="A1233" s="16" t="s">
        <v>98</v>
      </c>
      <c r="B1233" s="19" t="s">
        <v>415</v>
      </c>
      <c r="C1233" s="19" t="s">
        <v>68</v>
      </c>
      <c r="D1233" s="19" t="s">
        <v>76</v>
      </c>
      <c r="E1233" s="19" t="s">
        <v>845</v>
      </c>
      <c r="F1233" s="19" t="s">
        <v>99</v>
      </c>
      <c r="G1233" s="181">
        <f>G1234</f>
        <v>0.1</v>
      </c>
    </row>
    <row r="1234" spans="1:7" ht="25.5">
      <c r="A1234" s="16" t="s">
        <v>100</v>
      </c>
      <c r="B1234" s="19" t="s">
        <v>415</v>
      </c>
      <c r="C1234" s="19" t="s">
        <v>68</v>
      </c>
      <c r="D1234" s="19" t="s">
        <v>76</v>
      </c>
      <c r="E1234" s="19" t="s">
        <v>845</v>
      </c>
      <c r="F1234" s="19" t="s">
        <v>101</v>
      </c>
      <c r="G1234" s="181">
        <v>0.1</v>
      </c>
    </row>
    <row r="1235" spans="1:7" ht="12.75">
      <c r="A1235" s="16" t="s">
        <v>128</v>
      </c>
      <c r="B1235" s="19" t="s">
        <v>415</v>
      </c>
      <c r="C1235" s="19" t="s">
        <v>68</v>
      </c>
      <c r="D1235" s="19" t="s">
        <v>76</v>
      </c>
      <c r="E1235" s="19" t="s">
        <v>845</v>
      </c>
      <c r="F1235" s="19" t="s">
        <v>129</v>
      </c>
      <c r="G1235" s="19" t="str">
        <f>G1236</f>
        <v>0,4</v>
      </c>
    </row>
    <row r="1236" spans="1:7" ht="12.75">
      <c r="A1236" s="16" t="s">
        <v>131</v>
      </c>
      <c r="B1236" s="19" t="s">
        <v>415</v>
      </c>
      <c r="C1236" s="19" t="s">
        <v>68</v>
      </c>
      <c r="D1236" s="19" t="s">
        <v>76</v>
      </c>
      <c r="E1236" s="19" t="s">
        <v>845</v>
      </c>
      <c r="F1236" s="19" t="s">
        <v>132</v>
      </c>
      <c r="G1236" s="19" t="str">
        <f>G1237</f>
        <v>0,4</v>
      </c>
    </row>
    <row r="1237" spans="1:7" ht="12.75">
      <c r="A1237" s="16" t="s">
        <v>162</v>
      </c>
      <c r="B1237" s="19" t="s">
        <v>415</v>
      </c>
      <c r="C1237" s="19" t="s">
        <v>68</v>
      </c>
      <c r="D1237" s="19" t="s">
        <v>76</v>
      </c>
      <c r="E1237" s="19" t="s">
        <v>845</v>
      </c>
      <c r="F1237" s="19" t="s">
        <v>163</v>
      </c>
      <c r="G1237" s="19" t="s">
        <v>846</v>
      </c>
    </row>
    <row r="1238" spans="1:7" ht="12.75">
      <c r="A1238" s="61" t="s">
        <v>82</v>
      </c>
      <c r="B1238" s="62" t="s">
        <v>415</v>
      </c>
      <c r="C1238" s="62" t="s">
        <v>68</v>
      </c>
      <c r="D1238" s="62" t="s">
        <v>75</v>
      </c>
      <c r="E1238" s="63"/>
      <c r="F1238" s="63"/>
      <c r="G1238" s="64">
        <f>G1251+G1239+G1245</f>
        <v>5616.6</v>
      </c>
    </row>
    <row r="1239" spans="1:7" ht="25.5">
      <c r="A1239" s="126" t="s">
        <v>573</v>
      </c>
      <c r="B1239" s="60" t="s">
        <v>415</v>
      </c>
      <c r="C1239" s="59" t="s">
        <v>68</v>
      </c>
      <c r="D1239" s="59" t="s">
        <v>75</v>
      </c>
      <c r="E1239" s="161" t="s">
        <v>574</v>
      </c>
      <c r="F1239" s="59"/>
      <c r="G1239" s="58">
        <f>G1240</f>
        <v>4316.6</v>
      </c>
    </row>
    <row r="1240" spans="1:7" ht="12.75">
      <c r="A1240" s="126" t="s">
        <v>281</v>
      </c>
      <c r="B1240" s="60" t="s">
        <v>415</v>
      </c>
      <c r="C1240" s="59" t="s">
        <v>68</v>
      </c>
      <c r="D1240" s="59" t="s">
        <v>75</v>
      </c>
      <c r="E1240" s="161" t="s">
        <v>575</v>
      </c>
      <c r="F1240" s="59"/>
      <c r="G1240" s="58">
        <f>G1241</f>
        <v>4316.6</v>
      </c>
    </row>
    <row r="1241" spans="1:7" ht="25.5">
      <c r="A1241" s="126" t="s">
        <v>576</v>
      </c>
      <c r="B1241" s="60" t="s">
        <v>415</v>
      </c>
      <c r="C1241" s="59" t="s">
        <v>68</v>
      </c>
      <c r="D1241" s="59" t="s">
        <v>75</v>
      </c>
      <c r="E1241" s="161" t="s">
        <v>577</v>
      </c>
      <c r="F1241" s="59"/>
      <c r="G1241" s="58">
        <f>G1242</f>
        <v>4316.6</v>
      </c>
    </row>
    <row r="1242" spans="1:7" ht="25.5">
      <c r="A1242" s="28" t="s">
        <v>610</v>
      </c>
      <c r="B1242" s="60" t="s">
        <v>415</v>
      </c>
      <c r="C1242" s="59" t="s">
        <v>68</v>
      </c>
      <c r="D1242" s="59" t="s">
        <v>75</v>
      </c>
      <c r="E1242" s="161" t="s">
        <v>577</v>
      </c>
      <c r="F1242" s="59" t="s">
        <v>104</v>
      </c>
      <c r="G1242" s="58">
        <f>G1243</f>
        <v>4316.6</v>
      </c>
    </row>
    <row r="1243" spans="1:7" ht="25.5">
      <c r="A1243" s="28" t="s">
        <v>98</v>
      </c>
      <c r="B1243" s="60" t="s">
        <v>415</v>
      </c>
      <c r="C1243" s="59" t="s">
        <v>68</v>
      </c>
      <c r="D1243" s="59" t="s">
        <v>75</v>
      </c>
      <c r="E1243" s="161" t="s">
        <v>577</v>
      </c>
      <c r="F1243" s="59" t="s">
        <v>99</v>
      </c>
      <c r="G1243" s="58">
        <f>G1244</f>
        <v>4316.6</v>
      </c>
    </row>
    <row r="1244" spans="1:7" ht="25.5">
      <c r="A1244" s="28" t="s">
        <v>100</v>
      </c>
      <c r="B1244" s="60" t="s">
        <v>415</v>
      </c>
      <c r="C1244" s="59" t="s">
        <v>68</v>
      </c>
      <c r="D1244" s="59" t="s">
        <v>75</v>
      </c>
      <c r="E1244" s="161" t="s">
        <v>577</v>
      </c>
      <c r="F1244" s="59" t="s">
        <v>101</v>
      </c>
      <c r="G1244" s="58">
        <f>'МП пр.5'!G709</f>
        <v>4316.6</v>
      </c>
    </row>
    <row r="1245" spans="1:7" ht="25.5">
      <c r="A1245" s="159" t="s">
        <v>578</v>
      </c>
      <c r="B1245" s="60" t="s">
        <v>415</v>
      </c>
      <c r="C1245" s="59" t="s">
        <v>68</v>
      </c>
      <c r="D1245" s="59" t="s">
        <v>75</v>
      </c>
      <c r="E1245" s="161" t="s">
        <v>579</v>
      </c>
      <c r="F1245" s="59"/>
      <c r="G1245" s="58">
        <f>G1246</f>
        <v>376.2</v>
      </c>
    </row>
    <row r="1246" spans="1:7" ht="12.75">
      <c r="A1246" s="126" t="s">
        <v>281</v>
      </c>
      <c r="B1246" s="60" t="s">
        <v>415</v>
      </c>
      <c r="C1246" s="59" t="s">
        <v>68</v>
      </c>
      <c r="D1246" s="59" t="s">
        <v>75</v>
      </c>
      <c r="E1246" s="161" t="s">
        <v>580</v>
      </c>
      <c r="F1246" s="59"/>
      <c r="G1246" s="58">
        <f>G1247</f>
        <v>376.2</v>
      </c>
    </row>
    <row r="1247" spans="1:7" ht="25.5">
      <c r="A1247" s="28" t="s">
        <v>581</v>
      </c>
      <c r="B1247" s="60" t="s">
        <v>415</v>
      </c>
      <c r="C1247" s="59" t="s">
        <v>68</v>
      </c>
      <c r="D1247" s="59" t="s">
        <v>75</v>
      </c>
      <c r="E1247" s="161" t="s">
        <v>582</v>
      </c>
      <c r="F1247" s="59"/>
      <c r="G1247" s="58">
        <f>G1248</f>
        <v>376.2</v>
      </c>
    </row>
    <row r="1248" spans="1:7" ht="25.5">
      <c r="A1248" s="28" t="s">
        <v>610</v>
      </c>
      <c r="B1248" s="60" t="s">
        <v>415</v>
      </c>
      <c r="C1248" s="59" t="s">
        <v>68</v>
      </c>
      <c r="D1248" s="59" t="s">
        <v>75</v>
      </c>
      <c r="E1248" s="161" t="s">
        <v>582</v>
      </c>
      <c r="F1248" s="59" t="s">
        <v>104</v>
      </c>
      <c r="G1248" s="58">
        <f>G1249</f>
        <v>376.2</v>
      </c>
    </row>
    <row r="1249" spans="1:7" ht="25.5">
      <c r="A1249" s="28" t="s">
        <v>98</v>
      </c>
      <c r="B1249" s="60" t="s">
        <v>415</v>
      </c>
      <c r="C1249" s="59" t="s">
        <v>68</v>
      </c>
      <c r="D1249" s="59" t="s">
        <v>75</v>
      </c>
      <c r="E1249" s="161" t="s">
        <v>582</v>
      </c>
      <c r="F1249" s="59" t="s">
        <v>99</v>
      </c>
      <c r="G1249" s="58">
        <f>G1250</f>
        <v>376.2</v>
      </c>
    </row>
    <row r="1250" spans="1:7" ht="25.5">
      <c r="A1250" s="28" t="s">
        <v>100</v>
      </c>
      <c r="B1250" s="60" t="s">
        <v>415</v>
      </c>
      <c r="C1250" s="59" t="s">
        <v>68</v>
      </c>
      <c r="D1250" s="59" t="s">
        <v>75</v>
      </c>
      <c r="E1250" s="161" t="s">
        <v>582</v>
      </c>
      <c r="F1250" s="59" t="s">
        <v>101</v>
      </c>
      <c r="G1250" s="58">
        <f>'МП пр.5'!G898</f>
        <v>376.2</v>
      </c>
    </row>
    <row r="1251" spans="1:7" ht="12.75">
      <c r="A1251" s="28" t="s">
        <v>211</v>
      </c>
      <c r="B1251" s="60" t="s">
        <v>415</v>
      </c>
      <c r="C1251" s="60" t="s">
        <v>68</v>
      </c>
      <c r="D1251" s="60" t="s">
        <v>75</v>
      </c>
      <c r="E1251" s="59" t="s">
        <v>218</v>
      </c>
      <c r="F1251" s="63"/>
      <c r="G1251" s="58">
        <f>G1252</f>
        <v>923.8</v>
      </c>
    </row>
    <row r="1252" spans="1:7" ht="12.75">
      <c r="A1252" s="28" t="s">
        <v>396</v>
      </c>
      <c r="B1252" s="60" t="s">
        <v>415</v>
      </c>
      <c r="C1252" s="60" t="s">
        <v>68</v>
      </c>
      <c r="D1252" s="60" t="s">
        <v>75</v>
      </c>
      <c r="E1252" s="59" t="s">
        <v>397</v>
      </c>
      <c r="F1252" s="63"/>
      <c r="G1252" s="58">
        <f>G1253</f>
        <v>923.8</v>
      </c>
    </row>
    <row r="1253" spans="1:7" ht="25.5">
      <c r="A1253" s="28" t="s">
        <v>610</v>
      </c>
      <c r="B1253" s="60" t="s">
        <v>415</v>
      </c>
      <c r="C1253" s="60" t="s">
        <v>68</v>
      </c>
      <c r="D1253" s="60" t="s">
        <v>75</v>
      </c>
      <c r="E1253" s="59" t="s">
        <v>397</v>
      </c>
      <c r="F1253" s="59" t="s">
        <v>104</v>
      </c>
      <c r="G1253" s="58">
        <f>G1254</f>
        <v>923.8</v>
      </c>
    </row>
    <row r="1254" spans="1:7" s="30" customFormat="1" ht="25.5">
      <c r="A1254" s="28" t="s">
        <v>98</v>
      </c>
      <c r="B1254" s="60" t="s">
        <v>415</v>
      </c>
      <c r="C1254" s="60" t="s">
        <v>68</v>
      </c>
      <c r="D1254" s="60" t="s">
        <v>75</v>
      </c>
      <c r="E1254" s="59" t="s">
        <v>397</v>
      </c>
      <c r="F1254" s="59" t="s">
        <v>99</v>
      </c>
      <c r="G1254" s="58">
        <f>G1255</f>
        <v>923.8</v>
      </c>
    </row>
    <row r="1255" spans="1:7" s="30" customFormat="1" ht="30" customHeight="1">
      <c r="A1255" s="28" t="s">
        <v>100</v>
      </c>
      <c r="B1255" s="60" t="s">
        <v>415</v>
      </c>
      <c r="C1255" s="60" t="s">
        <v>68</v>
      </c>
      <c r="D1255" s="60" t="s">
        <v>75</v>
      </c>
      <c r="E1255" s="59" t="s">
        <v>397</v>
      </c>
      <c r="F1255" s="59" t="s">
        <v>101</v>
      </c>
      <c r="G1255" s="58">
        <f>800+123.8</f>
        <v>923.8</v>
      </c>
    </row>
    <row r="1256" spans="1:7" ht="12.75">
      <c r="A1256" s="152" t="s">
        <v>151</v>
      </c>
      <c r="B1256" s="62" t="s">
        <v>415</v>
      </c>
      <c r="C1256" s="62" t="s">
        <v>72</v>
      </c>
      <c r="D1256" s="62" t="s">
        <v>36</v>
      </c>
      <c r="E1256" s="59"/>
      <c r="F1256" s="59"/>
      <c r="G1256" s="64">
        <f>G1257+G1286+G1329</f>
        <v>55812.7</v>
      </c>
    </row>
    <row r="1257" spans="1:7" ht="12.75">
      <c r="A1257" s="152" t="s">
        <v>150</v>
      </c>
      <c r="B1257" s="62" t="s">
        <v>415</v>
      </c>
      <c r="C1257" s="62" t="s">
        <v>72</v>
      </c>
      <c r="D1257" s="62" t="s">
        <v>66</v>
      </c>
      <c r="E1257" s="63"/>
      <c r="F1257" s="63"/>
      <c r="G1257" s="64">
        <f>G1272+G1258</f>
        <v>12458.3</v>
      </c>
    </row>
    <row r="1258" spans="1:7" ht="37.5" customHeight="1">
      <c r="A1258" s="126" t="s">
        <v>448</v>
      </c>
      <c r="B1258" s="60" t="s">
        <v>415</v>
      </c>
      <c r="C1258" s="60" t="s">
        <v>72</v>
      </c>
      <c r="D1258" s="60" t="s">
        <v>66</v>
      </c>
      <c r="E1258" s="161" t="s">
        <v>169</v>
      </c>
      <c r="F1258" s="59"/>
      <c r="G1258" s="58">
        <f>G1259</f>
        <v>4512.4</v>
      </c>
    </row>
    <row r="1259" spans="1:7" ht="25.5">
      <c r="A1259" s="126" t="s">
        <v>274</v>
      </c>
      <c r="B1259" s="60" t="s">
        <v>415</v>
      </c>
      <c r="C1259" s="60" t="s">
        <v>72</v>
      </c>
      <c r="D1259" s="60" t="s">
        <v>66</v>
      </c>
      <c r="E1259" s="161" t="s">
        <v>321</v>
      </c>
      <c r="F1259" s="59"/>
      <c r="G1259" s="58">
        <f>G1260+G1264+G1268</f>
        <v>4512.4</v>
      </c>
    </row>
    <row r="1260" spans="1:7" ht="12.75">
      <c r="A1260" s="28" t="s">
        <v>606</v>
      </c>
      <c r="B1260" s="60" t="s">
        <v>415</v>
      </c>
      <c r="C1260" s="60" t="s">
        <v>72</v>
      </c>
      <c r="D1260" s="60" t="s">
        <v>66</v>
      </c>
      <c r="E1260" s="161" t="s">
        <v>583</v>
      </c>
      <c r="F1260" s="165"/>
      <c r="G1260" s="147">
        <f>G1261</f>
        <v>2550</v>
      </c>
    </row>
    <row r="1261" spans="1:7" ht="25.5">
      <c r="A1261" s="28" t="s">
        <v>610</v>
      </c>
      <c r="B1261" s="60" t="s">
        <v>415</v>
      </c>
      <c r="C1261" s="60" t="s">
        <v>72</v>
      </c>
      <c r="D1261" s="60" t="s">
        <v>66</v>
      </c>
      <c r="E1261" s="161" t="s">
        <v>583</v>
      </c>
      <c r="F1261" s="165">
        <v>200</v>
      </c>
      <c r="G1261" s="147">
        <f>G1262</f>
        <v>2550</v>
      </c>
    </row>
    <row r="1262" spans="1:7" ht="25.5">
      <c r="A1262" s="28" t="s">
        <v>98</v>
      </c>
      <c r="B1262" s="60" t="s">
        <v>415</v>
      </c>
      <c r="C1262" s="60" t="s">
        <v>72</v>
      </c>
      <c r="D1262" s="60" t="s">
        <v>66</v>
      </c>
      <c r="E1262" s="161" t="s">
        <v>583</v>
      </c>
      <c r="F1262" s="165">
        <v>240</v>
      </c>
      <c r="G1262" s="147">
        <f>G1263</f>
        <v>2550</v>
      </c>
    </row>
    <row r="1263" spans="1:7" ht="25.5">
      <c r="A1263" s="28" t="s">
        <v>100</v>
      </c>
      <c r="B1263" s="60" t="s">
        <v>415</v>
      </c>
      <c r="C1263" s="60" t="s">
        <v>72</v>
      </c>
      <c r="D1263" s="60" t="s">
        <v>66</v>
      </c>
      <c r="E1263" s="161" t="s">
        <v>583</v>
      </c>
      <c r="F1263" s="165">
        <v>244</v>
      </c>
      <c r="G1263" s="147">
        <f>'МП пр.5'!G434</f>
        <v>2550</v>
      </c>
    </row>
    <row r="1264" spans="1:7" ht="25.5" customHeight="1">
      <c r="A1264" s="16" t="str">
        <f>'МП пр.5'!A435</f>
        <v>Осуществление мероприятий по переселению граждан из ветхого и аварийного жилищного фонда</v>
      </c>
      <c r="B1264" s="60" t="s">
        <v>415</v>
      </c>
      <c r="C1264" s="60" t="s">
        <v>72</v>
      </c>
      <c r="D1264" s="60" t="s">
        <v>66</v>
      </c>
      <c r="E1264" s="161" t="str">
        <f>'МП пр.5'!B435</f>
        <v>7Г 0 01 61000 </v>
      </c>
      <c r="F1264" s="165"/>
      <c r="G1264" s="147">
        <f>G1265</f>
        <v>1912.4</v>
      </c>
    </row>
    <row r="1265" spans="1:7" ht="25.5">
      <c r="A1265" s="28" t="str">
        <f>'МП пр.5'!A438</f>
        <v>Закупка товаров, работ и услуг для обеспечения государственных (муниципальных) нужд</v>
      </c>
      <c r="B1265" s="60" t="s">
        <v>415</v>
      </c>
      <c r="C1265" s="60" t="s">
        <v>72</v>
      </c>
      <c r="D1265" s="60" t="s">
        <v>66</v>
      </c>
      <c r="E1265" s="161" t="str">
        <f>'МП пр.5'!B436</f>
        <v>7Г 0 01 61000 </v>
      </c>
      <c r="F1265" s="165">
        <v>200</v>
      </c>
      <c r="G1265" s="147">
        <f>G1266</f>
        <v>1912.4</v>
      </c>
    </row>
    <row r="1266" spans="1:7" ht="25.5">
      <c r="A1266" s="28" t="str">
        <f>'МП пр.5'!A446</f>
        <v>Иные закупки товаров, работ и услуг для обеспечения государственных и муниципальных нужд</v>
      </c>
      <c r="B1266" s="60" t="s">
        <v>415</v>
      </c>
      <c r="C1266" s="60" t="s">
        <v>72</v>
      </c>
      <c r="D1266" s="60" t="s">
        <v>66</v>
      </c>
      <c r="E1266" s="161" t="str">
        <f>'МП пр.5'!B437</f>
        <v>7Г 0 01 61000 </v>
      </c>
      <c r="F1266" s="165">
        <v>240</v>
      </c>
      <c r="G1266" s="147">
        <f>G1267</f>
        <v>1912.4</v>
      </c>
    </row>
    <row r="1267" spans="1:7" ht="25.5">
      <c r="A1267" s="28" t="str">
        <f>'МП пр.5'!A447</f>
        <v>Прочая закупка товаров, работ и услуг для обеспечения государственных (муниципальных) нужд</v>
      </c>
      <c r="B1267" s="60" t="s">
        <v>415</v>
      </c>
      <c r="C1267" s="60" t="s">
        <v>72</v>
      </c>
      <c r="D1267" s="60" t="s">
        <v>66</v>
      </c>
      <c r="E1267" s="161" t="str">
        <f>'МП пр.5'!B438</f>
        <v>7Г 0 01 61000 </v>
      </c>
      <c r="F1267" s="165">
        <v>244</v>
      </c>
      <c r="G1267" s="147">
        <f>'МП пр.5'!G441</f>
        <v>1912.4</v>
      </c>
    </row>
    <row r="1268" spans="1:7" ht="28.5" customHeight="1">
      <c r="A1268" s="28" t="str">
        <f>'МП пр.5'!A442</f>
        <v>Осуществление мероприятий по переселению граждан из ветхого и аварийного жилищного фонда за счет средств местного бюджета</v>
      </c>
      <c r="B1268" s="60" t="s">
        <v>415</v>
      </c>
      <c r="C1268" s="60" t="s">
        <v>72</v>
      </c>
      <c r="D1268" s="60" t="s">
        <v>66</v>
      </c>
      <c r="E1268" s="161" t="str">
        <f>'МП пр.5'!B442</f>
        <v>7Г 0 01 S1000 </v>
      </c>
      <c r="F1268" s="165"/>
      <c r="G1268" s="147">
        <f>G1269</f>
        <v>50</v>
      </c>
    </row>
    <row r="1269" spans="1:7" ht="16.5" customHeight="1">
      <c r="A1269" s="28" t="str">
        <f>'МП пр.5'!A445</f>
        <v>Закупка товаров, работ и услуг для обеспечения государственных (муниципальных) нужд</v>
      </c>
      <c r="B1269" s="60" t="s">
        <v>415</v>
      </c>
      <c r="C1269" s="60" t="s">
        <v>72</v>
      </c>
      <c r="D1269" s="60" t="s">
        <v>66</v>
      </c>
      <c r="E1269" s="161" t="str">
        <f>'МП пр.5'!B443</f>
        <v>7Г 0 01 S1000 </v>
      </c>
      <c r="F1269" s="165">
        <v>200</v>
      </c>
      <c r="G1269" s="147">
        <f>G1270</f>
        <v>50</v>
      </c>
    </row>
    <row r="1270" spans="1:7" ht="25.5">
      <c r="A1270" s="28" t="str">
        <f>'МП пр.5'!A446</f>
        <v>Иные закупки товаров, работ и услуг для обеспечения государственных и муниципальных нужд</v>
      </c>
      <c r="B1270" s="60" t="s">
        <v>415</v>
      </c>
      <c r="C1270" s="60" t="s">
        <v>72</v>
      </c>
      <c r="D1270" s="60" t="s">
        <v>66</v>
      </c>
      <c r="E1270" s="161" t="str">
        <f>'МП пр.5'!B444</f>
        <v>7Г 0 01 S1000 </v>
      </c>
      <c r="F1270" s="165">
        <v>240</v>
      </c>
      <c r="G1270" s="147">
        <f>G1271</f>
        <v>50</v>
      </c>
    </row>
    <row r="1271" spans="1:7" ht="25.5">
      <c r="A1271" s="28" t="str">
        <f>'МП пр.5'!A447</f>
        <v>Прочая закупка товаров, работ и услуг для обеспечения государственных (муниципальных) нужд</v>
      </c>
      <c r="B1271" s="60" t="s">
        <v>415</v>
      </c>
      <c r="C1271" s="60" t="s">
        <v>72</v>
      </c>
      <c r="D1271" s="60" t="s">
        <v>66</v>
      </c>
      <c r="E1271" s="161" t="str">
        <f>'МП пр.5'!B445</f>
        <v>7Г 0 01 S1000 </v>
      </c>
      <c r="F1271" s="165">
        <v>244</v>
      </c>
      <c r="G1271" s="147">
        <f>'МП пр.5'!G448</f>
        <v>50</v>
      </c>
    </row>
    <row r="1272" spans="1:7" ht="12.75">
      <c r="A1272" s="154" t="s">
        <v>206</v>
      </c>
      <c r="B1272" s="60" t="s">
        <v>415</v>
      </c>
      <c r="C1272" s="60" t="s">
        <v>72</v>
      </c>
      <c r="D1272" s="60" t="s">
        <v>66</v>
      </c>
      <c r="E1272" s="59" t="s">
        <v>217</v>
      </c>
      <c r="F1272" s="59"/>
      <c r="G1272" s="58">
        <f>G1273</f>
        <v>7945.9</v>
      </c>
    </row>
    <row r="1273" spans="1:7" ht="12.75">
      <c r="A1273" s="28" t="s">
        <v>282</v>
      </c>
      <c r="B1273" s="60" t="s">
        <v>415</v>
      </c>
      <c r="C1273" s="60" t="s">
        <v>72</v>
      </c>
      <c r="D1273" s="60" t="s">
        <v>66</v>
      </c>
      <c r="E1273" s="59" t="s">
        <v>365</v>
      </c>
      <c r="F1273" s="59"/>
      <c r="G1273" s="58">
        <f>G1274+G1278</f>
        <v>7945.9</v>
      </c>
    </row>
    <row r="1274" spans="1:7" ht="12.75">
      <c r="A1274" s="28" t="s">
        <v>283</v>
      </c>
      <c r="B1274" s="60" t="s">
        <v>415</v>
      </c>
      <c r="C1274" s="60" t="s">
        <v>72</v>
      </c>
      <c r="D1274" s="60" t="s">
        <v>66</v>
      </c>
      <c r="E1274" s="59" t="s">
        <v>366</v>
      </c>
      <c r="F1274" s="59"/>
      <c r="G1274" s="58">
        <f>G1275</f>
        <v>5608.4</v>
      </c>
    </row>
    <row r="1275" spans="1:7" ht="25.5">
      <c r="A1275" s="28" t="s">
        <v>610</v>
      </c>
      <c r="B1275" s="60" t="s">
        <v>415</v>
      </c>
      <c r="C1275" s="60" t="s">
        <v>72</v>
      </c>
      <c r="D1275" s="60" t="s">
        <v>66</v>
      </c>
      <c r="E1275" s="59" t="s">
        <v>366</v>
      </c>
      <c r="F1275" s="59" t="s">
        <v>104</v>
      </c>
      <c r="G1275" s="58">
        <f>G1276</f>
        <v>5608.4</v>
      </c>
    </row>
    <row r="1276" spans="1:7" ht="25.5">
      <c r="A1276" s="28" t="s">
        <v>98</v>
      </c>
      <c r="B1276" s="60" t="s">
        <v>415</v>
      </c>
      <c r="C1276" s="60" t="s">
        <v>72</v>
      </c>
      <c r="D1276" s="60" t="s">
        <v>66</v>
      </c>
      <c r="E1276" s="59" t="s">
        <v>366</v>
      </c>
      <c r="F1276" s="59" t="s">
        <v>99</v>
      </c>
      <c r="G1276" s="58">
        <f>G1277</f>
        <v>5608.4</v>
      </c>
    </row>
    <row r="1277" spans="1:7" ht="25.5">
      <c r="A1277" s="28" t="s">
        <v>100</v>
      </c>
      <c r="B1277" s="60" t="s">
        <v>415</v>
      </c>
      <c r="C1277" s="60" t="s">
        <v>72</v>
      </c>
      <c r="D1277" s="60" t="s">
        <v>66</v>
      </c>
      <c r="E1277" s="59" t="s">
        <v>366</v>
      </c>
      <c r="F1277" s="59" t="s">
        <v>101</v>
      </c>
      <c r="G1277" s="58">
        <f>5532.4+76</f>
        <v>5608.4</v>
      </c>
    </row>
    <row r="1278" spans="1:7" ht="12.75">
      <c r="A1278" s="28" t="s">
        <v>288</v>
      </c>
      <c r="B1278" s="60" t="s">
        <v>415</v>
      </c>
      <c r="C1278" s="60" t="s">
        <v>72</v>
      </c>
      <c r="D1278" s="60" t="s">
        <v>66</v>
      </c>
      <c r="E1278" s="59" t="s">
        <v>388</v>
      </c>
      <c r="F1278" s="59"/>
      <c r="G1278" s="58">
        <f>G1279+G1282</f>
        <v>2337.5</v>
      </c>
    </row>
    <row r="1279" spans="1:7" ht="25.5">
      <c r="A1279" s="28" t="s">
        <v>610</v>
      </c>
      <c r="B1279" s="60" t="s">
        <v>415</v>
      </c>
      <c r="C1279" s="60" t="s">
        <v>72</v>
      </c>
      <c r="D1279" s="60" t="s">
        <v>66</v>
      </c>
      <c r="E1279" s="59" t="s">
        <v>388</v>
      </c>
      <c r="F1279" s="59" t="s">
        <v>104</v>
      </c>
      <c r="G1279" s="58">
        <f>G1280</f>
        <v>1200</v>
      </c>
    </row>
    <row r="1280" spans="1:7" ht="25.5">
      <c r="A1280" s="28" t="s">
        <v>98</v>
      </c>
      <c r="B1280" s="60" t="s">
        <v>415</v>
      </c>
      <c r="C1280" s="60" t="s">
        <v>72</v>
      </c>
      <c r="D1280" s="60" t="s">
        <v>66</v>
      </c>
      <c r="E1280" s="59" t="s">
        <v>388</v>
      </c>
      <c r="F1280" s="59" t="s">
        <v>99</v>
      </c>
      <c r="G1280" s="58">
        <f>G1281</f>
        <v>1200</v>
      </c>
    </row>
    <row r="1281" spans="1:7" ht="25.5">
      <c r="A1281" s="28" t="s">
        <v>100</v>
      </c>
      <c r="B1281" s="60" t="s">
        <v>415</v>
      </c>
      <c r="C1281" s="60" t="s">
        <v>72</v>
      </c>
      <c r="D1281" s="60" t="s">
        <v>66</v>
      </c>
      <c r="E1281" s="59" t="s">
        <v>388</v>
      </c>
      <c r="F1281" s="59" t="s">
        <v>101</v>
      </c>
      <c r="G1281" s="58">
        <f>200+700+300</f>
        <v>1200</v>
      </c>
    </row>
    <row r="1282" spans="1:7" ht="12.75">
      <c r="A1282" s="28" t="s">
        <v>128</v>
      </c>
      <c r="B1282" s="60" t="s">
        <v>415</v>
      </c>
      <c r="C1282" s="60" t="s">
        <v>72</v>
      </c>
      <c r="D1282" s="60" t="s">
        <v>66</v>
      </c>
      <c r="E1282" s="59" t="s">
        <v>388</v>
      </c>
      <c r="F1282" s="59" t="s">
        <v>129</v>
      </c>
      <c r="G1282" s="58">
        <f>G1283</f>
        <v>1137.5</v>
      </c>
    </row>
    <row r="1283" spans="1:7" ht="12.75">
      <c r="A1283" s="28" t="s">
        <v>131</v>
      </c>
      <c r="B1283" s="60" t="s">
        <v>415</v>
      </c>
      <c r="C1283" s="60" t="s">
        <v>72</v>
      </c>
      <c r="D1283" s="60" t="s">
        <v>66</v>
      </c>
      <c r="E1283" s="59" t="s">
        <v>388</v>
      </c>
      <c r="F1283" s="59" t="s">
        <v>132</v>
      </c>
      <c r="G1283" s="58">
        <f>G1284+G1285</f>
        <v>1137.5</v>
      </c>
    </row>
    <row r="1284" spans="1:7" ht="12.75">
      <c r="A1284" s="28" t="s">
        <v>133</v>
      </c>
      <c r="B1284" s="60" t="s">
        <v>415</v>
      </c>
      <c r="C1284" s="60" t="s">
        <v>72</v>
      </c>
      <c r="D1284" s="60" t="s">
        <v>66</v>
      </c>
      <c r="E1284" s="59" t="s">
        <v>388</v>
      </c>
      <c r="F1284" s="59" t="s">
        <v>134</v>
      </c>
      <c r="G1284" s="58">
        <f>1137.5-0.7</f>
        <v>1136.8</v>
      </c>
    </row>
    <row r="1285" spans="1:7" ht="12.75">
      <c r="A1285" s="28" t="s">
        <v>162</v>
      </c>
      <c r="B1285" s="60" t="s">
        <v>415</v>
      </c>
      <c r="C1285" s="60" t="s">
        <v>72</v>
      </c>
      <c r="D1285" s="60" t="s">
        <v>66</v>
      </c>
      <c r="E1285" s="59" t="s">
        <v>388</v>
      </c>
      <c r="F1285" s="59" t="s">
        <v>163</v>
      </c>
      <c r="G1285" s="58">
        <v>0.7</v>
      </c>
    </row>
    <row r="1286" spans="1:7" ht="12.75">
      <c r="A1286" s="61" t="s">
        <v>208</v>
      </c>
      <c r="B1286" s="62" t="s">
        <v>415</v>
      </c>
      <c r="C1286" s="62" t="s">
        <v>72</v>
      </c>
      <c r="D1286" s="62" t="s">
        <v>67</v>
      </c>
      <c r="E1286" s="76"/>
      <c r="F1286" s="63"/>
      <c r="G1286" s="64">
        <f>G1287+G1319+G1297+G1309</f>
        <v>29659.7</v>
      </c>
    </row>
    <row r="1287" spans="1:7" ht="25.5">
      <c r="A1287" s="28" t="s">
        <v>584</v>
      </c>
      <c r="B1287" s="60" t="s">
        <v>415</v>
      </c>
      <c r="C1287" s="60" t="s">
        <v>72</v>
      </c>
      <c r="D1287" s="60" t="s">
        <v>67</v>
      </c>
      <c r="E1287" s="161" t="s">
        <v>284</v>
      </c>
      <c r="F1287" s="59"/>
      <c r="G1287" s="58">
        <f>G1288</f>
        <v>2700</v>
      </c>
    </row>
    <row r="1288" spans="1:7" ht="12.75">
      <c r="A1288" s="154" t="s">
        <v>281</v>
      </c>
      <c r="B1288" s="60" t="s">
        <v>415</v>
      </c>
      <c r="C1288" s="60" t="s">
        <v>72</v>
      </c>
      <c r="D1288" s="60" t="s">
        <v>67</v>
      </c>
      <c r="E1288" s="161" t="s">
        <v>356</v>
      </c>
      <c r="F1288" s="59"/>
      <c r="G1288" s="58">
        <f>G1289+G1293</f>
        <v>2700</v>
      </c>
    </row>
    <row r="1289" spans="1:7" ht="25.5">
      <c r="A1289" s="28" t="s">
        <v>585</v>
      </c>
      <c r="B1289" s="60" t="s">
        <v>415</v>
      </c>
      <c r="C1289" s="60" t="s">
        <v>72</v>
      </c>
      <c r="D1289" s="60" t="s">
        <v>67</v>
      </c>
      <c r="E1289" s="161" t="s">
        <v>357</v>
      </c>
      <c r="F1289" s="59"/>
      <c r="G1289" s="58">
        <f>G1290</f>
        <v>1881.3</v>
      </c>
    </row>
    <row r="1290" spans="1:7" ht="12.75">
      <c r="A1290" s="28" t="s">
        <v>128</v>
      </c>
      <c r="B1290" s="60" t="s">
        <v>415</v>
      </c>
      <c r="C1290" s="60" t="s">
        <v>72</v>
      </c>
      <c r="D1290" s="60" t="s">
        <v>67</v>
      </c>
      <c r="E1290" s="161" t="s">
        <v>357</v>
      </c>
      <c r="F1290" s="59" t="s">
        <v>129</v>
      </c>
      <c r="G1290" s="58">
        <f>G1291</f>
        <v>1881.3</v>
      </c>
    </row>
    <row r="1291" spans="1:7" s="30" customFormat="1" ht="25.5">
      <c r="A1291" s="28" t="s">
        <v>164</v>
      </c>
      <c r="B1291" s="60" t="s">
        <v>415</v>
      </c>
      <c r="C1291" s="60" t="s">
        <v>72</v>
      </c>
      <c r="D1291" s="60" t="s">
        <v>67</v>
      </c>
      <c r="E1291" s="161" t="s">
        <v>357</v>
      </c>
      <c r="F1291" s="59" t="s">
        <v>130</v>
      </c>
      <c r="G1291" s="58">
        <f>G1292</f>
        <v>1881.3</v>
      </c>
    </row>
    <row r="1292" spans="1:7" s="30" customFormat="1" ht="36.75" customHeight="1">
      <c r="A1292" s="28" t="s">
        <v>609</v>
      </c>
      <c r="B1292" s="60" t="s">
        <v>415</v>
      </c>
      <c r="C1292" s="60" t="s">
        <v>72</v>
      </c>
      <c r="D1292" s="60" t="s">
        <v>67</v>
      </c>
      <c r="E1292" s="161" t="s">
        <v>357</v>
      </c>
      <c r="F1292" s="59" t="s">
        <v>608</v>
      </c>
      <c r="G1292" s="58">
        <f>'МП пр.5'!G873</f>
        <v>1881.3</v>
      </c>
    </row>
    <row r="1293" spans="1:7" ht="25.5">
      <c r="A1293" s="28" t="s">
        <v>586</v>
      </c>
      <c r="B1293" s="60" t="s">
        <v>415</v>
      </c>
      <c r="C1293" s="60" t="s">
        <v>72</v>
      </c>
      <c r="D1293" s="60" t="s">
        <v>67</v>
      </c>
      <c r="E1293" s="161" t="s">
        <v>587</v>
      </c>
      <c r="F1293" s="59"/>
      <c r="G1293" s="58">
        <f>G1294</f>
        <v>818.7</v>
      </c>
    </row>
    <row r="1294" spans="1:7" ht="12.75">
      <c r="A1294" s="28" t="s">
        <v>128</v>
      </c>
      <c r="B1294" s="60" t="s">
        <v>415</v>
      </c>
      <c r="C1294" s="60" t="s">
        <v>72</v>
      </c>
      <c r="D1294" s="60" t="s">
        <v>67</v>
      </c>
      <c r="E1294" s="161" t="s">
        <v>587</v>
      </c>
      <c r="F1294" s="59" t="s">
        <v>129</v>
      </c>
      <c r="G1294" s="58">
        <f>G1295</f>
        <v>818.7</v>
      </c>
    </row>
    <row r="1295" spans="1:7" s="30" customFormat="1" ht="25.5">
      <c r="A1295" s="28" t="s">
        <v>164</v>
      </c>
      <c r="B1295" s="60" t="s">
        <v>415</v>
      </c>
      <c r="C1295" s="60" t="s">
        <v>72</v>
      </c>
      <c r="D1295" s="60" t="s">
        <v>67</v>
      </c>
      <c r="E1295" s="161" t="s">
        <v>587</v>
      </c>
      <c r="F1295" s="59" t="s">
        <v>130</v>
      </c>
      <c r="G1295" s="58">
        <f>G1296</f>
        <v>818.7</v>
      </c>
    </row>
    <row r="1296" spans="1:7" s="30" customFormat="1" ht="24" customHeight="1">
      <c r="A1296" s="28" t="s">
        <v>609</v>
      </c>
      <c r="B1296" s="60" t="s">
        <v>415</v>
      </c>
      <c r="C1296" s="60" t="s">
        <v>72</v>
      </c>
      <c r="D1296" s="60" t="s">
        <v>67</v>
      </c>
      <c r="E1296" s="161" t="s">
        <v>587</v>
      </c>
      <c r="F1296" s="59" t="s">
        <v>608</v>
      </c>
      <c r="G1296" s="58">
        <f>'МП пр.5'!G880</f>
        <v>818.7</v>
      </c>
    </row>
    <row r="1297" spans="1:7" s="30" customFormat="1" ht="24" customHeight="1">
      <c r="A1297" s="28" t="str">
        <f>'МП пр.5'!A933</f>
        <v>Муниципальная программа "Комплексное развитие систем коммунальной инфраструктуры муниципального образования "Сусуманский городской округ" на 2017 год"</v>
      </c>
      <c r="B1297" s="60" t="s">
        <v>415</v>
      </c>
      <c r="C1297" s="60" t="s">
        <v>72</v>
      </c>
      <c r="D1297" s="60" t="s">
        <v>67</v>
      </c>
      <c r="E1297" s="161" t="str">
        <f>'МП пр.5'!B933</f>
        <v>7N 0 00 00000</v>
      </c>
      <c r="F1297" s="59"/>
      <c r="G1297" s="58">
        <f>G1298</f>
        <v>20300.5</v>
      </c>
    </row>
    <row r="1298" spans="1:7" s="30" customFormat="1" ht="24" customHeight="1">
      <c r="A1298" s="28" t="str">
        <f>'МП пр.5'!A934</f>
        <v>Основное мероприятие "Подготовка коммунальной инфраструктуры Сусуманского городского округа к отопительным периодам"</v>
      </c>
      <c r="B1298" s="60" t="s">
        <v>415</v>
      </c>
      <c r="C1298" s="60" t="s">
        <v>72</v>
      </c>
      <c r="D1298" s="60" t="s">
        <v>67</v>
      </c>
      <c r="E1298" s="161" t="str">
        <f>'МП пр.5'!B934</f>
        <v>7N 0 01 00000</v>
      </c>
      <c r="F1298" s="59"/>
      <c r="G1298" s="58">
        <f>G1299+G1304</f>
        <v>20300.5</v>
      </c>
    </row>
    <row r="1299" spans="1:7" s="30" customFormat="1" ht="24" customHeight="1">
      <c r="A1299" s="28" t="str">
        <f>'МП пр.5'!A935</f>
        <v>Мероприятия по подготовке  к осенне-зимнему отопительному периоду</v>
      </c>
      <c r="B1299" s="60" t="s">
        <v>415</v>
      </c>
      <c r="C1299" s="60" t="s">
        <v>72</v>
      </c>
      <c r="D1299" s="60" t="s">
        <v>67</v>
      </c>
      <c r="E1299" s="161" t="str">
        <f>'МП пр.5'!B935</f>
        <v>7N 0 01 62110</v>
      </c>
      <c r="F1299" s="59"/>
      <c r="G1299" s="58">
        <f>G1300</f>
        <v>20000</v>
      </c>
    </row>
    <row r="1300" spans="1:7" s="30" customFormat="1" ht="24" customHeight="1">
      <c r="A1300" s="28" t="str">
        <f>'МП пр.5'!A938</f>
        <v>Закупка товаров, работ и услуг для обеспечения государственных (муниципальных) нужд</v>
      </c>
      <c r="B1300" s="60" t="s">
        <v>415</v>
      </c>
      <c r="C1300" s="60" t="s">
        <v>72</v>
      </c>
      <c r="D1300" s="60" t="s">
        <v>67</v>
      </c>
      <c r="E1300" s="161" t="str">
        <f>'МП пр.5'!B938</f>
        <v>7N 0 01 62110</v>
      </c>
      <c r="F1300" s="149" t="str">
        <f>'МП пр.5'!E938</f>
        <v>200</v>
      </c>
      <c r="G1300" s="58">
        <f>G1301</f>
        <v>20000</v>
      </c>
    </row>
    <row r="1301" spans="1:7" s="30" customFormat="1" ht="24" customHeight="1">
      <c r="A1301" s="28" t="str">
        <f>'МП пр.5'!A939</f>
        <v>Иные закупки товаров, работ и услуг для обеспечения государственных и муниципальных нужд</v>
      </c>
      <c r="B1301" s="60" t="s">
        <v>415</v>
      </c>
      <c r="C1301" s="60" t="s">
        <v>72</v>
      </c>
      <c r="D1301" s="60" t="s">
        <v>67</v>
      </c>
      <c r="E1301" s="161" t="str">
        <f>'МП пр.5'!B939</f>
        <v>7N 0 01 62110</v>
      </c>
      <c r="F1301" s="149" t="str">
        <f>'МП пр.5'!E939</f>
        <v>240</v>
      </c>
      <c r="G1301" s="58">
        <f>G1303+G1302</f>
        <v>20000</v>
      </c>
    </row>
    <row r="1302" spans="1:7" s="30" customFormat="1" ht="24" customHeight="1">
      <c r="A1302" s="28" t="str">
        <f>'МП пр.5'!A940</f>
        <v>Закупка товаров, работ и услуг в целях капитального ремонта государственного (муниципального) имущества</v>
      </c>
      <c r="B1302" s="60" t="s">
        <v>415</v>
      </c>
      <c r="C1302" s="60" t="s">
        <v>72</v>
      </c>
      <c r="D1302" s="60" t="s">
        <v>67</v>
      </c>
      <c r="E1302" s="161" t="str">
        <f>'МП пр.5'!B940</f>
        <v>7N 0 01 62110</v>
      </c>
      <c r="F1302" s="149" t="str">
        <f>'МП пр.5'!E940</f>
        <v>243</v>
      </c>
      <c r="G1302" s="58">
        <f>'МП пр.5'!G940</f>
        <v>6618</v>
      </c>
    </row>
    <row r="1303" spans="1:7" s="30" customFormat="1" ht="24" customHeight="1">
      <c r="A1303" s="28" t="str">
        <f>'МП пр.5'!A942</f>
        <v>Прочая закупка товаров, работ и услуг для обеспечения государственных (муниципальных) нужд</v>
      </c>
      <c r="B1303" s="60" t="s">
        <v>415</v>
      </c>
      <c r="C1303" s="60" t="s">
        <v>72</v>
      </c>
      <c r="D1303" s="60" t="s">
        <v>67</v>
      </c>
      <c r="E1303" s="161" t="str">
        <f>'МП пр.5'!B942</f>
        <v>7N 0 01 62110</v>
      </c>
      <c r="F1303" s="149" t="str">
        <f>'МП пр.5'!E942</f>
        <v>244</v>
      </c>
      <c r="G1303" s="58">
        <f>'МП пр.5'!G943</f>
        <v>13382</v>
      </c>
    </row>
    <row r="1304" spans="1:7" s="30" customFormat="1" ht="24.75" customHeight="1">
      <c r="A1304" s="28" t="str">
        <f>'МП пр.5'!A944</f>
        <v>Мероприятия по подготовке  к осенне-зимнему отопительному периоду за счет средств местного бюджета</v>
      </c>
      <c r="B1304" s="60" t="s">
        <v>415</v>
      </c>
      <c r="C1304" s="60" t="s">
        <v>72</v>
      </c>
      <c r="D1304" s="60" t="s">
        <v>67</v>
      </c>
      <c r="E1304" s="161" t="str">
        <f>'МП пр.5'!B944</f>
        <v>7N 0 01  S2100</v>
      </c>
      <c r="F1304" s="149"/>
      <c r="G1304" s="58">
        <f>G1305</f>
        <v>300.5</v>
      </c>
    </row>
    <row r="1305" spans="1:7" s="30" customFormat="1" ht="27.75" customHeight="1">
      <c r="A1305" s="28" t="str">
        <f>'МП пр.5'!A947</f>
        <v>Закупка товаров, работ и услуг для обеспечения государственных (муниципальных) нужд</v>
      </c>
      <c r="B1305" s="60" t="s">
        <v>415</v>
      </c>
      <c r="C1305" s="60" t="s">
        <v>72</v>
      </c>
      <c r="D1305" s="60" t="s">
        <v>67</v>
      </c>
      <c r="E1305" s="161" t="str">
        <f>'МП пр.5'!B947</f>
        <v>7N 0 01  S2100</v>
      </c>
      <c r="F1305" s="149" t="str">
        <f>'МП пр.5'!E947</f>
        <v>200</v>
      </c>
      <c r="G1305" s="58">
        <f>G1306</f>
        <v>300.5</v>
      </c>
    </row>
    <row r="1306" spans="1:7" s="30" customFormat="1" ht="24" customHeight="1">
      <c r="A1306" s="28" t="str">
        <f>'МП пр.5'!A948</f>
        <v>Иные закупки товаров, работ и услуг для обеспечения государственных и муниципальных нужд</v>
      </c>
      <c r="B1306" s="60" t="s">
        <v>415</v>
      </c>
      <c r="C1306" s="60" t="s">
        <v>72</v>
      </c>
      <c r="D1306" s="60" t="s">
        <v>67</v>
      </c>
      <c r="E1306" s="161" t="str">
        <f>'МП пр.5'!B948</f>
        <v>7N 0 01  S2100</v>
      </c>
      <c r="F1306" s="149" t="str">
        <f>'МП пр.5'!E948</f>
        <v>240</v>
      </c>
      <c r="G1306" s="58">
        <f>G1308+G1307</f>
        <v>300.5</v>
      </c>
    </row>
    <row r="1307" spans="1:7" s="30" customFormat="1" ht="24" customHeight="1">
      <c r="A1307" s="28" t="str">
        <f>'МП пр.5'!A949</f>
        <v>Закупка товаров, работ и услуг в целях капитального ремонта государственного (муниципального) имущества</v>
      </c>
      <c r="B1307" s="60" t="s">
        <v>415</v>
      </c>
      <c r="C1307" s="60" t="s">
        <v>72</v>
      </c>
      <c r="D1307" s="60" t="s">
        <v>67</v>
      </c>
      <c r="E1307" s="161" t="str">
        <f>'МП пр.5'!B949</f>
        <v>7N 0 01  S2100</v>
      </c>
      <c r="F1307" s="149" t="str">
        <f>'МП пр.5'!E949</f>
        <v>243</v>
      </c>
      <c r="G1307" s="58">
        <f>'МП пр.5'!G949</f>
        <v>76.89999999999999</v>
      </c>
    </row>
    <row r="1308" spans="1:7" s="30" customFormat="1" ht="24" customHeight="1">
      <c r="A1308" s="28" t="str">
        <f>'МП пр.5'!A951</f>
        <v>Прочая закупка товаров, работ и услуг для обеспечения государственных (муниципальных) нужд</v>
      </c>
      <c r="B1308" s="60" t="s">
        <v>415</v>
      </c>
      <c r="C1308" s="60" t="s">
        <v>72</v>
      </c>
      <c r="D1308" s="60" t="s">
        <v>67</v>
      </c>
      <c r="E1308" s="161" t="str">
        <f>'МП пр.5'!B951</f>
        <v>7N 0 01  S2100</v>
      </c>
      <c r="F1308" s="149" t="str">
        <f>'МП пр.5'!E951</f>
        <v>244</v>
      </c>
      <c r="G1308" s="58">
        <f>'МП пр.5'!G952</f>
        <v>223.6</v>
      </c>
    </row>
    <row r="1309" spans="1:7" s="30" customFormat="1" ht="24" customHeight="1">
      <c r="A1309" s="28" t="str">
        <f>'МП пр.5'!A953</f>
        <v>Муниципальная программа "Энергосбережение и повышение энергетической эффективности на территории Сусуманского городского округа в 2017 году"</v>
      </c>
      <c r="B1309" s="60" t="s">
        <v>415</v>
      </c>
      <c r="C1309" s="60" t="s">
        <v>72</v>
      </c>
      <c r="D1309" s="60" t="s">
        <v>67</v>
      </c>
      <c r="E1309" s="161" t="str">
        <f>'МП пр.5'!B953</f>
        <v>7U 0 00 00000</v>
      </c>
      <c r="F1309" s="149"/>
      <c r="G1309" s="58">
        <f>G1310</f>
        <v>175</v>
      </c>
    </row>
    <row r="1310" spans="1:7" s="30" customFormat="1" ht="12.75" customHeight="1">
      <c r="A1310" s="28" t="str">
        <f>'МП пр.5'!A954</f>
        <v>Основное мероприятие "Установка общедомовых приборов учета энергетических ресурсов "</v>
      </c>
      <c r="B1310" s="60" t="s">
        <v>415</v>
      </c>
      <c r="C1310" s="60" t="s">
        <v>72</v>
      </c>
      <c r="D1310" s="60" t="s">
        <v>67</v>
      </c>
      <c r="E1310" s="161" t="str">
        <f>'МП пр.5'!B954</f>
        <v>7U 0 01 00000</v>
      </c>
      <c r="F1310" s="149"/>
      <c r="G1310" s="58">
        <f>G1311+G1315</f>
        <v>175</v>
      </c>
    </row>
    <row r="1311" spans="1:7" s="30" customFormat="1" ht="24" customHeight="1">
      <c r="A1311" s="28" t="str">
        <f>'МП пр.5'!A955</f>
        <v>Финансирование мероприятия "Приобретение и монтаж общедомовых приборов учета  энергетических ресурсов" за счет средств областного бюджета</v>
      </c>
      <c r="B1311" s="60" t="s">
        <v>415</v>
      </c>
      <c r="C1311" s="60" t="s">
        <v>72</v>
      </c>
      <c r="D1311" s="60" t="s">
        <v>67</v>
      </c>
      <c r="E1311" s="161" t="str">
        <f>'МП пр.5'!B955</f>
        <v>7U 0 01 73880</v>
      </c>
      <c r="F1311" s="149"/>
      <c r="G1311" s="58">
        <f>G1312</f>
        <v>166.7</v>
      </c>
    </row>
    <row r="1312" spans="1:7" s="30" customFormat="1" ht="27.75" customHeight="1">
      <c r="A1312" s="28" t="str">
        <f>'МП пр.5'!A958</f>
        <v>Закупка товаров, работ и услуг для обеспечения государственных (муниципальных) нужд</v>
      </c>
      <c r="B1312" s="60" t="s">
        <v>415</v>
      </c>
      <c r="C1312" s="60" t="s">
        <v>72</v>
      </c>
      <c r="D1312" s="60" t="s">
        <v>67</v>
      </c>
      <c r="E1312" s="161" t="str">
        <f>'МП пр.5'!B958</f>
        <v>7U 0 01 73880</v>
      </c>
      <c r="F1312" s="149" t="str">
        <f>'МП пр.5'!E958</f>
        <v>200</v>
      </c>
      <c r="G1312" s="58">
        <f>G1313</f>
        <v>166.7</v>
      </c>
    </row>
    <row r="1313" spans="1:7" s="30" customFormat="1" ht="26.25" customHeight="1">
      <c r="A1313" s="28" t="str">
        <f>'МП пр.5'!A959</f>
        <v>Иные закупки товаров, работ и услуг для обеспечения государственных и муниципальных нужд</v>
      </c>
      <c r="B1313" s="60" t="s">
        <v>415</v>
      </c>
      <c r="C1313" s="60" t="s">
        <v>72</v>
      </c>
      <c r="D1313" s="60" t="s">
        <v>67</v>
      </c>
      <c r="E1313" s="161" t="str">
        <f>'МП пр.5'!B959</f>
        <v>7U 0 01 73880</v>
      </c>
      <c r="F1313" s="149" t="str">
        <f>'МП пр.5'!E959</f>
        <v>240</v>
      </c>
      <c r="G1313" s="58">
        <f>G1314</f>
        <v>166.7</v>
      </c>
    </row>
    <row r="1314" spans="1:7" s="30" customFormat="1" ht="24" customHeight="1">
      <c r="A1314" s="28" t="str">
        <f>'МП пр.5'!A960</f>
        <v>Прочая закупка товаров, работ и услуг для обеспечения государственных (муниципальных) нужд</v>
      </c>
      <c r="B1314" s="60" t="s">
        <v>415</v>
      </c>
      <c r="C1314" s="60" t="s">
        <v>72</v>
      </c>
      <c r="D1314" s="60" t="s">
        <v>67</v>
      </c>
      <c r="E1314" s="161" t="str">
        <f>'МП пр.5'!B960</f>
        <v>7U 0 01 73880</v>
      </c>
      <c r="F1314" s="149" t="str">
        <f>'МП пр.5'!E960</f>
        <v>244</v>
      </c>
      <c r="G1314" s="58">
        <f>'МП пр.5'!G960</f>
        <v>166.7</v>
      </c>
    </row>
    <row r="1315" spans="1:7" s="30" customFormat="1" ht="24" customHeight="1">
      <c r="A1315" s="28" t="str">
        <f>'МП пр.5'!A962</f>
        <v>Софинансирование мероприятия  "Приобретение и монтаж общедомовых приборов учета энергетических ресурсов" </v>
      </c>
      <c r="B1315" s="60" t="s">
        <v>415</v>
      </c>
      <c r="C1315" s="60" t="s">
        <v>72</v>
      </c>
      <c r="D1315" s="60" t="s">
        <v>67</v>
      </c>
      <c r="E1315" s="161" t="str">
        <f>'МП пр.5'!B962</f>
        <v>7U 0 01 S3880</v>
      </c>
      <c r="F1315" s="149"/>
      <c r="G1315" s="58">
        <f>G1316</f>
        <v>8.3</v>
      </c>
    </row>
    <row r="1316" spans="1:7" s="30" customFormat="1" ht="38.25" customHeight="1">
      <c r="A1316" s="28" t="str">
        <f>'МП пр.5'!A965</f>
        <v>Закупка товаров, работ и услуг для обеспечения государственных (муниципальных) нужд</v>
      </c>
      <c r="B1316" s="60" t="s">
        <v>415</v>
      </c>
      <c r="C1316" s="60" t="s">
        <v>72</v>
      </c>
      <c r="D1316" s="60" t="s">
        <v>67</v>
      </c>
      <c r="E1316" s="161" t="str">
        <f>'МП пр.5'!B965</f>
        <v>7U 0 01 S3880</v>
      </c>
      <c r="F1316" s="149" t="str">
        <f>'МП пр.5'!E965</f>
        <v>200</v>
      </c>
      <c r="G1316" s="58">
        <f>G1317</f>
        <v>8.3</v>
      </c>
    </row>
    <row r="1317" spans="1:7" s="30" customFormat="1" ht="24" customHeight="1">
      <c r="A1317" s="28" t="str">
        <f>'МП пр.5'!A966</f>
        <v>Иные закупки товаров, работ и услуг для обеспечения государственных и муниципальных нужд</v>
      </c>
      <c r="B1317" s="60" t="s">
        <v>415</v>
      </c>
      <c r="C1317" s="60" t="s">
        <v>72</v>
      </c>
      <c r="D1317" s="60" t="s">
        <v>67</v>
      </c>
      <c r="E1317" s="161" t="str">
        <f>'МП пр.5'!B966</f>
        <v>7U 0 01 S3880</v>
      </c>
      <c r="F1317" s="149" t="str">
        <f>'МП пр.5'!E966</f>
        <v>240</v>
      </c>
      <c r="G1317" s="58">
        <f>G1318</f>
        <v>8.3</v>
      </c>
    </row>
    <row r="1318" spans="1:7" s="30" customFormat="1" ht="24" customHeight="1">
      <c r="A1318" s="28" t="str">
        <f>'МП пр.5'!A967</f>
        <v>Прочая закупка товаров, работ и услуг для обеспечения государственных (муниципальных) нужд</v>
      </c>
      <c r="B1318" s="60" t="s">
        <v>415</v>
      </c>
      <c r="C1318" s="60" t="s">
        <v>72</v>
      </c>
      <c r="D1318" s="60" t="s">
        <v>67</v>
      </c>
      <c r="E1318" s="161" t="str">
        <f>'МП пр.5'!B967</f>
        <v>7U 0 01 S3880</v>
      </c>
      <c r="F1318" s="149" t="str">
        <f>'МП пр.5'!E967</f>
        <v>244</v>
      </c>
      <c r="G1318" s="58">
        <f>'МП пр.5'!G967</f>
        <v>8.3</v>
      </c>
    </row>
    <row r="1319" spans="1:7" ht="12.75">
      <c r="A1319" s="28" t="s">
        <v>209</v>
      </c>
      <c r="B1319" s="60" t="s">
        <v>415</v>
      </c>
      <c r="C1319" s="60" t="s">
        <v>72</v>
      </c>
      <c r="D1319" s="60" t="s">
        <v>67</v>
      </c>
      <c r="E1319" s="59" t="s">
        <v>220</v>
      </c>
      <c r="F1319" s="59"/>
      <c r="G1319" s="58">
        <f>G1320</f>
        <v>6484.2</v>
      </c>
    </row>
    <row r="1320" spans="1:7" ht="12.75">
      <c r="A1320" s="28" t="s">
        <v>270</v>
      </c>
      <c r="B1320" s="60" t="s">
        <v>415</v>
      </c>
      <c r="C1320" s="60" t="s">
        <v>72</v>
      </c>
      <c r="D1320" s="60" t="s">
        <v>67</v>
      </c>
      <c r="E1320" s="59" t="s">
        <v>389</v>
      </c>
      <c r="F1320" s="59"/>
      <c r="G1320" s="58">
        <f>G1321+G1325</f>
        <v>6484.2</v>
      </c>
    </row>
    <row r="1321" spans="1:7" ht="25.5">
      <c r="A1321" s="16" t="s">
        <v>853</v>
      </c>
      <c r="B1321" s="60" t="s">
        <v>415</v>
      </c>
      <c r="C1321" s="60" t="s">
        <v>72</v>
      </c>
      <c r="D1321" s="60" t="s">
        <v>67</v>
      </c>
      <c r="E1321" s="59" t="s">
        <v>390</v>
      </c>
      <c r="F1321" s="59"/>
      <c r="G1321" s="58">
        <f>G1322</f>
        <v>3020.2</v>
      </c>
    </row>
    <row r="1322" spans="1:7" ht="12.75">
      <c r="A1322" s="28" t="s">
        <v>128</v>
      </c>
      <c r="B1322" s="60" t="s">
        <v>415</v>
      </c>
      <c r="C1322" s="60" t="s">
        <v>72</v>
      </c>
      <c r="D1322" s="60" t="s">
        <v>67</v>
      </c>
      <c r="E1322" s="59" t="s">
        <v>390</v>
      </c>
      <c r="F1322" s="59" t="s">
        <v>129</v>
      </c>
      <c r="G1322" s="58">
        <f>G1323</f>
        <v>3020.2</v>
      </c>
    </row>
    <row r="1323" spans="1:7" s="30" customFormat="1" ht="25.5">
      <c r="A1323" s="28" t="s">
        <v>164</v>
      </c>
      <c r="B1323" s="60" t="s">
        <v>415</v>
      </c>
      <c r="C1323" s="60" t="s">
        <v>72</v>
      </c>
      <c r="D1323" s="60" t="s">
        <v>67</v>
      </c>
      <c r="E1323" s="59" t="s">
        <v>390</v>
      </c>
      <c r="F1323" s="59" t="s">
        <v>130</v>
      </c>
      <c r="G1323" s="58">
        <f>G1324</f>
        <v>3020.2</v>
      </c>
    </row>
    <row r="1324" spans="1:7" s="30" customFormat="1" ht="38.25" customHeight="1">
      <c r="A1324" s="28" t="s">
        <v>609</v>
      </c>
      <c r="B1324" s="60" t="s">
        <v>415</v>
      </c>
      <c r="C1324" s="60" t="s">
        <v>72</v>
      </c>
      <c r="D1324" s="60" t="s">
        <v>67</v>
      </c>
      <c r="E1324" s="59" t="s">
        <v>390</v>
      </c>
      <c r="F1324" s="59" t="s">
        <v>608</v>
      </c>
      <c r="G1324" s="58">
        <f>3084.2-464+400</f>
        <v>3020.2</v>
      </c>
    </row>
    <row r="1325" spans="1:7" ht="12.75">
      <c r="A1325" s="28" t="s">
        <v>289</v>
      </c>
      <c r="B1325" s="60" t="s">
        <v>415</v>
      </c>
      <c r="C1325" s="60" t="s">
        <v>72</v>
      </c>
      <c r="D1325" s="60" t="s">
        <v>67</v>
      </c>
      <c r="E1325" s="59" t="s">
        <v>391</v>
      </c>
      <c r="F1325" s="59"/>
      <c r="G1325" s="58">
        <f>G1326</f>
        <v>3464</v>
      </c>
    </row>
    <row r="1326" spans="1:7" ht="25.5">
      <c r="A1326" s="28" t="s">
        <v>610</v>
      </c>
      <c r="B1326" s="60" t="s">
        <v>415</v>
      </c>
      <c r="C1326" s="60" t="s">
        <v>72</v>
      </c>
      <c r="D1326" s="60" t="s">
        <v>67</v>
      </c>
      <c r="E1326" s="59" t="s">
        <v>391</v>
      </c>
      <c r="F1326" s="59" t="s">
        <v>104</v>
      </c>
      <c r="G1326" s="58">
        <f>G1327</f>
        <v>3464</v>
      </c>
    </row>
    <row r="1327" spans="1:7" ht="25.5">
      <c r="A1327" s="28" t="s">
        <v>98</v>
      </c>
      <c r="B1327" s="60" t="s">
        <v>415</v>
      </c>
      <c r="C1327" s="60" t="s">
        <v>72</v>
      </c>
      <c r="D1327" s="60" t="s">
        <v>67</v>
      </c>
      <c r="E1327" s="59" t="s">
        <v>391</v>
      </c>
      <c r="F1327" s="59" t="s">
        <v>99</v>
      </c>
      <c r="G1327" s="58">
        <f>G1328</f>
        <v>3464</v>
      </c>
    </row>
    <row r="1328" spans="1:7" ht="25.5">
      <c r="A1328" s="28" t="s">
        <v>100</v>
      </c>
      <c r="B1328" s="60" t="s">
        <v>415</v>
      </c>
      <c r="C1328" s="60" t="s">
        <v>72</v>
      </c>
      <c r="D1328" s="60" t="s">
        <v>67</v>
      </c>
      <c r="E1328" s="59" t="s">
        <v>391</v>
      </c>
      <c r="F1328" s="59" t="s">
        <v>101</v>
      </c>
      <c r="G1328" s="58">
        <f>3000+464</f>
        <v>3464</v>
      </c>
    </row>
    <row r="1329" spans="1:7" ht="12.75">
      <c r="A1329" s="61" t="s">
        <v>210</v>
      </c>
      <c r="B1329" s="62" t="s">
        <v>415</v>
      </c>
      <c r="C1329" s="62" t="s">
        <v>72</v>
      </c>
      <c r="D1329" s="62" t="s">
        <v>70</v>
      </c>
      <c r="E1329" s="63"/>
      <c r="F1329" s="63"/>
      <c r="G1329" s="64">
        <f>G1330+G1362+G1352</f>
        <v>13694.699999999999</v>
      </c>
    </row>
    <row r="1330" spans="1:7" ht="24.75" customHeight="1">
      <c r="A1330" s="28" t="s">
        <v>588</v>
      </c>
      <c r="B1330" s="60" t="s">
        <v>415</v>
      </c>
      <c r="C1330" s="60" t="s">
        <v>72</v>
      </c>
      <c r="D1330" s="60" t="s">
        <v>70</v>
      </c>
      <c r="E1330" s="161" t="s">
        <v>589</v>
      </c>
      <c r="F1330" s="59"/>
      <c r="G1330" s="58">
        <f>G1331</f>
        <v>7971.199999999999</v>
      </c>
    </row>
    <row r="1331" spans="1:7" ht="12.75">
      <c r="A1331" s="154" t="s">
        <v>281</v>
      </c>
      <c r="B1331" s="60" t="s">
        <v>415</v>
      </c>
      <c r="C1331" s="60" t="s">
        <v>72</v>
      </c>
      <c r="D1331" s="60" t="s">
        <v>70</v>
      </c>
      <c r="E1331" s="161" t="s">
        <v>590</v>
      </c>
      <c r="F1331" s="59"/>
      <c r="G1331" s="58">
        <f>G1340+G1344+G1348+G1332+G1336</f>
        <v>7971.199999999999</v>
      </c>
    </row>
    <row r="1332" spans="1:7" ht="25.5">
      <c r="A1332" s="28" t="s">
        <v>591</v>
      </c>
      <c r="B1332" s="60" t="s">
        <v>415</v>
      </c>
      <c r="C1332" s="60" t="s">
        <v>72</v>
      </c>
      <c r="D1332" s="60" t="s">
        <v>70</v>
      </c>
      <c r="E1332" s="161" t="s">
        <v>592</v>
      </c>
      <c r="F1332" s="59"/>
      <c r="G1332" s="58">
        <f>G1333</f>
        <v>4602.9</v>
      </c>
    </row>
    <row r="1333" spans="1:7" ht="25.5">
      <c r="A1333" s="28" t="s">
        <v>610</v>
      </c>
      <c r="B1333" s="60" t="s">
        <v>415</v>
      </c>
      <c r="C1333" s="60" t="s">
        <v>72</v>
      </c>
      <c r="D1333" s="60" t="s">
        <v>70</v>
      </c>
      <c r="E1333" s="161" t="s">
        <v>592</v>
      </c>
      <c r="F1333" s="59" t="s">
        <v>104</v>
      </c>
      <c r="G1333" s="58">
        <f>G1334</f>
        <v>4602.9</v>
      </c>
    </row>
    <row r="1334" spans="1:7" ht="25.5">
      <c r="A1334" s="28" t="s">
        <v>98</v>
      </c>
      <c r="B1334" s="60" t="s">
        <v>415</v>
      </c>
      <c r="C1334" s="60" t="s">
        <v>72</v>
      </c>
      <c r="D1334" s="60" t="s">
        <v>70</v>
      </c>
      <c r="E1334" s="161" t="s">
        <v>592</v>
      </c>
      <c r="F1334" s="59" t="s">
        <v>99</v>
      </c>
      <c r="G1334" s="58">
        <f>G1335</f>
        <v>4602.9</v>
      </c>
    </row>
    <row r="1335" spans="1:7" ht="25.5">
      <c r="A1335" s="28" t="s">
        <v>100</v>
      </c>
      <c r="B1335" s="60" t="s">
        <v>415</v>
      </c>
      <c r="C1335" s="60" t="s">
        <v>72</v>
      </c>
      <c r="D1335" s="60" t="s">
        <v>70</v>
      </c>
      <c r="E1335" s="161" t="s">
        <v>592</v>
      </c>
      <c r="F1335" s="59" t="s">
        <v>101</v>
      </c>
      <c r="G1335" s="58">
        <f>'МП пр.5'!G836</f>
        <v>4602.9</v>
      </c>
    </row>
    <row r="1336" spans="1:7" ht="25.5">
      <c r="A1336" s="28" t="s">
        <v>593</v>
      </c>
      <c r="B1336" s="60" t="s">
        <v>415</v>
      </c>
      <c r="C1336" s="60" t="s">
        <v>72</v>
      </c>
      <c r="D1336" s="60" t="s">
        <v>70</v>
      </c>
      <c r="E1336" s="161" t="s">
        <v>594</v>
      </c>
      <c r="F1336" s="59"/>
      <c r="G1336" s="58">
        <f>G1337</f>
        <v>100</v>
      </c>
    </row>
    <row r="1337" spans="1:7" ht="25.5">
      <c r="A1337" s="28" t="s">
        <v>610</v>
      </c>
      <c r="B1337" s="60" t="s">
        <v>415</v>
      </c>
      <c r="C1337" s="60" t="s">
        <v>72</v>
      </c>
      <c r="D1337" s="60" t="s">
        <v>70</v>
      </c>
      <c r="E1337" s="161" t="s">
        <v>594</v>
      </c>
      <c r="F1337" s="59" t="s">
        <v>104</v>
      </c>
      <c r="G1337" s="58">
        <f>G1338</f>
        <v>100</v>
      </c>
    </row>
    <row r="1338" spans="1:7" ht="25.5">
      <c r="A1338" s="28" t="s">
        <v>98</v>
      </c>
      <c r="B1338" s="60" t="s">
        <v>415</v>
      </c>
      <c r="C1338" s="60" t="s">
        <v>72</v>
      </c>
      <c r="D1338" s="60" t="s">
        <v>70</v>
      </c>
      <c r="E1338" s="161" t="s">
        <v>594</v>
      </c>
      <c r="F1338" s="59" t="s">
        <v>99</v>
      </c>
      <c r="G1338" s="58">
        <f>G1339</f>
        <v>100</v>
      </c>
    </row>
    <row r="1339" spans="1:7" ht="25.5">
      <c r="A1339" s="28" t="s">
        <v>100</v>
      </c>
      <c r="B1339" s="60" t="s">
        <v>415</v>
      </c>
      <c r="C1339" s="60" t="s">
        <v>72</v>
      </c>
      <c r="D1339" s="60" t="s">
        <v>70</v>
      </c>
      <c r="E1339" s="161" t="s">
        <v>594</v>
      </c>
      <c r="F1339" s="59" t="s">
        <v>101</v>
      </c>
      <c r="G1339" s="58">
        <f>'МП пр.5'!G843</f>
        <v>100</v>
      </c>
    </row>
    <row r="1340" spans="1:7" ht="12.75">
      <c r="A1340" s="28" t="s">
        <v>595</v>
      </c>
      <c r="B1340" s="60" t="s">
        <v>415</v>
      </c>
      <c r="C1340" s="60" t="s">
        <v>72</v>
      </c>
      <c r="D1340" s="60" t="s">
        <v>70</v>
      </c>
      <c r="E1340" s="161" t="s">
        <v>596</v>
      </c>
      <c r="F1340" s="59"/>
      <c r="G1340" s="58">
        <f>G1341</f>
        <v>2050</v>
      </c>
    </row>
    <row r="1341" spans="1:7" ht="25.5">
      <c r="A1341" s="28" t="s">
        <v>610</v>
      </c>
      <c r="B1341" s="60" t="s">
        <v>415</v>
      </c>
      <c r="C1341" s="60" t="s">
        <v>72</v>
      </c>
      <c r="D1341" s="60" t="s">
        <v>70</v>
      </c>
      <c r="E1341" s="161" t="s">
        <v>596</v>
      </c>
      <c r="F1341" s="59" t="s">
        <v>104</v>
      </c>
      <c r="G1341" s="58">
        <f>G1342</f>
        <v>2050</v>
      </c>
    </row>
    <row r="1342" spans="1:7" ht="25.5">
      <c r="A1342" s="28" t="s">
        <v>98</v>
      </c>
      <c r="B1342" s="60" t="s">
        <v>415</v>
      </c>
      <c r="C1342" s="60" t="s">
        <v>72</v>
      </c>
      <c r="D1342" s="60" t="s">
        <v>70</v>
      </c>
      <c r="E1342" s="161" t="s">
        <v>596</v>
      </c>
      <c r="F1342" s="59" t="s">
        <v>99</v>
      </c>
      <c r="G1342" s="58">
        <f>G1343</f>
        <v>2050</v>
      </c>
    </row>
    <row r="1343" spans="1:7" ht="25.5">
      <c r="A1343" s="28" t="s">
        <v>100</v>
      </c>
      <c r="B1343" s="60" t="s">
        <v>415</v>
      </c>
      <c r="C1343" s="60" t="s">
        <v>72</v>
      </c>
      <c r="D1343" s="60" t="s">
        <v>70</v>
      </c>
      <c r="E1343" s="161" t="s">
        <v>596</v>
      </c>
      <c r="F1343" s="59" t="s">
        <v>101</v>
      </c>
      <c r="G1343" s="58">
        <f>'МП пр.5'!G850</f>
        <v>2050</v>
      </c>
    </row>
    <row r="1344" spans="1:7" ht="12.75">
      <c r="A1344" s="28" t="s">
        <v>597</v>
      </c>
      <c r="B1344" s="60" t="s">
        <v>415</v>
      </c>
      <c r="C1344" s="60" t="s">
        <v>72</v>
      </c>
      <c r="D1344" s="60" t="s">
        <v>70</v>
      </c>
      <c r="E1344" s="161" t="s">
        <v>598</v>
      </c>
      <c r="F1344" s="59"/>
      <c r="G1344" s="58">
        <f>G1346</f>
        <v>1096.6</v>
      </c>
    </row>
    <row r="1345" spans="1:7" ht="25.5">
      <c r="A1345" s="28" t="s">
        <v>610</v>
      </c>
      <c r="B1345" s="60" t="s">
        <v>415</v>
      </c>
      <c r="C1345" s="60" t="s">
        <v>72</v>
      </c>
      <c r="D1345" s="60" t="s">
        <v>70</v>
      </c>
      <c r="E1345" s="161" t="s">
        <v>598</v>
      </c>
      <c r="F1345" s="59" t="s">
        <v>104</v>
      </c>
      <c r="G1345" s="58">
        <f>G1346</f>
        <v>1096.6</v>
      </c>
    </row>
    <row r="1346" spans="1:7" ht="25.5">
      <c r="A1346" s="28" t="s">
        <v>98</v>
      </c>
      <c r="B1346" s="60" t="s">
        <v>415</v>
      </c>
      <c r="C1346" s="60" t="s">
        <v>72</v>
      </c>
      <c r="D1346" s="60" t="s">
        <v>70</v>
      </c>
      <c r="E1346" s="161" t="s">
        <v>598</v>
      </c>
      <c r="F1346" s="59" t="s">
        <v>99</v>
      </c>
      <c r="G1346" s="58">
        <f>G1347</f>
        <v>1096.6</v>
      </c>
    </row>
    <row r="1347" spans="1:7" ht="25.5">
      <c r="A1347" s="28" t="s">
        <v>100</v>
      </c>
      <c r="B1347" s="60" t="s">
        <v>415</v>
      </c>
      <c r="C1347" s="60" t="s">
        <v>72</v>
      </c>
      <c r="D1347" s="60" t="s">
        <v>70</v>
      </c>
      <c r="E1347" s="161" t="s">
        <v>598</v>
      </c>
      <c r="F1347" s="59" t="s">
        <v>101</v>
      </c>
      <c r="G1347" s="58">
        <f>'МП пр.5'!G857</f>
        <v>1096.6</v>
      </c>
    </row>
    <row r="1348" spans="1:7" ht="12.75">
      <c r="A1348" s="28" t="s">
        <v>599</v>
      </c>
      <c r="B1348" s="60" t="s">
        <v>415</v>
      </c>
      <c r="C1348" s="60" t="s">
        <v>72</v>
      </c>
      <c r="D1348" s="60" t="s">
        <v>70</v>
      </c>
      <c r="E1348" s="161" t="s">
        <v>600</v>
      </c>
      <c r="F1348" s="59"/>
      <c r="G1348" s="58">
        <f>G1349</f>
        <v>121.69999999999999</v>
      </c>
    </row>
    <row r="1349" spans="1:7" ht="25.5">
      <c r="A1349" s="28" t="s">
        <v>610</v>
      </c>
      <c r="B1349" s="60" t="s">
        <v>415</v>
      </c>
      <c r="C1349" s="60" t="s">
        <v>72</v>
      </c>
      <c r="D1349" s="60" t="s">
        <v>70</v>
      </c>
      <c r="E1349" s="161" t="s">
        <v>600</v>
      </c>
      <c r="F1349" s="59" t="s">
        <v>104</v>
      </c>
      <c r="G1349" s="58">
        <f>G1350</f>
        <v>121.69999999999999</v>
      </c>
    </row>
    <row r="1350" spans="1:7" ht="25.5">
      <c r="A1350" s="28" t="s">
        <v>98</v>
      </c>
      <c r="B1350" s="60" t="s">
        <v>415</v>
      </c>
      <c r="C1350" s="60" t="s">
        <v>72</v>
      </c>
      <c r="D1350" s="60" t="s">
        <v>70</v>
      </c>
      <c r="E1350" s="161" t="s">
        <v>600</v>
      </c>
      <c r="F1350" s="59" t="s">
        <v>99</v>
      </c>
      <c r="G1350" s="58">
        <f>G1351</f>
        <v>121.69999999999999</v>
      </c>
    </row>
    <row r="1351" spans="1:7" ht="25.5">
      <c r="A1351" s="28" t="s">
        <v>100</v>
      </c>
      <c r="B1351" s="60" t="s">
        <v>415</v>
      </c>
      <c r="C1351" s="60" t="s">
        <v>72</v>
      </c>
      <c r="D1351" s="60" t="s">
        <v>70</v>
      </c>
      <c r="E1351" s="161" t="s">
        <v>600</v>
      </c>
      <c r="F1351" s="59" t="s">
        <v>101</v>
      </c>
      <c r="G1351" s="58">
        <f>'МП пр.5'!G864</f>
        <v>121.69999999999999</v>
      </c>
    </row>
    <row r="1352" spans="1:7" ht="26.25" customHeight="1">
      <c r="A1352" s="28" t="str">
        <f>'МП пр.5'!A969</f>
        <v>Муниципальная программа "Формирование современной городской среды муниципального образования "Сусуманский городской округ" на 2017 год"</v>
      </c>
      <c r="B1352" s="60" t="s">
        <v>415</v>
      </c>
      <c r="C1352" s="60" t="s">
        <v>72</v>
      </c>
      <c r="D1352" s="60" t="s">
        <v>70</v>
      </c>
      <c r="E1352" s="161" t="str">
        <f>'МП пр.5'!B969</f>
        <v>7К 0 00 00000</v>
      </c>
      <c r="F1352" s="149"/>
      <c r="G1352" s="58">
        <f>G1353</f>
        <v>2372.5</v>
      </c>
    </row>
    <row r="1353" spans="1:7" ht="26.25" customHeight="1">
      <c r="A1353" s="28" t="str">
        <f>'МП пр.5'!A970</f>
        <v>Основное мероприятие "Формирование современной городской среды при реализации проектов благоустройства территорий муниципальных образований"</v>
      </c>
      <c r="B1353" s="60" t="s">
        <v>415</v>
      </c>
      <c r="C1353" s="60" t="s">
        <v>72</v>
      </c>
      <c r="D1353" s="60" t="s">
        <v>70</v>
      </c>
      <c r="E1353" s="161" t="str">
        <f>'МП пр.5'!B970</f>
        <v>7К 0 01 00000</v>
      </c>
      <c r="F1353" s="149"/>
      <c r="G1353" s="58">
        <f>G1354+G1358</f>
        <v>2372.5</v>
      </c>
    </row>
    <row r="1354" spans="1:7" ht="41.25" customHeight="1">
      <c r="A1354" s="28" t="str">
        <f>'МП пр.5'!A971</f>
        <v>Формирование современной городской среды при реализации проектов благоустройства территорий муниципальных образований  </v>
      </c>
      <c r="B1354" s="60" t="s">
        <v>415</v>
      </c>
      <c r="C1354" s="60" t="s">
        <v>72</v>
      </c>
      <c r="D1354" s="60" t="s">
        <v>70</v>
      </c>
      <c r="E1354" s="161" t="str">
        <f>'МП пр.5'!B971</f>
        <v>7К 0 01 R5550</v>
      </c>
      <c r="F1354" s="149"/>
      <c r="G1354" s="58">
        <f>G1355</f>
        <v>2325.5</v>
      </c>
    </row>
    <row r="1355" spans="1:7" ht="25.5">
      <c r="A1355" s="28" t="str">
        <f>'МП пр.5'!A974</f>
        <v>Закупка товаров, работ и услуг для обеспечения государственных (муниципальных) нужд</v>
      </c>
      <c r="B1355" s="60" t="s">
        <v>415</v>
      </c>
      <c r="C1355" s="60" t="s">
        <v>72</v>
      </c>
      <c r="D1355" s="60" t="s">
        <v>70</v>
      </c>
      <c r="E1355" s="161" t="str">
        <f>'МП пр.5'!B974</f>
        <v>7К 0 01 R5550</v>
      </c>
      <c r="F1355" s="149" t="str">
        <f>'МП пр.5'!E974</f>
        <v>200</v>
      </c>
      <c r="G1355" s="58">
        <f>G1356</f>
        <v>2325.5</v>
      </c>
    </row>
    <row r="1356" spans="1:7" ht="25.5">
      <c r="A1356" s="28" t="str">
        <f>'МП пр.5'!A975</f>
        <v>Иные закупки товаров, работ и услуг для обеспечения государственных и муниципальных нужд</v>
      </c>
      <c r="B1356" s="60" t="s">
        <v>415</v>
      </c>
      <c r="C1356" s="60" t="s">
        <v>72</v>
      </c>
      <c r="D1356" s="60" t="s">
        <v>70</v>
      </c>
      <c r="E1356" s="161" t="str">
        <f>'МП пр.5'!B975</f>
        <v>7К 0 01 R5550</v>
      </c>
      <c r="F1356" s="149" t="str">
        <f>'МП пр.5'!E975</f>
        <v>240</v>
      </c>
      <c r="G1356" s="58">
        <f>G1357</f>
        <v>2325.5</v>
      </c>
    </row>
    <row r="1357" spans="1:7" ht="25.5">
      <c r="A1357" s="28" t="str">
        <f>'МП пр.5'!A976</f>
        <v>Прочая закупка товаров, работ и услуг для обеспечения государственных (муниципальных) нужд</v>
      </c>
      <c r="B1357" s="60" t="s">
        <v>415</v>
      </c>
      <c r="C1357" s="60" t="s">
        <v>72</v>
      </c>
      <c r="D1357" s="60" t="s">
        <v>70</v>
      </c>
      <c r="E1357" s="161" t="str">
        <f>'МП пр.5'!B976</f>
        <v>7К 0 01 R5550</v>
      </c>
      <c r="F1357" s="149" t="str">
        <f>'МП пр.5'!E976</f>
        <v>244</v>
      </c>
      <c r="G1357" s="58">
        <f>'МП пр.5'!G976</f>
        <v>2325.5</v>
      </c>
    </row>
    <row r="1358" spans="1:7" ht="24.75" customHeight="1">
      <c r="A1358" s="28" t="str">
        <f>'МП пр.5'!A978</f>
        <v> Формирование современной городской среды при реализации проектов благоустройства территорий муниципальных образований за счет средств местного бюджета</v>
      </c>
      <c r="B1358" s="60" t="s">
        <v>415</v>
      </c>
      <c r="C1358" s="60" t="s">
        <v>72</v>
      </c>
      <c r="D1358" s="60" t="s">
        <v>70</v>
      </c>
      <c r="E1358" s="161" t="str">
        <f>'МП пр.5'!B978</f>
        <v>7К 0 01 L5550</v>
      </c>
      <c r="F1358" s="149"/>
      <c r="G1358" s="58">
        <f>G1359</f>
        <v>47</v>
      </c>
    </row>
    <row r="1359" spans="1:7" ht="25.5">
      <c r="A1359" s="28" t="str">
        <f>'МП пр.5'!A981</f>
        <v>Закупка товаров, работ и услуг для обеспечения государственных (муниципальных) нужд</v>
      </c>
      <c r="B1359" s="60" t="s">
        <v>415</v>
      </c>
      <c r="C1359" s="60" t="s">
        <v>72</v>
      </c>
      <c r="D1359" s="60" t="s">
        <v>70</v>
      </c>
      <c r="E1359" s="161" t="str">
        <f>'МП пр.5'!B981</f>
        <v>7К 0 01 L5550</v>
      </c>
      <c r="F1359" s="149" t="str">
        <f>'МП пр.5'!E981</f>
        <v>200</v>
      </c>
      <c r="G1359" s="58">
        <f>G1360</f>
        <v>47</v>
      </c>
    </row>
    <row r="1360" spans="1:7" ht="25.5">
      <c r="A1360" s="28" t="str">
        <f>'МП пр.5'!A982</f>
        <v>Иные закупки товаров, работ и услуг для обеспечения государственных и муниципальных нужд</v>
      </c>
      <c r="B1360" s="60" t="s">
        <v>415</v>
      </c>
      <c r="C1360" s="60" t="s">
        <v>72</v>
      </c>
      <c r="D1360" s="60" t="s">
        <v>70</v>
      </c>
      <c r="E1360" s="161" t="str">
        <f>'МП пр.5'!B982</f>
        <v>7К 0 01 L5550</v>
      </c>
      <c r="F1360" s="149" t="str">
        <f>'МП пр.5'!E982</f>
        <v>240</v>
      </c>
      <c r="G1360" s="58">
        <f>G1361</f>
        <v>47</v>
      </c>
    </row>
    <row r="1361" spans="1:7" ht="25.5">
      <c r="A1361" s="28" t="str">
        <f>'МП пр.5'!A983</f>
        <v>Прочая закупка товаров, работ и услуг для обеспечения государственных (муниципальных) нужд</v>
      </c>
      <c r="B1361" s="60" t="s">
        <v>415</v>
      </c>
      <c r="C1361" s="60" t="s">
        <v>72</v>
      </c>
      <c r="D1361" s="60" t="s">
        <v>70</v>
      </c>
      <c r="E1361" s="161" t="str">
        <f>'МП пр.5'!B983</f>
        <v>7К 0 01 L5550</v>
      </c>
      <c r="F1361" s="149" t="str">
        <f>'МП пр.5'!E983</f>
        <v>244</v>
      </c>
      <c r="G1361" s="58">
        <f>'МП пр.5'!G983</f>
        <v>47</v>
      </c>
    </row>
    <row r="1362" spans="1:7" ht="12.75">
      <c r="A1362" s="205" t="s">
        <v>867</v>
      </c>
      <c r="B1362" s="60" t="s">
        <v>415</v>
      </c>
      <c r="C1362" s="60" t="s">
        <v>72</v>
      </c>
      <c r="D1362" s="60" t="s">
        <v>70</v>
      </c>
      <c r="E1362" s="59" t="s">
        <v>601</v>
      </c>
      <c r="F1362" s="165"/>
      <c r="G1362" s="58">
        <f>G1368+G1379+G1371+G1375+G1363</f>
        <v>3351</v>
      </c>
    </row>
    <row r="1363" spans="1:7" s="30" customFormat="1" ht="12.75">
      <c r="A1363" s="16" t="s">
        <v>868</v>
      </c>
      <c r="B1363" s="169" t="s">
        <v>415</v>
      </c>
      <c r="C1363" s="34" t="s">
        <v>72</v>
      </c>
      <c r="D1363" s="34" t="s">
        <v>70</v>
      </c>
      <c r="E1363" s="204" t="s">
        <v>869</v>
      </c>
      <c r="F1363" s="19"/>
      <c r="G1363" s="58">
        <f>G1364</f>
        <v>100</v>
      </c>
    </row>
    <row r="1364" spans="1:7" ht="25.5">
      <c r="A1364" s="16" t="s">
        <v>610</v>
      </c>
      <c r="B1364" s="169" t="s">
        <v>415</v>
      </c>
      <c r="C1364" s="34" t="s">
        <v>72</v>
      </c>
      <c r="D1364" s="34" t="s">
        <v>70</v>
      </c>
      <c r="E1364" s="204" t="s">
        <v>869</v>
      </c>
      <c r="F1364" s="170">
        <v>200</v>
      </c>
      <c r="G1364" s="58">
        <f>G1365</f>
        <v>100</v>
      </c>
    </row>
    <row r="1365" spans="1:7" ht="25.5">
      <c r="A1365" s="16" t="s">
        <v>98</v>
      </c>
      <c r="B1365" s="169" t="s">
        <v>415</v>
      </c>
      <c r="C1365" s="34" t="s">
        <v>72</v>
      </c>
      <c r="D1365" s="34" t="s">
        <v>70</v>
      </c>
      <c r="E1365" s="204" t="s">
        <v>869</v>
      </c>
      <c r="F1365" s="19" t="s">
        <v>99</v>
      </c>
      <c r="G1365" s="58">
        <f>G1366</f>
        <v>100</v>
      </c>
    </row>
    <row r="1366" spans="1:7" ht="25.5">
      <c r="A1366" s="16" t="s">
        <v>100</v>
      </c>
      <c r="B1366" s="169" t="s">
        <v>415</v>
      </c>
      <c r="C1366" s="34" t="s">
        <v>72</v>
      </c>
      <c r="D1366" s="34" t="s">
        <v>70</v>
      </c>
      <c r="E1366" s="204" t="s">
        <v>869</v>
      </c>
      <c r="F1366" s="19" t="s">
        <v>101</v>
      </c>
      <c r="G1366" s="58">
        <v>100</v>
      </c>
    </row>
    <row r="1367" spans="1:7" ht="12.75">
      <c r="A1367" s="154" t="s">
        <v>285</v>
      </c>
      <c r="B1367" s="60" t="s">
        <v>415</v>
      </c>
      <c r="C1367" s="60" t="s">
        <v>72</v>
      </c>
      <c r="D1367" s="60" t="s">
        <v>70</v>
      </c>
      <c r="E1367" s="59" t="s">
        <v>602</v>
      </c>
      <c r="F1367" s="165"/>
      <c r="G1367" s="58">
        <f>G1368</f>
        <v>497</v>
      </c>
    </row>
    <row r="1368" spans="1:7" ht="25.5">
      <c r="A1368" s="28" t="s">
        <v>610</v>
      </c>
      <c r="B1368" s="60" t="s">
        <v>415</v>
      </c>
      <c r="C1368" s="60" t="s">
        <v>72</v>
      </c>
      <c r="D1368" s="60" t="s">
        <v>70</v>
      </c>
      <c r="E1368" s="59" t="s">
        <v>602</v>
      </c>
      <c r="F1368" s="59" t="s">
        <v>104</v>
      </c>
      <c r="G1368" s="58">
        <f>G1369</f>
        <v>497</v>
      </c>
    </row>
    <row r="1369" spans="1:7" ht="25.5">
      <c r="A1369" s="28" t="s">
        <v>98</v>
      </c>
      <c r="B1369" s="60" t="s">
        <v>415</v>
      </c>
      <c r="C1369" s="60" t="s">
        <v>72</v>
      </c>
      <c r="D1369" s="60" t="s">
        <v>70</v>
      </c>
      <c r="E1369" s="59" t="s">
        <v>602</v>
      </c>
      <c r="F1369" s="59" t="s">
        <v>99</v>
      </c>
      <c r="G1369" s="58">
        <f>G1370</f>
        <v>497</v>
      </c>
    </row>
    <row r="1370" spans="1:7" ht="25.5">
      <c r="A1370" s="28" t="s">
        <v>100</v>
      </c>
      <c r="B1370" s="60" t="s">
        <v>415</v>
      </c>
      <c r="C1370" s="60" t="s">
        <v>72</v>
      </c>
      <c r="D1370" s="60" t="s">
        <v>70</v>
      </c>
      <c r="E1370" s="59" t="s">
        <v>602</v>
      </c>
      <c r="F1370" s="59" t="s">
        <v>101</v>
      </c>
      <c r="G1370" s="58">
        <f>800-300-3</f>
        <v>497</v>
      </c>
    </row>
    <row r="1371" spans="1:7" s="30" customFormat="1" ht="30.75" customHeight="1">
      <c r="A1371" s="28" t="s">
        <v>792</v>
      </c>
      <c r="B1371" s="60" t="s">
        <v>415</v>
      </c>
      <c r="C1371" s="60" t="s">
        <v>72</v>
      </c>
      <c r="D1371" s="60" t="s">
        <v>70</v>
      </c>
      <c r="E1371" s="59" t="s">
        <v>793</v>
      </c>
      <c r="F1371" s="59"/>
      <c r="G1371" s="58">
        <f>G1372</f>
        <v>534</v>
      </c>
    </row>
    <row r="1372" spans="1:7" s="30" customFormat="1" ht="18.75" customHeight="1">
      <c r="A1372" s="28" t="s">
        <v>128</v>
      </c>
      <c r="B1372" s="60" t="s">
        <v>415</v>
      </c>
      <c r="C1372" s="60" t="s">
        <v>72</v>
      </c>
      <c r="D1372" s="60" t="s">
        <v>70</v>
      </c>
      <c r="E1372" s="59" t="s">
        <v>793</v>
      </c>
      <c r="F1372" s="59" t="s">
        <v>129</v>
      </c>
      <c r="G1372" s="58">
        <f>G1373</f>
        <v>534</v>
      </c>
    </row>
    <row r="1373" spans="1:7" s="30" customFormat="1" ht="29.25" customHeight="1">
      <c r="A1373" s="28" t="s">
        <v>164</v>
      </c>
      <c r="B1373" s="60" t="s">
        <v>415</v>
      </c>
      <c r="C1373" s="60" t="s">
        <v>72</v>
      </c>
      <c r="D1373" s="60" t="s">
        <v>70</v>
      </c>
      <c r="E1373" s="59" t="s">
        <v>793</v>
      </c>
      <c r="F1373" s="59" t="s">
        <v>130</v>
      </c>
      <c r="G1373" s="58">
        <f>G1374</f>
        <v>534</v>
      </c>
    </row>
    <row r="1374" spans="1:7" s="30" customFormat="1" ht="30" customHeight="1">
      <c r="A1374" s="28" t="s">
        <v>609</v>
      </c>
      <c r="B1374" s="60" t="s">
        <v>415</v>
      </c>
      <c r="C1374" s="60" t="s">
        <v>72</v>
      </c>
      <c r="D1374" s="60" t="s">
        <v>70</v>
      </c>
      <c r="E1374" s="59" t="s">
        <v>793</v>
      </c>
      <c r="F1374" s="59" t="s">
        <v>608</v>
      </c>
      <c r="G1374" s="58">
        <f>660-50-76</f>
        <v>534</v>
      </c>
    </row>
    <row r="1375" spans="1:7" s="30" customFormat="1" ht="20.25" customHeight="1">
      <c r="A1375" s="28" t="s">
        <v>794</v>
      </c>
      <c r="B1375" s="60" t="s">
        <v>415</v>
      </c>
      <c r="C1375" s="60" t="s">
        <v>72</v>
      </c>
      <c r="D1375" s="60" t="s">
        <v>70</v>
      </c>
      <c r="E1375" s="59" t="s">
        <v>795</v>
      </c>
      <c r="F1375" s="59"/>
      <c r="G1375" s="58">
        <f>G1376</f>
        <v>140</v>
      </c>
    </row>
    <row r="1376" spans="1:7" s="30" customFormat="1" ht="17.25" customHeight="1">
      <c r="A1376" s="28" t="s">
        <v>610</v>
      </c>
      <c r="B1376" s="60" t="s">
        <v>415</v>
      </c>
      <c r="C1376" s="60" t="s">
        <v>72</v>
      </c>
      <c r="D1376" s="60" t="s">
        <v>70</v>
      </c>
      <c r="E1376" s="59" t="s">
        <v>795</v>
      </c>
      <c r="F1376" s="59" t="s">
        <v>104</v>
      </c>
      <c r="G1376" s="58">
        <f>G1377</f>
        <v>140</v>
      </c>
    </row>
    <row r="1377" spans="1:7" s="30" customFormat="1" ht="27" customHeight="1">
      <c r="A1377" s="28" t="s">
        <v>98</v>
      </c>
      <c r="B1377" s="60" t="s">
        <v>415</v>
      </c>
      <c r="C1377" s="60" t="s">
        <v>72</v>
      </c>
      <c r="D1377" s="60" t="s">
        <v>70</v>
      </c>
      <c r="E1377" s="59" t="s">
        <v>795</v>
      </c>
      <c r="F1377" s="59" t="s">
        <v>99</v>
      </c>
      <c r="G1377" s="58">
        <f>G1378</f>
        <v>140</v>
      </c>
    </row>
    <row r="1378" spans="1:7" s="30" customFormat="1" ht="23.25" customHeight="1">
      <c r="A1378" s="28" t="s">
        <v>100</v>
      </c>
      <c r="B1378" s="60" t="s">
        <v>415</v>
      </c>
      <c r="C1378" s="60" t="s">
        <v>72</v>
      </c>
      <c r="D1378" s="60" t="s">
        <v>70</v>
      </c>
      <c r="E1378" s="59" t="s">
        <v>795</v>
      </c>
      <c r="F1378" s="59" t="s">
        <v>101</v>
      </c>
      <c r="G1378" s="58">
        <v>140</v>
      </c>
    </row>
    <row r="1379" spans="1:7" s="30" customFormat="1" ht="28.5" customHeight="1">
      <c r="A1379" s="28" t="s">
        <v>796</v>
      </c>
      <c r="B1379" s="60" t="s">
        <v>415</v>
      </c>
      <c r="C1379" s="60" t="s">
        <v>72</v>
      </c>
      <c r="D1379" s="60" t="s">
        <v>70</v>
      </c>
      <c r="E1379" s="59" t="s">
        <v>714</v>
      </c>
      <c r="F1379" s="59"/>
      <c r="G1379" s="58">
        <f>G1380+G1383</f>
        <v>2080</v>
      </c>
    </row>
    <row r="1380" spans="1:7" s="30" customFormat="1" ht="19.5" customHeight="1">
      <c r="A1380" s="28" t="s">
        <v>610</v>
      </c>
      <c r="B1380" s="60" t="s">
        <v>415</v>
      </c>
      <c r="C1380" s="60" t="s">
        <v>72</v>
      </c>
      <c r="D1380" s="60" t="s">
        <v>70</v>
      </c>
      <c r="E1380" s="59" t="s">
        <v>714</v>
      </c>
      <c r="F1380" s="59" t="s">
        <v>104</v>
      </c>
      <c r="G1380" s="58">
        <f>G1381</f>
        <v>803.3</v>
      </c>
    </row>
    <row r="1381" spans="1:7" s="30" customFormat="1" ht="29.25" customHeight="1">
      <c r="A1381" s="28" t="s">
        <v>98</v>
      </c>
      <c r="B1381" s="60" t="s">
        <v>415</v>
      </c>
      <c r="C1381" s="60" t="s">
        <v>72</v>
      </c>
      <c r="D1381" s="60" t="s">
        <v>70</v>
      </c>
      <c r="E1381" s="59" t="s">
        <v>714</v>
      </c>
      <c r="F1381" s="59" t="s">
        <v>99</v>
      </c>
      <c r="G1381" s="58">
        <f>G1382</f>
        <v>803.3</v>
      </c>
    </row>
    <row r="1382" spans="1:7" s="30" customFormat="1" ht="30.75" customHeight="1">
      <c r="A1382" s="28" t="s">
        <v>100</v>
      </c>
      <c r="B1382" s="60" t="s">
        <v>415</v>
      </c>
      <c r="C1382" s="60" t="s">
        <v>72</v>
      </c>
      <c r="D1382" s="60" t="s">
        <v>70</v>
      </c>
      <c r="E1382" s="59" t="s">
        <v>714</v>
      </c>
      <c r="F1382" s="59" t="s">
        <v>101</v>
      </c>
      <c r="G1382" s="58">
        <f>2080-1276.7</f>
        <v>803.3</v>
      </c>
    </row>
    <row r="1383" spans="1:7" s="30" customFormat="1" ht="17.25" customHeight="1">
      <c r="A1383" s="16" t="s">
        <v>495</v>
      </c>
      <c r="B1383" s="60" t="s">
        <v>415</v>
      </c>
      <c r="C1383" s="60" t="s">
        <v>72</v>
      </c>
      <c r="D1383" s="60" t="s">
        <v>70</v>
      </c>
      <c r="E1383" s="59" t="s">
        <v>714</v>
      </c>
      <c r="F1383" s="59" t="s">
        <v>496</v>
      </c>
      <c r="G1383" s="58">
        <f>G1384</f>
        <v>1276.7</v>
      </c>
    </row>
    <row r="1384" spans="1:7" s="30" customFormat="1" ht="18" customHeight="1">
      <c r="A1384" s="16" t="s">
        <v>497</v>
      </c>
      <c r="B1384" s="60" t="s">
        <v>415</v>
      </c>
      <c r="C1384" s="60" t="s">
        <v>72</v>
      </c>
      <c r="D1384" s="60" t="s">
        <v>70</v>
      </c>
      <c r="E1384" s="59" t="s">
        <v>714</v>
      </c>
      <c r="F1384" s="59" t="s">
        <v>498</v>
      </c>
      <c r="G1384" s="58">
        <f>G1385</f>
        <v>1276.7</v>
      </c>
    </row>
    <row r="1385" spans="1:7" s="30" customFormat="1" ht="30.75" customHeight="1">
      <c r="A1385" s="16" t="s">
        <v>874</v>
      </c>
      <c r="B1385" s="60" t="s">
        <v>415</v>
      </c>
      <c r="C1385" s="60" t="s">
        <v>72</v>
      </c>
      <c r="D1385" s="60" t="s">
        <v>70</v>
      </c>
      <c r="E1385" s="59" t="s">
        <v>714</v>
      </c>
      <c r="F1385" s="59" t="s">
        <v>787</v>
      </c>
      <c r="G1385" s="58">
        <v>1276.7</v>
      </c>
    </row>
    <row r="1386" spans="1:7" s="65" customFormat="1" ht="18" customHeight="1">
      <c r="A1386" s="61" t="s">
        <v>797</v>
      </c>
      <c r="B1386" s="62" t="s">
        <v>415</v>
      </c>
      <c r="C1386" s="62" t="s">
        <v>76</v>
      </c>
      <c r="D1386" s="62" t="s">
        <v>36</v>
      </c>
      <c r="E1386" s="148"/>
      <c r="F1386" s="148"/>
      <c r="G1386" s="148">
        <f>G1387</f>
        <v>2100</v>
      </c>
    </row>
    <row r="1387" spans="1:7" s="65" customFormat="1" ht="18" customHeight="1">
      <c r="A1387" s="61" t="s">
        <v>483</v>
      </c>
      <c r="B1387" s="62" t="s">
        <v>415</v>
      </c>
      <c r="C1387" s="62" t="s">
        <v>76</v>
      </c>
      <c r="D1387" s="62" t="s">
        <v>72</v>
      </c>
      <c r="E1387" s="148"/>
      <c r="F1387" s="148"/>
      <c r="G1387" s="148">
        <f>G1399+G1389</f>
        <v>2100</v>
      </c>
    </row>
    <row r="1388" spans="1:7" s="65" customFormat="1" ht="18" customHeight="1" hidden="1">
      <c r="A1388" s="61"/>
      <c r="B1388" s="60" t="s">
        <v>415</v>
      </c>
      <c r="C1388" s="60" t="s">
        <v>76</v>
      </c>
      <c r="D1388" s="60" t="s">
        <v>72</v>
      </c>
      <c r="E1388" s="149" t="s">
        <v>807</v>
      </c>
      <c r="F1388" s="148"/>
      <c r="G1388" s="148"/>
    </row>
    <row r="1389" spans="1:7" s="65" customFormat="1" ht="40.5" customHeight="1">
      <c r="A1389" s="28" t="str">
        <f>'МП пр.5'!A911</f>
        <v>Муниципальная программа "Развитие системы обращения с отходами производства и потребления на территории муниципального образования "Сусуманский городской округ" на 2017- 2018 годы"</v>
      </c>
      <c r="B1389" s="60" t="s">
        <v>415</v>
      </c>
      <c r="C1389" s="60" t="s">
        <v>76</v>
      </c>
      <c r="D1389" s="60" t="s">
        <v>72</v>
      </c>
      <c r="E1389" s="161" t="s">
        <v>485</v>
      </c>
      <c r="F1389" s="59"/>
      <c r="G1389" s="145">
        <f>G1390</f>
        <v>2100</v>
      </c>
    </row>
    <row r="1390" spans="1:7" s="65" customFormat="1" ht="46.5" customHeight="1">
      <c r="A1390" s="28" t="str">
        <f>'МП пр.5'!A912</f>
        <v>Основное мероприятие "Разработка проектно- сметной документации и выполнение инженерных изысканий по объекту: "Межпоселенческий полигон ТКО в городе Сусуман"</v>
      </c>
      <c r="B1390" s="60" t="s">
        <v>415</v>
      </c>
      <c r="C1390" s="60" t="s">
        <v>76</v>
      </c>
      <c r="D1390" s="60" t="s">
        <v>72</v>
      </c>
      <c r="E1390" s="161" t="s">
        <v>486</v>
      </c>
      <c r="F1390" s="59"/>
      <c r="G1390" s="145">
        <f>G1391+G1395</f>
        <v>2100</v>
      </c>
    </row>
    <row r="1391" spans="1:7" s="65" customFormat="1" ht="42.75" customHeight="1">
      <c r="A1391" s="28" t="str">
        <f>'МП пр.5'!A913</f>
        <v>Разработка проектно-сметной документации и выполнение инженерных изысканий по объекту: "Межпоселенческий полигон ТКО в городе Сусуман"</v>
      </c>
      <c r="B1391" s="60" t="s">
        <v>415</v>
      </c>
      <c r="C1391" s="60" t="s">
        <v>76</v>
      </c>
      <c r="D1391" s="60" t="s">
        <v>72</v>
      </c>
      <c r="E1391" s="161" t="s">
        <v>487</v>
      </c>
      <c r="F1391" s="59"/>
      <c r="G1391" s="145">
        <f>G1392</f>
        <v>1900</v>
      </c>
    </row>
    <row r="1392" spans="1:7" s="65" customFormat="1" ht="39" customHeight="1">
      <c r="A1392" s="28" t="s">
        <v>610</v>
      </c>
      <c r="B1392" s="60" t="s">
        <v>415</v>
      </c>
      <c r="C1392" s="60" t="s">
        <v>76</v>
      </c>
      <c r="D1392" s="60" t="s">
        <v>72</v>
      </c>
      <c r="E1392" s="161" t="s">
        <v>487</v>
      </c>
      <c r="F1392" s="59" t="s">
        <v>104</v>
      </c>
      <c r="G1392" s="145">
        <f>G1393</f>
        <v>1900</v>
      </c>
    </row>
    <row r="1393" spans="1:7" s="65" customFormat="1" ht="26.25" customHeight="1">
      <c r="A1393" s="28" t="s">
        <v>98</v>
      </c>
      <c r="B1393" s="60" t="s">
        <v>415</v>
      </c>
      <c r="C1393" s="60" t="s">
        <v>76</v>
      </c>
      <c r="D1393" s="60" t="s">
        <v>72</v>
      </c>
      <c r="E1393" s="161" t="s">
        <v>487</v>
      </c>
      <c r="F1393" s="59" t="s">
        <v>99</v>
      </c>
      <c r="G1393" s="145">
        <f>G1394</f>
        <v>1900</v>
      </c>
    </row>
    <row r="1394" spans="1:7" s="65" customFormat="1" ht="32.25" customHeight="1">
      <c r="A1394" s="28" t="s">
        <v>100</v>
      </c>
      <c r="B1394" s="60" t="s">
        <v>415</v>
      </c>
      <c r="C1394" s="60" t="s">
        <v>76</v>
      </c>
      <c r="D1394" s="60" t="s">
        <v>72</v>
      </c>
      <c r="E1394" s="161" t="s">
        <v>487</v>
      </c>
      <c r="F1394" s="59" t="s">
        <v>101</v>
      </c>
      <c r="G1394" s="145">
        <f>'МП пр.5'!G914</f>
        <v>1900</v>
      </c>
    </row>
    <row r="1395" spans="1:7" s="65" customFormat="1" ht="39" customHeight="1">
      <c r="A1395" s="28" t="str">
        <f>'МП пр.5'!A915</f>
        <v>Разработка проектно-сметной документации и выполнение инженерных изысканий по объекту: "Межпоселенческий полигон ТКО в городе Сусуман" за счет средств местного бюджета</v>
      </c>
      <c r="B1395" s="60" t="s">
        <v>415</v>
      </c>
      <c r="C1395" s="60" t="s">
        <v>76</v>
      </c>
      <c r="D1395" s="60" t="s">
        <v>72</v>
      </c>
      <c r="E1395" s="161" t="s">
        <v>488</v>
      </c>
      <c r="F1395" s="59"/>
      <c r="G1395" s="145">
        <f>G1396</f>
        <v>200</v>
      </c>
    </row>
    <row r="1396" spans="1:7" s="65" customFormat="1" ht="37.5" customHeight="1">
      <c r="A1396" s="28" t="s">
        <v>610</v>
      </c>
      <c r="B1396" s="60" t="s">
        <v>415</v>
      </c>
      <c r="C1396" s="60" t="s">
        <v>76</v>
      </c>
      <c r="D1396" s="60" t="s">
        <v>72</v>
      </c>
      <c r="E1396" s="161" t="s">
        <v>488</v>
      </c>
      <c r="F1396" s="59" t="s">
        <v>104</v>
      </c>
      <c r="G1396" s="145">
        <f>G1397</f>
        <v>200</v>
      </c>
    </row>
    <row r="1397" spans="1:7" s="65" customFormat="1" ht="30.75" customHeight="1">
      <c r="A1397" s="28" t="s">
        <v>98</v>
      </c>
      <c r="B1397" s="60" t="s">
        <v>415</v>
      </c>
      <c r="C1397" s="60" t="s">
        <v>76</v>
      </c>
      <c r="D1397" s="60" t="s">
        <v>72</v>
      </c>
      <c r="E1397" s="161" t="s">
        <v>488</v>
      </c>
      <c r="F1397" s="59" t="s">
        <v>99</v>
      </c>
      <c r="G1397" s="145">
        <f>G1398</f>
        <v>200</v>
      </c>
    </row>
    <row r="1398" spans="1:7" s="65" customFormat="1" ht="29.25" customHeight="1">
      <c r="A1398" s="28" t="s">
        <v>100</v>
      </c>
      <c r="B1398" s="60" t="s">
        <v>415</v>
      </c>
      <c r="C1398" s="60" t="s">
        <v>76</v>
      </c>
      <c r="D1398" s="60" t="s">
        <v>72</v>
      </c>
      <c r="E1398" s="161" t="s">
        <v>488</v>
      </c>
      <c r="F1398" s="59" t="s">
        <v>101</v>
      </c>
      <c r="G1398" s="145">
        <f>'МП пр.5'!G916</f>
        <v>200</v>
      </c>
    </row>
    <row r="1399" spans="1:7" s="30" customFormat="1" ht="36" customHeight="1">
      <c r="A1399" s="28" t="str">
        <f>'МП пр.5'!A985</f>
        <v>Муниципальная программа "Экологическая безопасность и охрана окружающей среды муниципального образования "Сусуманский городской округ" на 2017 год"</v>
      </c>
      <c r="B1399" s="60" t="s">
        <v>415</v>
      </c>
      <c r="C1399" s="60" t="s">
        <v>76</v>
      </c>
      <c r="D1399" s="60" t="s">
        <v>72</v>
      </c>
      <c r="E1399" s="149" t="str">
        <f>'МП пр.5'!B985</f>
        <v>7W 0 00 00000</v>
      </c>
      <c r="F1399" s="149"/>
      <c r="G1399" s="149">
        <f>G1400</f>
        <v>0</v>
      </c>
    </row>
    <row r="1400" spans="1:7" s="30" customFormat="1" ht="27" customHeight="1">
      <c r="A1400" s="28" t="str">
        <f>'МП пр.5'!A986</f>
        <v>Основное мероприятие "Снос ветхого, заброшенного жилья на территории Сусуманского городского округа"</v>
      </c>
      <c r="B1400" s="60" t="s">
        <v>415</v>
      </c>
      <c r="C1400" s="60" t="s">
        <v>76</v>
      </c>
      <c r="D1400" s="60" t="s">
        <v>72</v>
      </c>
      <c r="E1400" s="149" t="str">
        <f>'МП пр.5'!B986</f>
        <v>7W 0 01 00000</v>
      </c>
      <c r="F1400" s="149"/>
      <c r="G1400" s="149">
        <f>G1401+G1405</f>
        <v>0</v>
      </c>
    </row>
    <row r="1401" spans="1:7" s="30" customFormat="1" ht="60" customHeight="1">
      <c r="A1401" s="28" t="str">
        <f>'МП пр.5'!A987</f>
        <v>Финансирование мероприятия "Снос ветхого, заброшенного жилья в действующих поселках и полностью заброшенных поселках, в том числе вдоль автомобильных дорог, расположенных на территории  Сусуманского городского округа" за счет средств областного бюджета</v>
      </c>
      <c r="B1401" s="60" t="s">
        <v>415</v>
      </c>
      <c r="C1401" s="60" t="s">
        <v>76</v>
      </c>
      <c r="D1401" s="60" t="s">
        <v>72</v>
      </c>
      <c r="E1401" s="149" t="str">
        <f>'МП пр.5'!B987</f>
        <v>7W 0 01 73520</v>
      </c>
      <c r="F1401" s="149"/>
      <c r="G1401" s="149">
        <f>G1402</f>
        <v>0</v>
      </c>
    </row>
    <row r="1402" spans="1:7" s="30" customFormat="1" ht="35.25" customHeight="1">
      <c r="A1402" s="28" t="str">
        <f>'МП пр.5'!A990</f>
        <v>Закупка товаров, работ и услуг для обеспечения государственных (муниципальных) нужд</v>
      </c>
      <c r="B1402" s="60" t="s">
        <v>415</v>
      </c>
      <c r="C1402" s="60" t="s">
        <v>76</v>
      </c>
      <c r="D1402" s="60" t="s">
        <v>72</v>
      </c>
      <c r="E1402" s="149" t="str">
        <f>'МП пр.5'!B990</f>
        <v>7W 0 01 73520</v>
      </c>
      <c r="F1402" s="149" t="str">
        <f>'МП пр.5'!E990</f>
        <v>200</v>
      </c>
      <c r="G1402" s="149">
        <f>G1403</f>
        <v>0</v>
      </c>
    </row>
    <row r="1403" spans="1:7" s="30" customFormat="1" ht="27" customHeight="1">
      <c r="A1403" s="28" t="str">
        <f>'МП пр.5'!A991</f>
        <v>Иные закупки товаров, работ и услуг для обеспечения государственных и муниципальных нужд</v>
      </c>
      <c r="B1403" s="60" t="s">
        <v>415</v>
      </c>
      <c r="C1403" s="60" t="s">
        <v>76</v>
      </c>
      <c r="D1403" s="60" t="s">
        <v>72</v>
      </c>
      <c r="E1403" s="149" t="str">
        <f>'МП пр.5'!B991</f>
        <v>7W 0 01 73520</v>
      </c>
      <c r="F1403" s="149" t="str">
        <f>'МП пр.5'!E991</f>
        <v>240</v>
      </c>
      <c r="G1403" s="149">
        <f>G1404</f>
        <v>0</v>
      </c>
    </row>
    <row r="1404" spans="1:7" s="30" customFormat="1" ht="29.25" customHeight="1">
      <c r="A1404" s="28" t="str">
        <f>'МП пр.5'!A992</f>
        <v>Прочая закупка товаров, работ и услуг для обеспечения государственных (муниципальных) нужд</v>
      </c>
      <c r="B1404" s="60" t="s">
        <v>415</v>
      </c>
      <c r="C1404" s="60" t="s">
        <v>76</v>
      </c>
      <c r="D1404" s="60" t="s">
        <v>72</v>
      </c>
      <c r="E1404" s="149" t="str">
        <f>'МП пр.5'!B992</f>
        <v>7W 0 01 73520</v>
      </c>
      <c r="F1404" s="149" t="str">
        <f>'МП пр.5'!E992</f>
        <v>244</v>
      </c>
      <c r="G1404" s="149">
        <f>'МП пр.5'!G992</f>
        <v>0</v>
      </c>
    </row>
    <row r="1405" spans="1:7" s="30" customFormat="1" ht="48" customHeight="1">
      <c r="A1405" s="28" t="str">
        <f>'МП пр.5'!A994</f>
        <v>Софинансирование мероприятия "Снос ветхого, заброшенного жилья в действующих поселках и полностью заброшенных поселках, в том числе вдоль автомобильных дорог, расположенных на территории  Сусуманского городского округа" </v>
      </c>
      <c r="B1405" s="60" t="s">
        <v>415</v>
      </c>
      <c r="C1405" s="60" t="s">
        <v>76</v>
      </c>
      <c r="D1405" s="60" t="s">
        <v>72</v>
      </c>
      <c r="E1405" s="149" t="str">
        <f>'МП пр.5'!B994</f>
        <v>7W 0 01 S3520</v>
      </c>
      <c r="F1405" s="149"/>
      <c r="G1405" s="149">
        <f>G1406</f>
        <v>0</v>
      </c>
    </row>
    <row r="1406" spans="1:7" s="30" customFormat="1" ht="34.5" customHeight="1">
      <c r="A1406" s="28" t="str">
        <f>'МП пр.5'!A997</f>
        <v>Закупка товаров, работ и услуг для обеспечения государственных (муниципальных) нужд</v>
      </c>
      <c r="B1406" s="60" t="s">
        <v>415</v>
      </c>
      <c r="C1406" s="60" t="s">
        <v>76</v>
      </c>
      <c r="D1406" s="60" t="s">
        <v>72</v>
      </c>
      <c r="E1406" s="149" t="str">
        <f>'МП пр.5'!B997</f>
        <v>7W 0 01 S3520</v>
      </c>
      <c r="F1406" s="149" t="str">
        <f>'МП пр.5'!E997</f>
        <v>200</v>
      </c>
      <c r="G1406" s="149">
        <f>G1407</f>
        <v>0</v>
      </c>
    </row>
    <row r="1407" spans="1:7" s="30" customFormat="1" ht="28.5" customHeight="1">
      <c r="A1407" s="28" t="str">
        <f>'МП пр.5'!A998</f>
        <v>Иные закупки товаров, работ и услуг для обеспечения государственных и муниципальных нужд</v>
      </c>
      <c r="B1407" s="60" t="s">
        <v>415</v>
      </c>
      <c r="C1407" s="60" t="s">
        <v>76</v>
      </c>
      <c r="D1407" s="60" t="s">
        <v>72</v>
      </c>
      <c r="E1407" s="149" t="str">
        <f>'МП пр.5'!B998</f>
        <v>7W 0 01 S3520</v>
      </c>
      <c r="F1407" s="149" t="str">
        <f>'МП пр.5'!E998</f>
        <v>240</v>
      </c>
      <c r="G1407" s="149">
        <f>G1408</f>
        <v>0</v>
      </c>
    </row>
    <row r="1408" spans="1:7" s="30" customFormat="1" ht="28.5" customHeight="1">
      <c r="A1408" s="28" t="str">
        <f>'МП пр.5'!A999</f>
        <v>Прочая закупка товаров, работ и услуг для обеспечения государственных (муниципальных) нужд</v>
      </c>
      <c r="B1408" s="60" t="s">
        <v>415</v>
      </c>
      <c r="C1408" s="60" t="s">
        <v>76</v>
      </c>
      <c r="D1408" s="60" t="s">
        <v>72</v>
      </c>
      <c r="E1408" s="149" t="str">
        <f>'МП пр.5'!B999</f>
        <v>7W 0 01 S3520</v>
      </c>
      <c r="F1408" s="149" t="str">
        <f>'МП пр.5'!E999</f>
        <v>244</v>
      </c>
      <c r="G1408" s="149">
        <f>'МП пр.5'!G1000</f>
        <v>0</v>
      </c>
    </row>
    <row r="1409" spans="1:7" ht="12.75">
      <c r="A1409" s="160" t="s">
        <v>77</v>
      </c>
      <c r="B1409" s="62"/>
      <c r="C1409" s="63"/>
      <c r="D1409" s="63"/>
      <c r="E1409" s="63"/>
      <c r="F1409" s="63"/>
      <c r="G1409" s="64">
        <f>G8+G290+G331+G392+G487+G869+G1210</f>
        <v>700518.37</v>
      </c>
    </row>
  </sheetData>
  <sheetProtection/>
  <mergeCells count="4">
    <mergeCell ref="A1:G1"/>
    <mergeCell ref="A2:G2"/>
    <mergeCell ref="A3:G3"/>
    <mergeCell ref="A4:G4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1001"/>
  <sheetViews>
    <sheetView zoomScale="140" zoomScaleNormal="140" zoomScalePageLayoutView="0" workbookViewId="0" topLeftCell="A1">
      <selection activeCell="D90" sqref="D90"/>
    </sheetView>
  </sheetViews>
  <sheetFormatPr defaultColWidth="9.00390625" defaultRowHeight="5.25" customHeight="1"/>
  <cols>
    <col min="1" max="1" width="49.875" style="138" customWidth="1"/>
    <col min="2" max="2" width="13.625" style="0" customWidth="1"/>
    <col min="3" max="4" width="3.375" style="0" customWidth="1"/>
    <col min="5" max="5" width="3.625" style="0" customWidth="1"/>
    <col min="6" max="6" width="4.00390625" style="0" customWidth="1"/>
    <col min="7" max="7" width="9.375" style="184" customWidth="1"/>
    <col min="8" max="8" width="9.00390625" style="224" customWidth="1"/>
    <col min="9" max="41" width="9.125" style="224" customWidth="1"/>
  </cols>
  <sheetData>
    <row r="1" spans="1:41" s="5" customFormat="1" ht="12.75">
      <c r="A1" s="241" t="s">
        <v>641</v>
      </c>
      <c r="B1" s="242"/>
      <c r="C1" s="242"/>
      <c r="D1" s="242"/>
      <c r="E1" s="242"/>
      <c r="F1" s="242"/>
      <c r="G1" s="242"/>
      <c r="H1" s="102"/>
      <c r="I1" s="102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</row>
    <row r="2" spans="1:41" s="5" customFormat="1" ht="12.75" customHeight="1">
      <c r="A2" s="243" t="str">
        <f>'пр.2 по разд'!A2:D2</f>
        <v>к  решению Собрания представителей Сусуманского городского округа</v>
      </c>
      <c r="B2" s="243"/>
      <c r="C2" s="243"/>
      <c r="D2" s="243"/>
      <c r="E2" s="243"/>
      <c r="F2" s="243"/>
      <c r="G2" s="243"/>
      <c r="H2" s="102"/>
      <c r="I2" s="102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</row>
    <row r="3" spans="1:41" s="5" customFormat="1" ht="12.75">
      <c r="A3" s="244" t="str">
        <f>'пр.4 вед.стр.'!A3:G3</f>
        <v>от     26.12.2017 г.   № 215   </v>
      </c>
      <c r="B3" s="242"/>
      <c r="C3" s="242"/>
      <c r="D3" s="242"/>
      <c r="E3" s="242"/>
      <c r="F3" s="242"/>
      <c r="G3" s="242"/>
      <c r="H3" s="102"/>
      <c r="I3" s="102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</row>
    <row r="4" spans="1:41" s="5" customFormat="1" ht="19.5" customHeight="1">
      <c r="A4" s="245" t="s">
        <v>668</v>
      </c>
      <c r="B4" s="245"/>
      <c r="C4" s="246"/>
      <c r="D4" s="246"/>
      <c r="E4" s="246"/>
      <c r="F4" s="246"/>
      <c r="G4" s="246"/>
      <c r="H4" s="102"/>
      <c r="I4" s="102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</row>
    <row r="5" spans="1:41" s="5" customFormat="1" ht="12.75">
      <c r="A5" s="128"/>
      <c r="B5" s="125"/>
      <c r="C5" s="125"/>
      <c r="D5" s="125"/>
      <c r="E5" s="125"/>
      <c r="F5" s="125" t="s">
        <v>642</v>
      </c>
      <c r="G5" s="175"/>
      <c r="H5" s="102"/>
      <c r="I5" s="102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</row>
    <row r="6" spans="1:41" s="5" customFormat="1" ht="54" customHeight="1">
      <c r="A6" s="129" t="s">
        <v>32</v>
      </c>
      <c r="B6" s="114" t="s">
        <v>47</v>
      </c>
      <c r="C6" s="114" t="s">
        <v>46</v>
      </c>
      <c r="D6" s="114" t="s">
        <v>45</v>
      </c>
      <c r="E6" s="113" t="s">
        <v>48</v>
      </c>
      <c r="F6" s="113" t="s">
        <v>0</v>
      </c>
      <c r="G6" s="114" t="str">
        <f>'пр.4 вед.стр.'!G6</f>
        <v>Сумма</v>
      </c>
      <c r="H6" s="102"/>
      <c r="I6" s="102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</row>
    <row r="7" spans="1:41" s="5" customFormat="1" ht="12.75">
      <c r="A7" s="130">
        <v>1</v>
      </c>
      <c r="B7" s="114">
        <v>2</v>
      </c>
      <c r="C7" s="114">
        <v>3</v>
      </c>
      <c r="D7" s="114">
        <v>4</v>
      </c>
      <c r="E7" s="113">
        <v>5</v>
      </c>
      <c r="F7" s="113">
        <v>6</v>
      </c>
      <c r="G7" s="113">
        <v>7</v>
      </c>
      <c r="H7" s="102"/>
      <c r="I7" s="102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</row>
    <row r="8" spans="1:41" s="5" customFormat="1" ht="36.75" customHeight="1">
      <c r="A8" s="131" t="s">
        <v>479</v>
      </c>
      <c r="B8" s="114" t="s">
        <v>480</v>
      </c>
      <c r="C8" s="114"/>
      <c r="D8" s="114"/>
      <c r="E8" s="113"/>
      <c r="F8" s="113"/>
      <c r="G8" s="182">
        <f aca="true" t="shared" si="0" ref="G8:G13">G9</f>
        <v>400</v>
      </c>
      <c r="H8" s="102"/>
      <c r="I8" s="102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</row>
    <row r="9" spans="1:41" s="5" customFormat="1" ht="33" customHeight="1">
      <c r="A9" s="131" t="s">
        <v>279</v>
      </c>
      <c r="B9" s="114" t="s">
        <v>481</v>
      </c>
      <c r="C9" s="114"/>
      <c r="D9" s="114"/>
      <c r="E9" s="113"/>
      <c r="F9" s="113"/>
      <c r="G9" s="182">
        <f t="shared" si="0"/>
        <v>400</v>
      </c>
      <c r="H9" s="102"/>
      <c r="I9" s="102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</row>
    <row r="10" spans="1:41" s="5" customFormat="1" ht="12.75" customHeight="1">
      <c r="A10" s="131" t="s">
        <v>172</v>
      </c>
      <c r="B10" s="114" t="s">
        <v>482</v>
      </c>
      <c r="C10" s="114"/>
      <c r="D10" s="114"/>
      <c r="E10" s="113"/>
      <c r="F10" s="113"/>
      <c r="G10" s="182">
        <f t="shared" si="0"/>
        <v>400</v>
      </c>
      <c r="H10" s="102"/>
      <c r="I10" s="102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</row>
    <row r="11" spans="1:41" s="5" customFormat="1" ht="12.75">
      <c r="A11" s="131" t="s">
        <v>5</v>
      </c>
      <c r="B11" s="114" t="s">
        <v>482</v>
      </c>
      <c r="C11" s="116" t="s">
        <v>68</v>
      </c>
      <c r="D11" s="116" t="s">
        <v>36</v>
      </c>
      <c r="E11" s="117"/>
      <c r="F11" s="117"/>
      <c r="G11" s="182">
        <f t="shared" si="0"/>
        <v>400</v>
      </c>
      <c r="H11" s="102"/>
      <c r="I11" s="102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</row>
    <row r="12" spans="1:41" s="5" customFormat="1" ht="12.75">
      <c r="A12" s="132" t="s">
        <v>7</v>
      </c>
      <c r="B12" s="118" t="s">
        <v>482</v>
      </c>
      <c r="C12" s="119" t="s">
        <v>68</v>
      </c>
      <c r="D12" s="119" t="s">
        <v>78</v>
      </c>
      <c r="E12" s="117"/>
      <c r="F12" s="117"/>
      <c r="G12" s="183">
        <f t="shared" si="0"/>
        <v>400</v>
      </c>
      <c r="H12" s="102"/>
      <c r="I12" s="102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</row>
    <row r="13" spans="1:41" s="25" customFormat="1" ht="12.75">
      <c r="A13" s="134" t="s">
        <v>128</v>
      </c>
      <c r="B13" s="118" t="s">
        <v>482</v>
      </c>
      <c r="C13" s="119" t="s">
        <v>68</v>
      </c>
      <c r="D13" s="119" t="s">
        <v>78</v>
      </c>
      <c r="E13" s="120" t="s">
        <v>129</v>
      </c>
      <c r="F13" s="117"/>
      <c r="G13" s="183">
        <f t="shared" si="0"/>
        <v>400</v>
      </c>
      <c r="H13" s="102"/>
      <c r="I13" s="102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</row>
    <row r="14" spans="1:41" s="25" customFormat="1" ht="33.75" customHeight="1">
      <c r="A14" s="134" t="s">
        <v>164</v>
      </c>
      <c r="B14" s="118" t="s">
        <v>482</v>
      </c>
      <c r="C14" s="119" t="s">
        <v>68</v>
      </c>
      <c r="D14" s="119" t="s">
        <v>78</v>
      </c>
      <c r="E14" s="120" t="s">
        <v>130</v>
      </c>
      <c r="F14" s="117"/>
      <c r="G14" s="183">
        <f>G15</f>
        <v>400</v>
      </c>
      <c r="H14" s="102"/>
      <c r="I14" s="102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</row>
    <row r="15" spans="1:41" s="67" customFormat="1" ht="39.75" customHeight="1">
      <c r="A15" s="134" t="s">
        <v>609</v>
      </c>
      <c r="B15" s="118" t="s">
        <v>482</v>
      </c>
      <c r="C15" s="119" t="s">
        <v>68</v>
      </c>
      <c r="D15" s="119" t="s">
        <v>78</v>
      </c>
      <c r="E15" s="120" t="s">
        <v>608</v>
      </c>
      <c r="F15" s="117"/>
      <c r="G15" s="183">
        <f>G16</f>
        <v>400</v>
      </c>
      <c r="H15" s="105"/>
      <c r="I15" s="105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</row>
    <row r="16" spans="1:41" s="25" customFormat="1" ht="22.5">
      <c r="A16" s="135" t="s">
        <v>167</v>
      </c>
      <c r="B16" s="118" t="s">
        <v>482</v>
      </c>
      <c r="C16" s="119" t="s">
        <v>68</v>
      </c>
      <c r="D16" s="119" t="s">
        <v>78</v>
      </c>
      <c r="E16" s="120" t="s">
        <v>608</v>
      </c>
      <c r="F16" s="117">
        <v>724</v>
      </c>
      <c r="G16" s="183">
        <v>400</v>
      </c>
      <c r="H16" s="102"/>
      <c r="I16" s="102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</row>
    <row r="17" spans="1:41" s="68" customFormat="1" ht="21.75">
      <c r="A17" s="131" t="s">
        <v>643</v>
      </c>
      <c r="B17" s="121" t="s">
        <v>450</v>
      </c>
      <c r="C17" s="116"/>
      <c r="D17" s="116"/>
      <c r="E17" s="113"/>
      <c r="F17" s="113"/>
      <c r="G17" s="182">
        <f>G18+G37+G51+G83+G95</f>
        <v>2195</v>
      </c>
      <c r="H17" s="106"/>
      <c r="I17" s="106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</row>
    <row r="18" spans="1:41" s="68" customFormat="1" ht="21.75">
      <c r="A18" s="131" t="s">
        <v>644</v>
      </c>
      <c r="B18" s="121" t="s">
        <v>452</v>
      </c>
      <c r="C18" s="116"/>
      <c r="D18" s="116"/>
      <c r="E18" s="113"/>
      <c r="F18" s="113"/>
      <c r="G18" s="182">
        <f>G19+G25+G31</f>
        <v>695.2</v>
      </c>
      <c r="H18" s="106"/>
      <c r="I18" s="106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</row>
    <row r="19" spans="1:41" s="5" customFormat="1" ht="12.75">
      <c r="A19" s="131" t="s">
        <v>168</v>
      </c>
      <c r="B19" s="121" t="s">
        <v>453</v>
      </c>
      <c r="C19" s="116"/>
      <c r="D19" s="116"/>
      <c r="E19" s="113"/>
      <c r="F19" s="113"/>
      <c r="G19" s="182">
        <f>G20</f>
        <v>610.3000000000001</v>
      </c>
      <c r="H19" s="102"/>
      <c r="I19" s="102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</row>
    <row r="20" spans="1:41" s="5" customFormat="1" ht="12.75">
      <c r="A20" s="131" t="s">
        <v>62</v>
      </c>
      <c r="B20" s="114" t="s">
        <v>645</v>
      </c>
      <c r="C20" s="116">
        <v>10</v>
      </c>
      <c r="D20" s="116" t="s">
        <v>36</v>
      </c>
      <c r="E20" s="117"/>
      <c r="F20" s="117"/>
      <c r="G20" s="182">
        <f>G21</f>
        <v>610.3000000000001</v>
      </c>
      <c r="H20" s="102"/>
      <c r="I20" s="102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</row>
    <row r="21" spans="1:41" s="5" customFormat="1" ht="12.75">
      <c r="A21" s="132" t="s">
        <v>61</v>
      </c>
      <c r="B21" s="118" t="s">
        <v>645</v>
      </c>
      <c r="C21" s="119">
        <v>10</v>
      </c>
      <c r="D21" s="119" t="s">
        <v>70</v>
      </c>
      <c r="E21" s="117"/>
      <c r="F21" s="117"/>
      <c r="G21" s="183">
        <f>G22</f>
        <v>610.3000000000001</v>
      </c>
      <c r="H21" s="102"/>
      <c r="I21" s="102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</row>
    <row r="22" spans="1:41" s="5" customFormat="1" ht="12.75">
      <c r="A22" s="134" t="s">
        <v>117</v>
      </c>
      <c r="B22" s="118" t="s">
        <v>645</v>
      </c>
      <c r="C22" s="119">
        <v>10</v>
      </c>
      <c r="D22" s="119" t="s">
        <v>70</v>
      </c>
      <c r="E22" s="120" t="s">
        <v>118</v>
      </c>
      <c r="F22" s="117"/>
      <c r="G22" s="183">
        <f>G23</f>
        <v>610.3000000000001</v>
      </c>
      <c r="H22" s="102"/>
      <c r="I22" s="102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</row>
    <row r="23" spans="1:41" s="5" customFormat="1" ht="12.75">
      <c r="A23" s="134" t="s">
        <v>123</v>
      </c>
      <c r="B23" s="118" t="s">
        <v>645</v>
      </c>
      <c r="C23" s="119">
        <v>10</v>
      </c>
      <c r="D23" s="119" t="s">
        <v>70</v>
      </c>
      <c r="E23" s="120" t="s">
        <v>124</v>
      </c>
      <c r="F23" s="117"/>
      <c r="G23" s="183">
        <f>G24</f>
        <v>610.3000000000001</v>
      </c>
      <c r="H23" s="102"/>
      <c r="I23" s="102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</row>
    <row r="24" spans="1:41" s="5" customFormat="1" ht="12.75">
      <c r="A24" s="132" t="s">
        <v>153</v>
      </c>
      <c r="B24" s="118" t="s">
        <v>645</v>
      </c>
      <c r="C24" s="119">
        <v>10</v>
      </c>
      <c r="D24" s="119" t="s">
        <v>70</v>
      </c>
      <c r="E24" s="120" t="s">
        <v>124</v>
      </c>
      <c r="F24" s="117">
        <v>721</v>
      </c>
      <c r="G24" s="183">
        <f>446.6+73.1+90.6</f>
        <v>610.3000000000001</v>
      </c>
      <c r="H24" s="102"/>
      <c r="I24" s="102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</row>
    <row r="25" spans="1:41" s="5" customFormat="1" ht="21.75">
      <c r="A25" s="131" t="s">
        <v>454</v>
      </c>
      <c r="B25" s="114" t="s">
        <v>646</v>
      </c>
      <c r="C25" s="116"/>
      <c r="D25" s="116"/>
      <c r="E25" s="121"/>
      <c r="F25" s="113"/>
      <c r="G25" s="182">
        <f>G26</f>
        <v>5.2</v>
      </c>
      <c r="H25" s="102"/>
      <c r="I25" s="102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</row>
    <row r="26" spans="1:41" s="5" customFormat="1" ht="12.75">
      <c r="A26" s="131" t="s">
        <v>62</v>
      </c>
      <c r="B26" s="114" t="s">
        <v>646</v>
      </c>
      <c r="C26" s="116">
        <v>10</v>
      </c>
      <c r="D26" s="116" t="s">
        <v>36</v>
      </c>
      <c r="E26" s="117"/>
      <c r="F26" s="117"/>
      <c r="G26" s="182">
        <f>G27</f>
        <v>5.2</v>
      </c>
      <c r="H26" s="102"/>
      <c r="I26" s="102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</row>
    <row r="27" spans="1:41" s="5" customFormat="1" ht="12.75">
      <c r="A27" s="132" t="s">
        <v>61</v>
      </c>
      <c r="B27" s="118" t="s">
        <v>646</v>
      </c>
      <c r="C27" s="119">
        <v>10</v>
      </c>
      <c r="D27" s="119" t="s">
        <v>70</v>
      </c>
      <c r="E27" s="117"/>
      <c r="F27" s="117"/>
      <c r="G27" s="183">
        <f>G28</f>
        <v>5.2</v>
      </c>
      <c r="H27" s="102"/>
      <c r="I27" s="102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</row>
    <row r="28" spans="1:41" s="5" customFormat="1" ht="12.75">
      <c r="A28" s="134" t="s">
        <v>117</v>
      </c>
      <c r="B28" s="118" t="s">
        <v>646</v>
      </c>
      <c r="C28" s="119">
        <v>10</v>
      </c>
      <c r="D28" s="119" t="s">
        <v>70</v>
      </c>
      <c r="E28" s="120" t="s">
        <v>118</v>
      </c>
      <c r="F28" s="117"/>
      <c r="G28" s="183">
        <f>G29</f>
        <v>5.2</v>
      </c>
      <c r="H28" s="102"/>
      <c r="I28" s="102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</row>
    <row r="29" spans="1:41" s="5" customFormat="1" ht="12.75">
      <c r="A29" s="134" t="s">
        <v>123</v>
      </c>
      <c r="B29" s="118" t="s">
        <v>646</v>
      </c>
      <c r="C29" s="119">
        <v>10</v>
      </c>
      <c r="D29" s="119" t="s">
        <v>70</v>
      </c>
      <c r="E29" s="120" t="s">
        <v>124</v>
      </c>
      <c r="F29" s="117"/>
      <c r="G29" s="183">
        <f>G30</f>
        <v>5.2</v>
      </c>
      <c r="H29" s="102"/>
      <c r="I29" s="102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</row>
    <row r="30" spans="1:41" s="5" customFormat="1" ht="12.75">
      <c r="A30" s="132" t="s">
        <v>153</v>
      </c>
      <c r="B30" s="118" t="s">
        <v>646</v>
      </c>
      <c r="C30" s="119">
        <v>10</v>
      </c>
      <c r="D30" s="119" t="s">
        <v>70</v>
      </c>
      <c r="E30" s="120" t="s">
        <v>124</v>
      </c>
      <c r="F30" s="117">
        <v>721</v>
      </c>
      <c r="G30" s="183">
        <f>8.4-2.5-0.7</f>
        <v>5.2</v>
      </c>
      <c r="H30" s="102"/>
      <c r="I30" s="102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</row>
    <row r="31" spans="1:41" s="5" customFormat="1" ht="13.5" customHeight="1">
      <c r="A31" s="131" t="s">
        <v>456</v>
      </c>
      <c r="B31" s="114" t="s">
        <v>647</v>
      </c>
      <c r="C31" s="116"/>
      <c r="D31" s="116"/>
      <c r="E31" s="121"/>
      <c r="F31" s="113"/>
      <c r="G31" s="182">
        <f>G32</f>
        <v>79.69999999999999</v>
      </c>
      <c r="H31" s="102"/>
      <c r="I31" s="102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</row>
    <row r="32" spans="1:41" s="5" customFormat="1" ht="12.75">
      <c r="A32" s="131" t="s">
        <v>62</v>
      </c>
      <c r="B32" s="114" t="s">
        <v>647</v>
      </c>
      <c r="C32" s="116">
        <v>10</v>
      </c>
      <c r="D32" s="116" t="s">
        <v>36</v>
      </c>
      <c r="E32" s="113"/>
      <c r="F32" s="113"/>
      <c r="G32" s="182">
        <f>G33</f>
        <v>79.69999999999999</v>
      </c>
      <c r="H32" s="102"/>
      <c r="I32" s="102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41" s="5" customFormat="1" ht="12.75">
      <c r="A33" s="132" t="s">
        <v>61</v>
      </c>
      <c r="B33" s="118" t="s">
        <v>647</v>
      </c>
      <c r="C33" s="119">
        <v>10</v>
      </c>
      <c r="D33" s="119" t="s">
        <v>70</v>
      </c>
      <c r="E33" s="117"/>
      <c r="F33" s="117"/>
      <c r="G33" s="183">
        <f>G34</f>
        <v>79.69999999999999</v>
      </c>
      <c r="H33" s="102"/>
      <c r="I33" s="102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</row>
    <row r="34" spans="1:41" s="5" customFormat="1" ht="12.75">
      <c r="A34" s="134" t="s">
        <v>117</v>
      </c>
      <c r="B34" s="118" t="s">
        <v>647</v>
      </c>
      <c r="C34" s="119">
        <v>10</v>
      </c>
      <c r="D34" s="119" t="s">
        <v>70</v>
      </c>
      <c r="E34" s="120" t="s">
        <v>118</v>
      </c>
      <c r="F34" s="117"/>
      <c r="G34" s="183">
        <f>G35</f>
        <v>79.69999999999999</v>
      </c>
      <c r="H34" s="102"/>
      <c r="I34" s="102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</row>
    <row r="35" spans="1:41" s="5" customFormat="1" ht="12.75">
      <c r="A35" s="134" t="s">
        <v>123</v>
      </c>
      <c r="B35" s="118" t="s">
        <v>647</v>
      </c>
      <c r="C35" s="119">
        <v>10</v>
      </c>
      <c r="D35" s="119" t="s">
        <v>70</v>
      </c>
      <c r="E35" s="120" t="s">
        <v>124</v>
      </c>
      <c r="F35" s="117"/>
      <c r="G35" s="183">
        <f>G36</f>
        <v>79.69999999999999</v>
      </c>
      <c r="H35" s="102"/>
      <c r="I35" s="102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</row>
    <row r="36" spans="1:41" s="5" customFormat="1" ht="12.75">
      <c r="A36" s="132" t="s">
        <v>153</v>
      </c>
      <c r="B36" s="118" t="s">
        <v>647</v>
      </c>
      <c r="C36" s="119">
        <v>10</v>
      </c>
      <c r="D36" s="119" t="s">
        <v>70</v>
      </c>
      <c r="E36" s="120" t="s">
        <v>124</v>
      </c>
      <c r="F36" s="117">
        <v>721</v>
      </c>
      <c r="G36" s="183">
        <f>160.2-70.6-9.9</f>
        <v>79.69999999999999</v>
      </c>
      <c r="H36" s="102"/>
      <c r="I36" s="102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</row>
    <row r="37" spans="1:41" s="70" customFormat="1" ht="32.25">
      <c r="A37" s="131" t="s">
        <v>446</v>
      </c>
      <c r="B37" s="121" t="s">
        <v>459</v>
      </c>
      <c r="C37" s="116"/>
      <c r="D37" s="116"/>
      <c r="E37" s="121"/>
      <c r="F37" s="113"/>
      <c r="G37" s="182">
        <f>G38</f>
        <v>660.8</v>
      </c>
      <c r="H37" s="210"/>
      <c r="I37" s="210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</row>
    <row r="38" spans="1:41" s="70" customFormat="1" ht="32.25">
      <c r="A38" s="136" t="s">
        <v>458</v>
      </c>
      <c r="B38" s="121" t="s">
        <v>460</v>
      </c>
      <c r="C38" s="116"/>
      <c r="D38" s="116"/>
      <c r="E38" s="121"/>
      <c r="F38" s="113"/>
      <c r="G38" s="182">
        <f>G39</f>
        <v>660.8</v>
      </c>
      <c r="H38" s="210"/>
      <c r="I38" s="210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</row>
    <row r="39" spans="1:41" s="70" customFormat="1" ht="12.75">
      <c r="A39" s="131" t="s">
        <v>62</v>
      </c>
      <c r="B39" s="121" t="s">
        <v>460</v>
      </c>
      <c r="C39" s="116" t="s">
        <v>71</v>
      </c>
      <c r="D39" s="116" t="s">
        <v>36</v>
      </c>
      <c r="E39" s="121"/>
      <c r="F39" s="113"/>
      <c r="G39" s="182">
        <f>G40</f>
        <v>660.8</v>
      </c>
      <c r="H39" s="210"/>
      <c r="I39" s="210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</row>
    <row r="40" spans="1:41" s="71" customFormat="1" ht="12.75">
      <c r="A40" s="134" t="s">
        <v>152</v>
      </c>
      <c r="B40" s="120" t="s">
        <v>460</v>
      </c>
      <c r="C40" s="119" t="s">
        <v>71</v>
      </c>
      <c r="D40" s="119" t="s">
        <v>76</v>
      </c>
      <c r="E40" s="120"/>
      <c r="F40" s="117"/>
      <c r="G40" s="183">
        <f>G41+G47</f>
        <v>660.8</v>
      </c>
      <c r="H40" s="212"/>
      <c r="I40" s="212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  <c r="AM40" s="213"/>
      <c r="AN40" s="213"/>
      <c r="AO40" s="213"/>
    </row>
    <row r="41" spans="1:41" s="73" customFormat="1" ht="44.25" customHeight="1">
      <c r="A41" s="134" t="s">
        <v>102</v>
      </c>
      <c r="B41" s="120" t="s">
        <v>460</v>
      </c>
      <c r="C41" s="119" t="s">
        <v>71</v>
      </c>
      <c r="D41" s="119" t="s">
        <v>76</v>
      </c>
      <c r="E41" s="120" t="s">
        <v>103</v>
      </c>
      <c r="F41" s="117"/>
      <c r="G41" s="183">
        <f>G42</f>
        <v>537.9</v>
      </c>
      <c r="H41" s="212"/>
      <c r="I41" s="212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</row>
    <row r="42" spans="1:41" s="73" customFormat="1" ht="22.5">
      <c r="A42" s="134" t="s">
        <v>93</v>
      </c>
      <c r="B42" s="120" t="s">
        <v>460</v>
      </c>
      <c r="C42" s="119" t="s">
        <v>71</v>
      </c>
      <c r="D42" s="119" t="s">
        <v>76</v>
      </c>
      <c r="E42" s="120" t="s">
        <v>94</v>
      </c>
      <c r="F42" s="117"/>
      <c r="G42" s="183">
        <f>G43+G45</f>
        <v>537.9</v>
      </c>
      <c r="H42" s="212"/>
      <c r="I42" s="212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</row>
    <row r="43" spans="1:41" s="73" customFormat="1" ht="12.75">
      <c r="A43" s="134" t="s">
        <v>158</v>
      </c>
      <c r="B43" s="120" t="s">
        <v>460</v>
      </c>
      <c r="C43" s="119" t="s">
        <v>71</v>
      </c>
      <c r="D43" s="119" t="s">
        <v>76</v>
      </c>
      <c r="E43" s="120" t="s">
        <v>95</v>
      </c>
      <c r="F43" s="117"/>
      <c r="G43" s="183">
        <f>G44</f>
        <v>413.1</v>
      </c>
      <c r="H43" s="212"/>
      <c r="I43" s="212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</row>
    <row r="44" spans="1:41" s="73" customFormat="1" ht="12.75">
      <c r="A44" s="132" t="s">
        <v>153</v>
      </c>
      <c r="B44" s="120" t="s">
        <v>460</v>
      </c>
      <c r="C44" s="119" t="s">
        <v>71</v>
      </c>
      <c r="D44" s="119" t="s">
        <v>76</v>
      </c>
      <c r="E44" s="120" t="s">
        <v>95</v>
      </c>
      <c r="F44" s="117">
        <v>721</v>
      </c>
      <c r="G44" s="183">
        <v>413.1</v>
      </c>
      <c r="H44" s="212"/>
      <c r="I44" s="212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  <c r="AO44" s="213"/>
    </row>
    <row r="45" spans="1:41" s="73" customFormat="1" ht="33.75">
      <c r="A45" s="134" t="s">
        <v>160</v>
      </c>
      <c r="B45" s="120" t="s">
        <v>460</v>
      </c>
      <c r="C45" s="119" t="s">
        <v>71</v>
      </c>
      <c r="D45" s="119" t="s">
        <v>76</v>
      </c>
      <c r="E45" s="120" t="s">
        <v>159</v>
      </c>
      <c r="F45" s="117"/>
      <c r="G45" s="183">
        <f>G46</f>
        <v>124.8</v>
      </c>
      <c r="H45" s="212"/>
      <c r="I45" s="212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213"/>
      <c r="AK45" s="213"/>
      <c r="AL45" s="213"/>
      <c r="AM45" s="213"/>
      <c r="AN45" s="213"/>
      <c r="AO45" s="213"/>
    </row>
    <row r="46" spans="1:41" s="73" customFormat="1" ht="12.75">
      <c r="A46" s="132" t="s">
        <v>153</v>
      </c>
      <c r="B46" s="120" t="s">
        <v>460</v>
      </c>
      <c r="C46" s="119" t="s">
        <v>71</v>
      </c>
      <c r="D46" s="119" t="s">
        <v>76</v>
      </c>
      <c r="E46" s="120" t="s">
        <v>159</v>
      </c>
      <c r="F46" s="117">
        <v>721</v>
      </c>
      <c r="G46" s="183">
        <v>124.8</v>
      </c>
      <c r="H46" s="212"/>
      <c r="I46" s="212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3"/>
      <c r="AK46" s="213"/>
      <c r="AL46" s="213"/>
      <c r="AM46" s="213"/>
      <c r="AN46" s="213"/>
      <c r="AO46" s="213"/>
    </row>
    <row r="47" spans="1:41" s="73" customFormat="1" ht="22.5">
      <c r="A47" s="134" t="s">
        <v>648</v>
      </c>
      <c r="B47" s="120" t="s">
        <v>460</v>
      </c>
      <c r="C47" s="119" t="s">
        <v>71</v>
      </c>
      <c r="D47" s="119" t="s">
        <v>76</v>
      </c>
      <c r="E47" s="120" t="s">
        <v>104</v>
      </c>
      <c r="F47" s="117"/>
      <c r="G47" s="183">
        <f>G48</f>
        <v>122.9</v>
      </c>
      <c r="H47" s="212"/>
      <c r="I47" s="212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  <c r="AJ47" s="213"/>
      <c r="AK47" s="213"/>
      <c r="AL47" s="213"/>
      <c r="AM47" s="213"/>
      <c r="AN47" s="213"/>
      <c r="AO47" s="213"/>
    </row>
    <row r="48" spans="1:41" s="73" customFormat="1" ht="22.5">
      <c r="A48" s="134" t="s">
        <v>98</v>
      </c>
      <c r="B48" s="120" t="s">
        <v>460</v>
      </c>
      <c r="C48" s="119" t="s">
        <v>71</v>
      </c>
      <c r="D48" s="119" t="s">
        <v>76</v>
      </c>
      <c r="E48" s="120" t="s">
        <v>99</v>
      </c>
      <c r="F48" s="117"/>
      <c r="G48" s="183">
        <f>G49</f>
        <v>122.9</v>
      </c>
      <c r="H48" s="212"/>
      <c r="I48" s="212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</row>
    <row r="49" spans="1:41" s="73" customFormat="1" ht="22.5">
      <c r="A49" s="134" t="s">
        <v>100</v>
      </c>
      <c r="B49" s="120" t="s">
        <v>460</v>
      </c>
      <c r="C49" s="119" t="s">
        <v>71</v>
      </c>
      <c r="D49" s="119" t="s">
        <v>76</v>
      </c>
      <c r="E49" s="120" t="s">
        <v>101</v>
      </c>
      <c r="F49" s="117"/>
      <c r="G49" s="183">
        <f>G50</f>
        <v>122.9</v>
      </c>
      <c r="H49" s="212"/>
      <c r="I49" s="212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</row>
    <row r="50" spans="1:41" s="73" customFormat="1" ht="12.75">
      <c r="A50" s="132" t="s">
        <v>153</v>
      </c>
      <c r="B50" s="120" t="s">
        <v>460</v>
      </c>
      <c r="C50" s="119" t="s">
        <v>71</v>
      </c>
      <c r="D50" s="119" t="s">
        <v>76</v>
      </c>
      <c r="E50" s="120" t="s">
        <v>101</v>
      </c>
      <c r="F50" s="117">
        <v>721</v>
      </c>
      <c r="G50" s="183">
        <v>122.9</v>
      </c>
      <c r="H50" s="212"/>
      <c r="I50" s="212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  <c r="AL50" s="213"/>
      <c r="AM50" s="213"/>
      <c r="AN50" s="213"/>
      <c r="AO50" s="213"/>
    </row>
    <row r="51" spans="1:41" s="68" customFormat="1" ht="21.75">
      <c r="A51" s="136" t="s">
        <v>461</v>
      </c>
      <c r="B51" s="121" t="s">
        <v>462</v>
      </c>
      <c r="C51" s="116"/>
      <c r="D51" s="116"/>
      <c r="E51" s="121"/>
      <c r="F51" s="113"/>
      <c r="G51" s="182">
        <f>G52</f>
        <v>305</v>
      </c>
      <c r="H51" s="106"/>
      <c r="I51" s="106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</row>
    <row r="52" spans="1:41" s="57" customFormat="1" ht="42" customHeight="1">
      <c r="A52" s="136" t="s">
        <v>463</v>
      </c>
      <c r="B52" s="121" t="s">
        <v>464</v>
      </c>
      <c r="C52" s="116"/>
      <c r="D52" s="116"/>
      <c r="E52" s="121"/>
      <c r="F52" s="113"/>
      <c r="G52" s="182">
        <f>G53+G76+G70</f>
        <v>305</v>
      </c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</row>
    <row r="53" spans="1:41" s="57" customFormat="1" ht="12.75">
      <c r="A53" s="136" t="s">
        <v>8</v>
      </c>
      <c r="B53" s="121" t="s">
        <v>464</v>
      </c>
      <c r="C53" s="116" t="s">
        <v>69</v>
      </c>
      <c r="D53" s="116" t="s">
        <v>36</v>
      </c>
      <c r="E53" s="121"/>
      <c r="F53" s="113"/>
      <c r="G53" s="182">
        <f>G54+G59+G64</f>
        <v>195</v>
      </c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</row>
    <row r="54" spans="1:41" s="11" customFormat="1" ht="12.75">
      <c r="A54" s="134" t="s">
        <v>9</v>
      </c>
      <c r="B54" s="120" t="s">
        <v>464</v>
      </c>
      <c r="C54" s="119" t="s">
        <v>69</v>
      </c>
      <c r="D54" s="119" t="s">
        <v>66</v>
      </c>
      <c r="E54" s="120"/>
      <c r="F54" s="117"/>
      <c r="G54" s="183">
        <f>G55</f>
        <v>5</v>
      </c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</row>
    <row r="55" spans="1:41" s="11" customFormat="1" ht="22.5">
      <c r="A55" s="134" t="s">
        <v>105</v>
      </c>
      <c r="B55" s="120" t="s">
        <v>464</v>
      </c>
      <c r="C55" s="119" t="s">
        <v>69</v>
      </c>
      <c r="D55" s="119" t="s">
        <v>66</v>
      </c>
      <c r="E55" s="120" t="s">
        <v>106</v>
      </c>
      <c r="F55" s="117"/>
      <c r="G55" s="183">
        <f>G56</f>
        <v>5</v>
      </c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</row>
    <row r="56" spans="1:41" s="11" customFormat="1" ht="12.75">
      <c r="A56" s="134" t="s">
        <v>111</v>
      </c>
      <c r="B56" s="120" t="s">
        <v>464</v>
      </c>
      <c r="C56" s="119" t="s">
        <v>69</v>
      </c>
      <c r="D56" s="119" t="s">
        <v>66</v>
      </c>
      <c r="E56" s="120" t="s">
        <v>112</v>
      </c>
      <c r="F56" s="117"/>
      <c r="G56" s="183">
        <f>G57</f>
        <v>5</v>
      </c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</row>
    <row r="57" spans="1:41" s="11" customFormat="1" ht="12.75">
      <c r="A57" s="134" t="s">
        <v>115</v>
      </c>
      <c r="B57" s="120" t="s">
        <v>464</v>
      </c>
      <c r="C57" s="119" t="s">
        <v>69</v>
      </c>
      <c r="D57" s="119" t="s">
        <v>66</v>
      </c>
      <c r="E57" s="120" t="s">
        <v>116</v>
      </c>
      <c r="F57" s="117"/>
      <c r="G57" s="183">
        <f>G58</f>
        <v>5</v>
      </c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</row>
    <row r="58" spans="1:41" s="11" customFormat="1" ht="11.25" customHeight="1">
      <c r="A58" s="132" t="s">
        <v>156</v>
      </c>
      <c r="B58" s="120" t="s">
        <v>464</v>
      </c>
      <c r="C58" s="119" t="s">
        <v>69</v>
      </c>
      <c r="D58" s="119" t="s">
        <v>66</v>
      </c>
      <c r="E58" s="120" t="s">
        <v>116</v>
      </c>
      <c r="F58" s="117">
        <v>725</v>
      </c>
      <c r="G58" s="183">
        <f>10-5</f>
        <v>5</v>
      </c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</row>
    <row r="59" spans="1:41" s="11" customFormat="1" ht="12.75">
      <c r="A59" s="132" t="s">
        <v>10</v>
      </c>
      <c r="B59" s="120" t="s">
        <v>464</v>
      </c>
      <c r="C59" s="119" t="s">
        <v>69</v>
      </c>
      <c r="D59" s="119" t="s">
        <v>67</v>
      </c>
      <c r="E59" s="120"/>
      <c r="F59" s="117"/>
      <c r="G59" s="183">
        <f>G60</f>
        <v>30</v>
      </c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</row>
    <row r="60" spans="1:41" s="11" customFormat="1" ht="22.5">
      <c r="A60" s="134" t="s">
        <v>105</v>
      </c>
      <c r="B60" s="120" t="s">
        <v>464</v>
      </c>
      <c r="C60" s="119" t="s">
        <v>69</v>
      </c>
      <c r="D60" s="119" t="s">
        <v>67</v>
      </c>
      <c r="E60" s="120" t="s">
        <v>106</v>
      </c>
      <c r="F60" s="117"/>
      <c r="G60" s="183">
        <f>G61</f>
        <v>30</v>
      </c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</row>
    <row r="61" spans="1:41" s="11" customFormat="1" ht="12.75">
      <c r="A61" s="134" t="s">
        <v>111</v>
      </c>
      <c r="B61" s="120" t="s">
        <v>464</v>
      </c>
      <c r="C61" s="119" t="s">
        <v>69</v>
      </c>
      <c r="D61" s="119" t="s">
        <v>67</v>
      </c>
      <c r="E61" s="120" t="s">
        <v>112</v>
      </c>
      <c r="F61" s="117"/>
      <c r="G61" s="183">
        <f>G62</f>
        <v>30</v>
      </c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</row>
    <row r="62" spans="1:41" s="11" customFormat="1" ht="12.75">
      <c r="A62" s="134" t="s">
        <v>115</v>
      </c>
      <c r="B62" s="120" t="s">
        <v>464</v>
      </c>
      <c r="C62" s="119" t="s">
        <v>69</v>
      </c>
      <c r="D62" s="119" t="s">
        <v>67</v>
      </c>
      <c r="E62" s="120" t="s">
        <v>116</v>
      </c>
      <c r="F62" s="117"/>
      <c r="G62" s="183">
        <f>G63</f>
        <v>30</v>
      </c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</row>
    <row r="63" spans="1:41" s="11" customFormat="1" ht="13.5" customHeight="1">
      <c r="A63" s="132" t="s">
        <v>156</v>
      </c>
      <c r="B63" s="120" t="s">
        <v>464</v>
      </c>
      <c r="C63" s="119" t="s">
        <v>69</v>
      </c>
      <c r="D63" s="119" t="s">
        <v>67</v>
      </c>
      <c r="E63" s="120" t="s">
        <v>116</v>
      </c>
      <c r="F63" s="117">
        <v>725</v>
      </c>
      <c r="G63" s="183">
        <f>35-10+5</f>
        <v>30</v>
      </c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</row>
    <row r="64" spans="1:41" s="30" customFormat="1" ht="12.75">
      <c r="A64" s="132" t="s">
        <v>530</v>
      </c>
      <c r="B64" s="120" t="s">
        <v>464</v>
      </c>
      <c r="C64" s="119" t="s">
        <v>69</v>
      </c>
      <c r="D64" s="119" t="s">
        <v>70</v>
      </c>
      <c r="E64" s="120"/>
      <c r="F64" s="117"/>
      <c r="G64" s="183">
        <f>G65</f>
        <v>160</v>
      </c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</row>
    <row r="65" spans="1:41" s="30" customFormat="1" ht="22.5">
      <c r="A65" s="134" t="s">
        <v>105</v>
      </c>
      <c r="B65" s="120" t="s">
        <v>464</v>
      </c>
      <c r="C65" s="119" t="s">
        <v>69</v>
      </c>
      <c r="D65" s="119" t="s">
        <v>70</v>
      </c>
      <c r="E65" s="120" t="s">
        <v>106</v>
      </c>
      <c r="F65" s="117"/>
      <c r="G65" s="183">
        <f>G66</f>
        <v>160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</row>
    <row r="66" spans="1:41" s="30" customFormat="1" ht="12.75">
      <c r="A66" s="134" t="s">
        <v>111</v>
      </c>
      <c r="B66" s="120" t="s">
        <v>464</v>
      </c>
      <c r="C66" s="119" t="s">
        <v>69</v>
      </c>
      <c r="D66" s="119" t="s">
        <v>70</v>
      </c>
      <c r="E66" s="120" t="s">
        <v>112</v>
      </c>
      <c r="F66" s="117"/>
      <c r="G66" s="183">
        <f>G67</f>
        <v>160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</row>
    <row r="67" spans="1:41" s="30" customFormat="1" ht="12.75">
      <c r="A67" s="134" t="s">
        <v>115</v>
      </c>
      <c r="B67" s="120" t="s">
        <v>464</v>
      </c>
      <c r="C67" s="119" t="s">
        <v>69</v>
      </c>
      <c r="D67" s="119" t="s">
        <v>70</v>
      </c>
      <c r="E67" s="120" t="s">
        <v>116</v>
      </c>
      <c r="F67" s="117"/>
      <c r="G67" s="183">
        <f>G68+G69</f>
        <v>160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</row>
    <row r="68" spans="1:41" s="30" customFormat="1" ht="11.25" customHeight="1">
      <c r="A68" s="132" t="s">
        <v>156</v>
      </c>
      <c r="B68" s="120" t="s">
        <v>464</v>
      </c>
      <c r="C68" s="119" t="s">
        <v>69</v>
      </c>
      <c r="D68" s="119" t="s">
        <v>70</v>
      </c>
      <c r="E68" s="120" t="s">
        <v>116</v>
      </c>
      <c r="F68" s="117">
        <v>725</v>
      </c>
      <c r="G68" s="183">
        <v>10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</row>
    <row r="69" spans="1:41" s="11" customFormat="1" ht="22.5">
      <c r="A69" s="132" t="s">
        <v>157</v>
      </c>
      <c r="B69" s="120" t="s">
        <v>464</v>
      </c>
      <c r="C69" s="119" t="s">
        <v>69</v>
      </c>
      <c r="D69" s="119" t="s">
        <v>70</v>
      </c>
      <c r="E69" s="120" t="s">
        <v>116</v>
      </c>
      <c r="F69" s="117">
        <v>726</v>
      </c>
      <c r="G69" s="183">
        <f>250-100</f>
        <v>150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</row>
    <row r="70" spans="1:41" s="11" customFormat="1" ht="12.75">
      <c r="A70" s="131" t="s">
        <v>649</v>
      </c>
      <c r="B70" s="121" t="s">
        <v>464</v>
      </c>
      <c r="C70" s="116" t="s">
        <v>73</v>
      </c>
      <c r="D70" s="116" t="s">
        <v>36</v>
      </c>
      <c r="E70" s="121"/>
      <c r="F70" s="113"/>
      <c r="G70" s="182">
        <f>G71</f>
        <v>100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</row>
    <row r="71" spans="1:41" s="11" customFormat="1" ht="12.75">
      <c r="A71" s="132" t="s">
        <v>12</v>
      </c>
      <c r="B71" s="121" t="s">
        <v>464</v>
      </c>
      <c r="C71" s="116" t="s">
        <v>73</v>
      </c>
      <c r="D71" s="116" t="s">
        <v>66</v>
      </c>
      <c r="E71" s="121"/>
      <c r="F71" s="113"/>
      <c r="G71" s="182">
        <f>G72</f>
        <v>100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</row>
    <row r="72" spans="1:41" s="11" customFormat="1" ht="22.5">
      <c r="A72" s="134" t="s">
        <v>105</v>
      </c>
      <c r="B72" s="120" t="s">
        <v>464</v>
      </c>
      <c r="C72" s="119" t="s">
        <v>73</v>
      </c>
      <c r="D72" s="119" t="s">
        <v>66</v>
      </c>
      <c r="E72" s="120" t="s">
        <v>106</v>
      </c>
      <c r="F72" s="117"/>
      <c r="G72" s="183">
        <f>G73</f>
        <v>100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</row>
    <row r="73" spans="1:41" s="11" customFormat="1" ht="12.75">
      <c r="A73" s="134" t="s">
        <v>111</v>
      </c>
      <c r="B73" s="120" t="s">
        <v>464</v>
      </c>
      <c r="C73" s="119" t="s">
        <v>73</v>
      </c>
      <c r="D73" s="119" t="s">
        <v>66</v>
      </c>
      <c r="E73" s="120" t="s">
        <v>112</v>
      </c>
      <c r="F73" s="117"/>
      <c r="G73" s="183">
        <f>G74</f>
        <v>100</v>
      </c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</row>
    <row r="74" spans="1:41" s="11" customFormat="1" ht="12.75">
      <c r="A74" s="134" t="s">
        <v>115</v>
      </c>
      <c r="B74" s="120" t="s">
        <v>464</v>
      </c>
      <c r="C74" s="119" t="s">
        <v>73</v>
      </c>
      <c r="D74" s="119" t="s">
        <v>66</v>
      </c>
      <c r="E74" s="120" t="s">
        <v>116</v>
      </c>
      <c r="F74" s="117"/>
      <c r="G74" s="183">
        <f>G75</f>
        <v>100</v>
      </c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</row>
    <row r="75" spans="1:41" s="11" customFormat="1" ht="22.5">
      <c r="A75" s="132" t="s">
        <v>157</v>
      </c>
      <c r="B75" s="120" t="s">
        <v>464</v>
      </c>
      <c r="C75" s="119" t="s">
        <v>73</v>
      </c>
      <c r="D75" s="119" t="s">
        <v>66</v>
      </c>
      <c r="E75" s="120" t="s">
        <v>116</v>
      </c>
      <c r="F75" s="117">
        <v>726</v>
      </c>
      <c r="G75" s="183">
        <v>100</v>
      </c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</row>
    <row r="76" spans="1:41" s="68" customFormat="1" ht="12.75">
      <c r="A76" s="131" t="s">
        <v>62</v>
      </c>
      <c r="B76" s="121" t="s">
        <v>464</v>
      </c>
      <c r="C76" s="116" t="s">
        <v>71</v>
      </c>
      <c r="D76" s="116" t="s">
        <v>36</v>
      </c>
      <c r="E76" s="121"/>
      <c r="F76" s="113"/>
      <c r="G76" s="182">
        <f>G77</f>
        <v>10</v>
      </c>
      <c r="H76" s="106"/>
      <c r="I76" s="106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</row>
    <row r="77" spans="1:41" s="68" customFormat="1" ht="12.75">
      <c r="A77" s="134" t="s">
        <v>152</v>
      </c>
      <c r="B77" s="120" t="s">
        <v>464</v>
      </c>
      <c r="C77" s="119" t="s">
        <v>71</v>
      </c>
      <c r="D77" s="119" t="s">
        <v>76</v>
      </c>
      <c r="E77" s="121"/>
      <c r="F77" s="113"/>
      <c r="G77" s="182">
        <f>G78</f>
        <v>10</v>
      </c>
      <c r="H77" s="106"/>
      <c r="I77" s="106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</row>
    <row r="78" spans="1:41" s="11" customFormat="1" ht="22.5">
      <c r="A78" s="134" t="s">
        <v>610</v>
      </c>
      <c r="B78" s="120" t="s">
        <v>464</v>
      </c>
      <c r="C78" s="119" t="s">
        <v>71</v>
      </c>
      <c r="D78" s="119" t="s">
        <v>76</v>
      </c>
      <c r="E78" s="120" t="s">
        <v>104</v>
      </c>
      <c r="F78" s="117"/>
      <c r="G78" s="183">
        <f>G79</f>
        <v>10</v>
      </c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</row>
    <row r="79" spans="1:41" s="11" customFormat="1" ht="22.5">
      <c r="A79" s="134" t="s">
        <v>98</v>
      </c>
      <c r="B79" s="120" t="s">
        <v>464</v>
      </c>
      <c r="C79" s="119" t="s">
        <v>71</v>
      </c>
      <c r="D79" s="119" t="s">
        <v>76</v>
      </c>
      <c r="E79" s="120" t="s">
        <v>99</v>
      </c>
      <c r="F79" s="117"/>
      <c r="G79" s="183">
        <f>G80</f>
        <v>10</v>
      </c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</row>
    <row r="80" spans="1:41" s="11" customFormat="1" ht="22.5">
      <c r="A80" s="134" t="s">
        <v>100</v>
      </c>
      <c r="B80" s="120" t="s">
        <v>464</v>
      </c>
      <c r="C80" s="119" t="s">
        <v>71</v>
      </c>
      <c r="D80" s="119" t="s">
        <v>76</v>
      </c>
      <c r="E80" s="120" t="s">
        <v>101</v>
      </c>
      <c r="F80" s="117"/>
      <c r="G80" s="183">
        <f>G81</f>
        <v>10</v>
      </c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</row>
    <row r="81" spans="1:41" s="11" customFormat="1" ht="22.5">
      <c r="A81" s="135" t="s">
        <v>167</v>
      </c>
      <c r="B81" s="120" t="s">
        <v>464</v>
      </c>
      <c r="C81" s="119" t="s">
        <v>71</v>
      </c>
      <c r="D81" s="119" t="s">
        <v>76</v>
      </c>
      <c r="E81" s="120" t="s">
        <v>101</v>
      </c>
      <c r="F81" s="117">
        <v>724</v>
      </c>
      <c r="G81" s="183">
        <f>275-265</f>
        <v>10</v>
      </c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</row>
    <row r="82" spans="1:41" s="11" customFormat="1" ht="12.75">
      <c r="A82" s="131" t="s">
        <v>62</v>
      </c>
      <c r="B82" s="121" t="s">
        <v>466</v>
      </c>
      <c r="C82" s="119"/>
      <c r="D82" s="119"/>
      <c r="E82" s="120"/>
      <c r="F82" s="117"/>
      <c r="G82" s="182">
        <f>G83</f>
        <v>80</v>
      </c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</row>
    <row r="83" spans="1:41" s="57" customFormat="1" ht="30.75" customHeight="1">
      <c r="A83" s="136" t="s">
        <v>650</v>
      </c>
      <c r="B83" s="121" t="s">
        <v>466</v>
      </c>
      <c r="C83" s="116" t="s">
        <v>71</v>
      </c>
      <c r="D83" s="116" t="s">
        <v>36</v>
      </c>
      <c r="E83" s="121"/>
      <c r="F83" s="113"/>
      <c r="G83" s="182">
        <f>G84+G89</f>
        <v>80</v>
      </c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</row>
    <row r="84" spans="1:41" s="57" customFormat="1" ht="22.5">
      <c r="A84" s="172" t="s">
        <v>829</v>
      </c>
      <c r="B84" s="174" t="s">
        <v>830</v>
      </c>
      <c r="C84" s="119" t="s">
        <v>71</v>
      </c>
      <c r="D84" s="119" t="s">
        <v>76</v>
      </c>
      <c r="E84" s="120"/>
      <c r="F84" s="117"/>
      <c r="G84" s="182">
        <v>50</v>
      </c>
      <c r="H84" s="214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</row>
    <row r="85" spans="1:41" s="57" customFormat="1" ht="22.5">
      <c r="A85" s="134" t="s">
        <v>105</v>
      </c>
      <c r="B85" s="174" t="s">
        <v>830</v>
      </c>
      <c r="C85" s="119" t="s">
        <v>71</v>
      </c>
      <c r="D85" s="119" t="s">
        <v>76</v>
      </c>
      <c r="E85" s="120" t="s">
        <v>106</v>
      </c>
      <c r="F85" s="117"/>
      <c r="G85" s="183">
        <v>50</v>
      </c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</row>
    <row r="86" spans="1:41" s="57" customFormat="1" ht="22.5">
      <c r="A86" s="134" t="s">
        <v>469</v>
      </c>
      <c r="B86" s="174" t="s">
        <v>830</v>
      </c>
      <c r="C86" s="119" t="s">
        <v>71</v>
      </c>
      <c r="D86" s="119" t="s">
        <v>76</v>
      </c>
      <c r="E86" s="120" t="s">
        <v>470</v>
      </c>
      <c r="F86" s="117"/>
      <c r="G86" s="183">
        <v>50</v>
      </c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</row>
    <row r="87" spans="1:41" s="57" customFormat="1" ht="22.5">
      <c r="A87" s="134" t="s">
        <v>630</v>
      </c>
      <c r="B87" s="174" t="s">
        <v>830</v>
      </c>
      <c r="C87" s="119" t="s">
        <v>71</v>
      </c>
      <c r="D87" s="119" t="s">
        <v>76</v>
      </c>
      <c r="E87" s="120" t="s">
        <v>629</v>
      </c>
      <c r="F87" s="117"/>
      <c r="G87" s="183">
        <f>G88</f>
        <v>50</v>
      </c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</row>
    <row r="88" spans="1:41" s="57" customFormat="1" ht="12.75">
      <c r="A88" s="132" t="s">
        <v>153</v>
      </c>
      <c r="B88" s="174" t="s">
        <v>830</v>
      </c>
      <c r="C88" s="119" t="s">
        <v>71</v>
      </c>
      <c r="D88" s="119" t="s">
        <v>76</v>
      </c>
      <c r="E88" s="120" t="s">
        <v>629</v>
      </c>
      <c r="F88" s="117">
        <v>721</v>
      </c>
      <c r="G88" s="183">
        <v>50</v>
      </c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</row>
    <row r="89" spans="1:41" s="57" customFormat="1" ht="21.75">
      <c r="A89" s="136" t="s">
        <v>467</v>
      </c>
      <c r="B89" s="121" t="s">
        <v>468</v>
      </c>
      <c r="C89" s="133" t="s">
        <v>71</v>
      </c>
      <c r="D89" s="133" t="s">
        <v>36</v>
      </c>
      <c r="E89" s="120"/>
      <c r="F89" s="113"/>
      <c r="G89" s="182">
        <f>G90</f>
        <v>30</v>
      </c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</row>
    <row r="90" spans="1:41" s="68" customFormat="1" ht="12.75">
      <c r="A90" s="134" t="s">
        <v>152</v>
      </c>
      <c r="B90" s="120" t="s">
        <v>468</v>
      </c>
      <c r="C90" s="119" t="s">
        <v>71</v>
      </c>
      <c r="D90" s="119" t="s">
        <v>76</v>
      </c>
      <c r="E90" s="120"/>
      <c r="F90" s="117"/>
      <c r="G90" s="182">
        <f>G91</f>
        <v>30</v>
      </c>
      <c r="H90" s="106"/>
      <c r="I90" s="106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</row>
    <row r="91" spans="1:41" s="68" customFormat="1" ht="22.5">
      <c r="A91" s="134" t="s">
        <v>105</v>
      </c>
      <c r="B91" s="120" t="s">
        <v>468</v>
      </c>
      <c r="C91" s="119" t="s">
        <v>71</v>
      </c>
      <c r="D91" s="119" t="s">
        <v>76</v>
      </c>
      <c r="E91" s="120" t="s">
        <v>106</v>
      </c>
      <c r="F91" s="117"/>
      <c r="G91" s="183">
        <f>G92</f>
        <v>30</v>
      </c>
      <c r="H91" s="106"/>
      <c r="I91" s="106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</row>
    <row r="92" spans="1:41" s="5" customFormat="1" ht="22.5">
      <c r="A92" s="134" t="s">
        <v>469</v>
      </c>
      <c r="B92" s="120" t="s">
        <v>468</v>
      </c>
      <c r="C92" s="119" t="s">
        <v>71</v>
      </c>
      <c r="D92" s="119" t="s">
        <v>76</v>
      </c>
      <c r="E92" s="120" t="s">
        <v>470</v>
      </c>
      <c r="F92" s="117"/>
      <c r="G92" s="183">
        <f>G93</f>
        <v>30</v>
      </c>
      <c r="H92" s="102"/>
      <c r="I92" s="102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</row>
    <row r="93" spans="1:41" s="5" customFormat="1" ht="22.5">
      <c r="A93" s="134" t="s">
        <v>630</v>
      </c>
      <c r="B93" s="120" t="s">
        <v>468</v>
      </c>
      <c r="C93" s="119" t="s">
        <v>71</v>
      </c>
      <c r="D93" s="119" t="s">
        <v>76</v>
      </c>
      <c r="E93" s="120" t="s">
        <v>629</v>
      </c>
      <c r="F93" s="117"/>
      <c r="G93" s="183">
        <f>G94</f>
        <v>30</v>
      </c>
      <c r="H93" s="102"/>
      <c r="I93" s="102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</row>
    <row r="94" spans="1:41" s="5" customFormat="1" ht="12.75">
      <c r="A94" s="132" t="s">
        <v>153</v>
      </c>
      <c r="B94" s="120" t="s">
        <v>468</v>
      </c>
      <c r="C94" s="119" t="s">
        <v>71</v>
      </c>
      <c r="D94" s="119" t="s">
        <v>76</v>
      </c>
      <c r="E94" s="120" t="s">
        <v>629</v>
      </c>
      <c r="F94" s="117">
        <v>721</v>
      </c>
      <c r="G94" s="183">
        <v>30</v>
      </c>
      <c r="H94" s="102"/>
      <c r="I94" s="102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</row>
    <row r="95" spans="1:41" s="68" customFormat="1" ht="32.25">
      <c r="A95" s="136" t="s">
        <v>492</v>
      </c>
      <c r="B95" s="121" t="s">
        <v>493</v>
      </c>
      <c r="C95" s="116"/>
      <c r="D95" s="116"/>
      <c r="E95" s="121"/>
      <c r="F95" s="113"/>
      <c r="G95" s="182">
        <f aca="true" t="shared" si="1" ref="G95:G101">G96</f>
        <v>454.00000000000006</v>
      </c>
      <c r="H95" s="106"/>
      <c r="I95" s="106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</row>
    <row r="96" spans="1:41" s="5" customFormat="1" ht="42.75">
      <c r="A96" s="136" t="s">
        <v>494</v>
      </c>
      <c r="B96" s="121" t="s">
        <v>780</v>
      </c>
      <c r="C96" s="116"/>
      <c r="D96" s="116"/>
      <c r="E96" s="121"/>
      <c r="F96" s="113"/>
      <c r="G96" s="182">
        <f t="shared" si="1"/>
        <v>454.00000000000006</v>
      </c>
      <c r="H96" s="102"/>
      <c r="I96" s="102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</row>
    <row r="97" spans="1:41" s="5" customFormat="1" ht="12.75">
      <c r="A97" s="131" t="s">
        <v>62</v>
      </c>
      <c r="B97" s="121" t="s">
        <v>780</v>
      </c>
      <c r="C97" s="116" t="s">
        <v>71</v>
      </c>
      <c r="D97" s="116" t="s">
        <v>36</v>
      </c>
      <c r="E97" s="121"/>
      <c r="F97" s="113"/>
      <c r="G97" s="182">
        <f t="shared" si="1"/>
        <v>454.00000000000006</v>
      </c>
      <c r="H97" s="102"/>
      <c r="I97" s="102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</row>
    <row r="98" spans="1:41" s="5" customFormat="1" ht="12.75">
      <c r="A98" s="136" t="s">
        <v>491</v>
      </c>
      <c r="B98" s="121" t="s">
        <v>780</v>
      </c>
      <c r="C98" s="116" t="s">
        <v>71</v>
      </c>
      <c r="D98" s="116" t="s">
        <v>68</v>
      </c>
      <c r="E98" s="121"/>
      <c r="F98" s="113"/>
      <c r="G98" s="182">
        <f t="shared" si="1"/>
        <v>454.00000000000006</v>
      </c>
      <c r="H98" s="102"/>
      <c r="I98" s="102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</row>
    <row r="99" spans="1:41" s="5" customFormat="1" ht="22.5">
      <c r="A99" s="134" t="s">
        <v>495</v>
      </c>
      <c r="B99" s="120" t="s">
        <v>780</v>
      </c>
      <c r="C99" s="119" t="s">
        <v>71</v>
      </c>
      <c r="D99" s="119" t="s">
        <v>68</v>
      </c>
      <c r="E99" s="120" t="s">
        <v>496</v>
      </c>
      <c r="F99" s="117"/>
      <c r="G99" s="183">
        <f t="shared" si="1"/>
        <v>454.00000000000006</v>
      </c>
      <c r="H99" s="102"/>
      <c r="I99" s="102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</row>
    <row r="100" spans="1:41" s="5" customFormat="1" ht="12.75">
      <c r="A100" s="134" t="s">
        <v>497</v>
      </c>
      <c r="B100" s="120" t="s">
        <v>780</v>
      </c>
      <c r="C100" s="119" t="s">
        <v>71</v>
      </c>
      <c r="D100" s="119" t="s">
        <v>68</v>
      </c>
      <c r="E100" s="120" t="s">
        <v>498</v>
      </c>
      <c r="F100" s="117"/>
      <c r="G100" s="183">
        <f t="shared" si="1"/>
        <v>454.00000000000006</v>
      </c>
      <c r="H100" s="102"/>
      <c r="I100" s="102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</row>
    <row r="101" spans="1:41" s="5" customFormat="1" ht="22.5">
      <c r="A101" s="134" t="s">
        <v>499</v>
      </c>
      <c r="B101" s="120" t="s">
        <v>780</v>
      </c>
      <c r="C101" s="119" t="s">
        <v>71</v>
      </c>
      <c r="D101" s="119" t="s">
        <v>68</v>
      </c>
      <c r="E101" s="120" t="s">
        <v>500</v>
      </c>
      <c r="F101" s="117"/>
      <c r="G101" s="183">
        <f t="shared" si="1"/>
        <v>454.00000000000006</v>
      </c>
      <c r="H101" s="102"/>
      <c r="I101" s="102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</row>
    <row r="102" spans="1:41" s="5" customFormat="1" ht="22.5">
      <c r="A102" s="135" t="s">
        <v>167</v>
      </c>
      <c r="B102" s="120" t="s">
        <v>780</v>
      </c>
      <c r="C102" s="119" t="s">
        <v>71</v>
      </c>
      <c r="D102" s="119" t="s">
        <v>68</v>
      </c>
      <c r="E102" s="120" t="s">
        <v>500</v>
      </c>
      <c r="F102" s="117">
        <v>724</v>
      </c>
      <c r="G102" s="183">
        <f>613.7-159.7</f>
        <v>454.00000000000006</v>
      </c>
      <c r="H102" s="102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</row>
    <row r="103" spans="1:41" s="5" customFormat="1" ht="32.25">
      <c r="A103" s="131" t="s">
        <v>507</v>
      </c>
      <c r="B103" s="114" t="s">
        <v>176</v>
      </c>
      <c r="C103" s="116"/>
      <c r="D103" s="116"/>
      <c r="E103" s="117"/>
      <c r="F103" s="117"/>
      <c r="G103" s="182">
        <f>G104</f>
        <v>1231.1</v>
      </c>
      <c r="H103" s="102"/>
      <c r="I103" s="102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</row>
    <row r="104" spans="1:41" s="5" customFormat="1" ht="32.25">
      <c r="A104" s="131" t="s">
        <v>291</v>
      </c>
      <c r="B104" s="114" t="s">
        <v>508</v>
      </c>
      <c r="C104" s="116"/>
      <c r="D104" s="116"/>
      <c r="E104" s="117"/>
      <c r="F104" s="117"/>
      <c r="G104" s="182">
        <f>G105+G129+G136+G122</f>
        <v>1231.1</v>
      </c>
      <c r="H104" s="102"/>
      <c r="I104" s="102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</row>
    <row r="105" spans="1:41" s="5" customFormat="1" ht="12.75" customHeight="1">
      <c r="A105" s="131" t="s">
        <v>175</v>
      </c>
      <c r="B105" s="114" t="s">
        <v>509</v>
      </c>
      <c r="C105" s="116"/>
      <c r="D105" s="116"/>
      <c r="E105" s="117"/>
      <c r="F105" s="117"/>
      <c r="G105" s="182">
        <f>G106</f>
        <v>818.1</v>
      </c>
      <c r="H105" s="102"/>
      <c r="I105" s="102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</row>
    <row r="106" spans="1:41" s="5" customFormat="1" ht="12.75">
      <c r="A106" s="131" t="s">
        <v>8</v>
      </c>
      <c r="B106" s="114" t="s">
        <v>509</v>
      </c>
      <c r="C106" s="116" t="s">
        <v>69</v>
      </c>
      <c r="D106" s="116" t="s">
        <v>36</v>
      </c>
      <c r="E106" s="117"/>
      <c r="F106" s="117"/>
      <c r="G106" s="182">
        <f>G107+G112+G117</f>
        <v>818.1</v>
      </c>
      <c r="H106" s="102"/>
      <c r="I106" s="102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</row>
    <row r="107" spans="1:41" s="5" customFormat="1" ht="12.75">
      <c r="A107" s="132" t="s">
        <v>9</v>
      </c>
      <c r="B107" s="118" t="s">
        <v>509</v>
      </c>
      <c r="C107" s="119" t="s">
        <v>69</v>
      </c>
      <c r="D107" s="119" t="s">
        <v>66</v>
      </c>
      <c r="E107" s="117"/>
      <c r="F107" s="117"/>
      <c r="G107" s="183">
        <f>G108</f>
        <v>182.9</v>
      </c>
      <c r="H107" s="102"/>
      <c r="I107" s="102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</row>
    <row r="108" spans="1:41" s="5" customFormat="1" ht="22.5">
      <c r="A108" s="134" t="s">
        <v>105</v>
      </c>
      <c r="B108" s="118" t="s">
        <v>509</v>
      </c>
      <c r="C108" s="119" t="s">
        <v>69</v>
      </c>
      <c r="D108" s="119" t="s">
        <v>66</v>
      </c>
      <c r="E108" s="120" t="s">
        <v>106</v>
      </c>
      <c r="F108" s="120"/>
      <c r="G108" s="183">
        <f>G109</f>
        <v>182.9</v>
      </c>
      <c r="H108" s="102"/>
      <c r="I108" s="102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</row>
    <row r="109" spans="1:41" s="5" customFormat="1" ht="12.75">
      <c r="A109" s="134" t="s">
        <v>111</v>
      </c>
      <c r="B109" s="118" t="s">
        <v>509</v>
      </c>
      <c r="C109" s="119" t="s">
        <v>69</v>
      </c>
      <c r="D109" s="119" t="s">
        <v>66</v>
      </c>
      <c r="E109" s="120" t="s">
        <v>112</v>
      </c>
      <c r="F109" s="120"/>
      <c r="G109" s="183">
        <f>G110</f>
        <v>182.9</v>
      </c>
      <c r="H109" s="102"/>
      <c r="I109" s="102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</row>
    <row r="110" spans="1:41" s="5" customFormat="1" ht="12.75">
      <c r="A110" s="134" t="s">
        <v>115</v>
      </c>
      <c r="B110" s="118" t="s">
        <v>509</v>
      </c>
      <c r="C110" s="119" t="s">
        <v>69</v>
      </c>
      <c r="D110" s="119" t="s">
        <v>66</v>
      </c>
      <c r="E110" s="120" t="s">
        <v>116</v>
      </c>
      <c r="F110" s="120"/>
      <c r="G110" s="183">
        <f>G111</f>
        <v>182.9</v>
      </c>
      <c r="H110" s="102"/>
      <c r="I110" s="102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</row>
    <row r="111" spans="1:41" s="5" customFormat="1" ht="12.75" customHeight="1">
      <c r="A111" s="132" t="s">
        <v>156</v>
      </c>
      <c r="B111" s="118" t="s">
        <v>509</v>
      </c>
      <c r="C111" s="119" t="s">
        <v>69</v>
      </c>
      <c r="D111" s="119" t="s">
        <v>66</v>
      </c>
      <c r="E111" s="120" t="s">
        <v>116</v>
      </c>
      <c r="F111" s="117">
        <v>725</v>
      </c>
      <c r="G111" s="183">
        <v>182.9</v>
      </c>
      <c r="H111" s="102"/>
      <c r="I111" s="102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</row>
    <row r="112" spans="1:41" s="5" customFormat="1" ht="12.75">
      <c r="A112" s="132" t="s">
        <v>651</v>
      </c>
      <c r="B112" s="118" t="s">
        <v>509</v>
      </c>
      <c r="C112" s="119" t="s">
        <v>69</v>
      </c>
      <c r="D112" s="119" t="s">
        <v>67</v>
      </c>
      <c r="E112" s="120"/>
      <c r="F112" s="117"/>
      <c r="G112" s="183">
        <f>G113</f>
        <v>532.2</v>
      </c>
      <c r="H112" s="102"/>
      <c r="I112" s="102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</row>
    <row r="113" spans="1:41" s="5" customFormat="1" ht="22.5">
      <c r="A113" s="134" t="s">
        <v>105</v>
      </c>
      <c r="B113" s="118" t="s">
        <v>509</v>
      </c>
      <c r="C113" s="119" t="s">
        <v>69</v>
      </c>
      <c r="D113" s="119" t="s">
        <v>67</v>
      </c>
      <c r="E113" s="120" t="s">
        <v>106</v>
      </c>
      <c r="F113" s="117"/>
      <c r="G113" s="183">
        <f>G114</f>
        <v>532.2</v>
      </c>
      <c r="H113" s="102"/>
      <c r="I113" s="102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</row>
    <row r="114" spans="1:41" s="5" customFormat="1" ht="12.75">
      <c r="A114" s="134" t="s">
        <v>111</v>
      </c>
      <c r="B114" s="118" t="s">
        <v>509</v>
      </c>
      <c r="C114" s="119" t="s">
        <v>69</v>
      </c>
      <c r="D114" s="119" t="s">
        <v>67</v>
      </c>
      <c r="E114" s="120" t="s">
        <v>112</v>
      </c>
      <c r="F114" s="117"/>
      <c r="G114" s="183">
        <f>G115</f>
        <v>532.2</v>
      </c>
      <c r="H114" s="102"/>
      <c r="I114" s="102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</row>
    <row r="115" spans="1:41" s="5" customFormat="1" ht="12.75">
      <c r="A115" s="134" t="s">
        <v>115</v>
      </c>
      <c r="B115" s="118" t="s">
        <v>509</v>
      </c>
      <c r="C115" s="119" t="s">
        <v>69</v>
      </c>
      <c r="D115" s="119" t="s">
        <v>67</v>
      </c>
      <c r="E115" s="120" t="s">
        <v>116</v>
      </c>
      <c r="F115" s="117"/>
      <c r="G115" s="183">
        <f>G116</f>
        <v>532.2</v>
      </c>
      <c r="H115" s="102"/>
      <c r="I115" s="102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</row>
    <row r="116" spans="1:41" s="5" customFormat="1" ht="22.5">
      <c r="A116" s="132" t="s">
        <v>156</v>
      </c>
      <c r="B116" s="118" t="s">
        <v>509</v>
      </c>
      <c r="C116" s="119" t="s">
        <v>69</v>
      </c>
      <c r="D116" s="119" t="s">
        <v>67</v>
      </c>
      <c r="E116" s="120" t="s">
        <v>116</v>
      </c>
      <c r="F116" s="117">
        <v>725</v>
      </c>
      <c r="G116" s="183">
        <v>532.2</v>
      </c>
      <c r="H116" s="102"/>
      <c r="I116" s="102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</row>
    <row r="117" spans="1:41" s="74" customFormat="1" ht="14.25" customHeight="1">
      <c r="A117" s="132" t="s">
        <v>530</v>
      </c>
      <c r="B117" s="118" t="s">
        <v>509</v>
      </c>
      <c r="C117" s="119" t="s">
        <v>69</v>
      </c>
      <c r="D117" s="119" t="s">
        <v>70</v>
      </c>
      <c r="E117" s="120"/>
      <c r="F117" s="117"/>
      <c r="G117" s="183">
        <f>G118</f>
        <v>103</v>
      </c>
      <c r="H117" s="105"/>
      <c r="I117" s="105"/>
      <c r="J117" s="215"/>
      <c r="K117" s="215"/>
      <c r="L117" s="215"/>
      <c r="M117" s="215"/>
      <c r="N117" s="215"/>
      <c r="O117" s="215"/>
      <c r="P117" s="215"/>
      <c r="Q117" s="215"/>
      <c r="R117" s="215"/>
      <c r="S117" s="215"/>
      <c r="T117" s="215"/>
      <c r="U117" s="215"/>
      <c r="V117" s="215"/>
      <c r="W117" s="215"/>
      <c r="X117" s="215"/>
      <c r="Y117" s="215"/>
      <c r="Z117" s="215"/>
      <c r="AA117" s="215"/>
      <c r="AB117" s="215"/>
      <c r="AC117" s="215"/>
      <c r="AD117" s="215"/>
      <c r="AE117" s="215"/>
      <c r="AF117" s="215"/>
      <c r="AG117" s="215"/>
      <c r="AH117" s="215"/>
      <c r="AI117" s="215"/>
      <c r="AJ117" s="215"/>
      <c r="AK117" s="215"/>
      <c r="AL117" s="215"/>
      <c r="AM117" s="215"/>
      <c r="AN117" s="215"/>
      <c r="AO117" s="215"/>
    </row>
    <row r="118" spans="1:41" s="74" customFormat="1" ht="22.5">
      <c r="A118" s="134" t="s">
        <v>105</v>
      </c>
      <c r="B118" s="118" t="s">
        <v>509</v>
      </c>
      <c r="C118" s="119" t="s">
        <v>69</v>
      </c>
      <c r="D118" s="119" t="s">
        <v>70</v>
      </c>
      <c r="E118" s="120" t="s">
        <v>106</v>
      </c>
      <c r="F118" s="117"/>
      <c r="G118" s="183">
        <f>G119</f>
        <v>103</v>
      </c>
      <c r="H118" s="105"/>
      <c r="I118" s="105"/>
      <c r="J118" s="215"/>
      <c r="K118" s="215"/>
      <c r="L118" s="215"/>
      <c r="M118" s="215"/>
      <c r="N118" s="215"/>
      <c r="O118" s="215"/>
      <c r="P118" s="215"/>
      <c r="Q118" s="215"/>
      <c r="R118" s="215"/>
      <c r="S118" s="215"/>
      <c r="T118" s="215"/>
      <c r="U118" s="215"/>
      <c r="V118" s="215"/>
      <c r="W118" s="215"/>
      <c r="X118" s="215"/>
      <c r="Y118" s="215"/>
      <c r="Z118" s="215"/>
      <c r="AA118" s="215"/>
      <c r="AB118" s="215"/>
      <c r="AC118" s="215"/>
      <c r="AD118" s="215"/>
      <c r="AE118" s="215"/>
      <c r="AF118" s="215"/>
      <c r="AG118" s="215"/>
      <c r="AH118" s="215"/>
      <c r="AI118" s="215"/>
      <c r="AJ118" s="215"/>
      <c r="AK118" s="215"/>
      <c r="AL118" s="215"/>
      <c r="AM118" s="215"/>
      <c r="AN118" s="215"/>
      <c r="AO118" s="215"/>
    </row>
    <row r="119" spans="1:41" s="74" customFormat="1" ht="12.75">
      <c r="A119" s="134" t="s">
        <v>111</v>
      </c>
      <c r="B119" s="118" t="s">
        <v>509</v>
      </c>
      <c r="C119" s="119" t="s">
        <v>69</v>
      </c>
      <c r="D119" s="119" t="s">
        <v>70</v>
      </c>
      <c r="E119" s="120" t="s">
        <v>112</v>
      </c>
      <c r="F119" s="117"/>
      <c r="G119" s="183">
        <f>G120</f>
        <v>103</v>
      </c>
      <c r="H119" s="105"/>
      <c r="I119" s="105"/>
      <c r="J119" s="215"/>
      <c r="K119" s="215"/>
      <c r="L119" s="215"/>
      <c r="M119" s="215"/>
      <c r="N119" s="215"/>
      <c r="O119" s="215"/>
      <c r="P119" s="215"/>
      <c r="Q119" s="215"/>
      <c r="R119" s="215"/>
      <c r="S119" s="215"/>
      <c r="T119" s="215"/>
      <c r="U119" s="215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  <c r="AF119" s="215"/>
      <c r="AG119" s="215"/>
      <c r="AH119" s="215"/>
      <c r="AI119" s="215"/>
      <c r="AJ119" s="215"/>
      <c r="AK119" s="215"/>
      <c r="AL119" s="215"/>
      <c r="AM119" s="215"/>
      <c r="AN119" s="215"/>
      <c r="AO119" s="215"/>
    </row>
    <row r="120" spans="1:41" s="74" customFormat="1" ht="12.75">
      <c r="A120" s="134" t="s">
        <v>115</v>
      </c>
      <c r="B120" s="118" t="s">
        <v>509</v>
      </c>
      <c r="C120" s="119" t="s">
        <v>69</v>
      </c>
      <c r="D120" s="119" t="s">
        <v>70</v>
      </c>
      <c r="E120" s="120" t="s">
        <v>116</v>
      </c>
      <c r="F120" s="117"/>
      <c r="G120" s="183">
        <f>G121</f>
        <v>103</v>
      </c>
      <c r="H120" s="105"/>
      <c r="I120" s="105"/>
      <c r="J120" s="215"/>
      <c r="K120" s="215"/>
      <c r="L120" s="215"/>
      <c r="M120" s="215"/>
      <c r="N120" s="215"/>
      <c r="O120" s="215"/>
      <c r="P120" s="215"/>
      <c r="Q120" s="215"/>
      <c r="R120" s="215"/>
      <c r="S120" s="215"/>
      <c r="T120" s="215"/>
      <c r="U120" s="215"/>
      <c r="V120" s="215"/>
      <c r="W120" s="215"/>
      <c r="X120" s="215"/>
      <c r="Y120" s="215"/>
      <c r="Z120" s="215"/>
      <c r="AA120" s="215"/>
      <c r="AB120" s="215"/>
      <c r="AC120" s="215"/>
      <c r="AD120" s="215"/>
      <c r="AE120" s="215"/>
      <c r="AF120" s="215"/>
      <c r="AG120" s="215"/>
      <c r="AH120" s="215"/>
      <c r="AI120" s="215"/>
      <c r="AJ120" s="215"/>
      <c r="AK120" s="215"/>
      <c r="AL120" s="215"/>
      <c r="AM120" s="215"/>
      <c r="AN120" s="215"/>
      <c r="AO120" s="215"/>
    </row>
    <row r="121" spans="1:41" s="74" customFormat="1" ht="12" customHeight="1">
      <c r="A121" s="132" t="s">
        <v>156</v>
      </c>
      <c r="B121" s="118" t="s">
        <v>509</v>
      </c>
      <c r="C121" s="119" t="s">
        <v>69</v>
      </c>
      <c r="D121" s="119" t="s">
        <v>70</v>
      </c>
      <c r="E121" s="120" t="s">
        <v>116</v>
      </c>
      <c r="F121" s="117">
        <v>725</v>
      </c>
      <c r="G121" s="183">
        <v>103</v>
      </c>
      <c r="H121" s="105"/>
      <c r="I121" s="105"/>
      <c r="J121" s="215"/>
      <c r="K121" s="215"/>
      <c r="L121" s="215"/>
      <c r="M121" s="215"/>
      <c r="N121" s="215"/>
      <c r="O121" s="215"/>
      <c r="P121" s="215"/>
      <c r="Q121" s="215"/>
      <c r="R121" s="215"/>
      <c r="S121" s="215"/>
      <c r="T121" s="215"/>
      <c r="U121" s="215"/>
      <c r="V121" s="215"/>
      <c r="W121" s="215"/>
      <c r="X121" s="215"/>
      <c r="Y121" s="215"/>
      <c r="Z121" s="215"/>
      <c r="AA121" s="215"/>
      <c r="AB121" s="215"/>
      <c r="AC121" s="215"/>
      <c r="AD121" s="215"/>
      <c r="AE121" s="215"/>
      <c r="AF121" s="215"/>
      <c r="AG121" s="215"/>
      <c r="AH121" s="215"/>
      <c r="AI121" s="215"/>
      <c r="AJ121" s="215"/>
      <c r="AK121" s="215"/>
      <c r="AL121" s="215"/>
      <c r="AM121" s="215"/>
      <c r="AN121" s="215"/>
      <c r="AO121" s="215"/>
    </row>
    <row r="122" spans="1:41" s="75" customFormat="1" ht="12" customHeight="1">
      <c r="A122" s="173" t="s">
        <v>832</v>
      </c>
      <c r="B122" s="114" t="s">
        <v>831</v>
      </c>
      <c r="C122" s="116"/>
      <c r="D122" s="116"/>
      <c r="E122" s="121"/>
      <c r="F122" s="113"/>
      <c r="G122" s="182">
        <f>G123</f>
        <v>168</v>
      </c>
      <c r="H122" s="107"/>
      <c r="I122" s="107"/>
      <c r="J122" s="216"/>
      <c r="K122" s="216"/>
      <c r="L122" s="216"/>
      <c r="M122" s="216"/>
      <c r="N122" s="216"/>
      <c r="O122" s="216"/>
      <c r="P122" s="216"/>
      <c r="Q122" s="216"/>
      <c r="R122" s="216"/>
      <c r="S122" s="216"/>
      <c r="T122" s="216"/>
      <c r="U122" s="216"/>
      <c r="V122" s="216"/>
      <c r="W122" s="216"/>
      <c r="X122" s="216"/>
      <c r="Y122" s="216"/>
      <c r="Z122" s="216"/>
      <c r="AA122" s="216"/>
      <c r="AB122" s="216"/>
      <c r="AC122" s="216"/>
      <c r="AD122" s="216"/>
      <c r="AE122" s="216"/>
      <c r="AF122" s="216"/>
      <c r="AG122" s="216"/>
      <c r="AH122" s="216"/>
      <c r="AI122" s="216"/>
      <c r="AJ122" s="216"/>
      <c r="AK122" s="216"/>
      <c r="AL122" s="216"/>
      <c r="AM122" s="216"/>
      <c r="AN122" s="216"/>
      <c r="AO122" s="216"/>
    </row>
    <row r="123" spans="1:41" s="75" customFormat="1" ht="12" customHeight="1">
      <c r="A123" s="131" t="s">
        <v>8</v>
      </c>
      <c r="B123" s="114" t="s">
        <v>831</v>
      </c>
      <c r="C123" s="116" t="s">
        <v>69</v>
      </c>
      <c r="D123" s="116" t="s">
        <v>36</v>
      </c>
      <c r="E123" s="121"/>
      <c r="F123" s="113"/>
      <c r="G123" s="182">
        <f>G124</f>
        <v>168</v>
      </c>
      <c r="H123" s="107"/>
      <c r="I123" s="107"/>
      <c r="J123" s="216"/>
      <c r="K123" s="216"/>
      <c r="L123" s="216"/>
      <c r="M123" s="216"/>
      <c r="N123" s="216"/>
      <c r="O123" s="216"/>
      <c r="P123" s="216"/>
      <c r="Q123" s="216"/>
      <c r="R123" s="216"/>
      <c r="S123" s="216"/>
      <c r="T123" s="216"/>
      <c r="U123" s="216"/>
      <c r="V123" s="216"/>
      <c r="W123" s="216"/>
      <c r="X123" s="216"/>
      <c r="Y123" s="216"/>
      <c r="Z123" s="216"/>
      <c r="AA123" s="216"/>
      <c r="AB123" s="216"/>
      <c r="AC123" s="216"/>
      <c r="AD123" s="216"/>
      <c r="AE123" s="216"/>
      <c r="AF123" s="216"/>
      <c r="AG123" s="216"/>
      <c r="AH123" s="216"/>
      <c r="AI123" s="216"/>
      <c r="AJ123" s="216"/>
      <c r="AK123" s="216"/>
      <c r="AL123" s="216"/>
      <c r="AM123" s="216"/>
      <c r="AN123" s="216"/>
      <c r="AO123" s="216"/>
    </row>
    <row r="124" spans="1:41" s="75" customFormat="1" ht="12" customHeight="1">
      <c r="A124" s="132" t="s">
        <v>651</v>
      </c>
      <c r="B124" s="118" t="s">
        <v>831</v>
      </c>
      <c r="C124" s="119" t="s">
        <v>69</v>
      </c>
      <c r="D124" s="119" t="s">
        <v>67</v>
      </c>
      <c r="E124" s="121"/>
      <c r="F124" s="113"/>
      <c r="G124" s="183">
        <f>G125</f>
        <v>168</v>
      </c>
      <c r="H124" s="107"/>
      <c r="I124" s="107"/>
      <c r="J124" s="216"/>
      <c r="K124" s="216"/>
      <c r="L124" s="216"/>
      <c r="M124" s="216"/>
      <c r="N124" s="216"/>
      <c r="O124" s="216"/>
      <c r="P124" s="216"/>
      <c r="Q124" s="216"/>
      <c r="R124" s="216"/>
      <c r="S124" s="216"/>
      <c r="T124" s="216"/>
      <c r="U124" s="216"/>
      <c r="V124" s="216"/>
      <c r="W124" s="216"/>
      <c r="X124" s="216"/>
      <c r="Y124" s="216"/>
      <c r="Z124" s="216"/>
      <c r="AA124" s="216"/>
      <c r="AB124" s="216"/>
      <c r="AC124" s="216"/>
      <c r="AD124" s="216"/>
      <c r="AE124" s="216"/>
      <c r="AF124" s="216"/>
      <c r="AG124" s="216"/>
      <c r="AH124" s="216"/>
      <c r="AI124" s="216"/>
      <c r="AJ124" s="216"/>
      <c r="AK124" s="216"/>
      <c r="AL124" s="216"/>
      <c r="AM124" s="216"/>
      <c r="AN124" s="216"/>
      <c r="AO124" s="216"/>
    </row>
    <row r="125" spans="1:41" s="74" customFormat="1" ht="21" customHeight="1">
      <c r="A125" s="134" t="s">
        <v>105</v>
      </c>
      <c r="B125" s="118" t="s">
        <v>831</v>
      </c>
      <c r="C125" s="119" t="s">
        <v>69</v>
      </c>
      <c r="D125" s="119" t="s">
        <v>70</v>
      </c>
      <c r="E125" s="120" t="s">
        <v>106</v>
      </c>
      <c r="F125" s="117"/>
      <c r="G125" s="183">
        <v>168</v>
      </c>
      <c r="H125" s="105"/>
      <c r="I125" s="105"/>
      <c r="J125" s="215"/>
      <c r="K125" s="215"/>
      <c r="L125" s="215"/>
      <c r="M125" s="215"/>
      <c r="N125" s="215"/>
      <c r="O125" s="215"/>
      <c r="P125" s="215"/>
      <c r="Q125" s="215"/>
      <c r="R125" s="215"/>
      <c r="S125" s="215"/>
      <c r="T125" s="215"/>
      <c r="U125" s="215"/>
      <c r="V125" s="215"/>
      <c r="W125" s="215"/>
      <c r="X125" s="215"/>
      <c r="Y125" s="215"/>
      <c r="Z125" s="215"/>
      <c r="AA125" s="215"/>
      <c r="AB125" s="215"/>
      <c r="AC125" s="215"/>
      <c r="AD125" s="215"/>
      <c r="AE125" s="215"/>
      <c r="AF125" s="215"/>
      <c r="AG125" s="215"/>
      <c r="AH125" s="215"/>
      <c r="AI125" s="215"/>
      <c r="AJ125" s="215"/>
      <c r="AK125" s="215"/>
      <c r="AL125" s="215"/>
      <c r="AM125" s="215"/>
      <c r="AN125" s="215"/>
      <c r="AO125" s="215"/>
    </row>
    <row r="126" spans="1:41" s="74" customFormat="1" ht="12" customHeight="1">
      <c r="A126" s="134" t="s">
        <v>111</v>
      </c>
      <c r="B126" s="118" t="s">
        <v>831</v>
      </c>
      <c r="C126" s="119" t="s">
        <v>69</v>
      </c>
      <c r="D126" s="119" t="s">
        <v>70</v>
      </c>
      <c r="E126" s="120" t="s">
        <v>112</v>
      </c>
      <c r="F126" s="117"/>
      <c r="G126" s="183">
        <v>168</v>
      </c>
      <c r="H126" s="105"/>
      <c r="I126" s="105"/>
      <c r="J126" s="215"/>
      <c r="K126" s="215"/>
      <c r="L126" s="215"/>
      <c r="M126" s="215"/>
      <c r="N126" s="215"/>
      <c r="O126" s="215"/>
      <c r="P126" s="215"/>
      <c r="Q126" s="215"/>
      <c r="R126" s="215"/>
      <c r="S126" s="215"/>
      <c r="T126" s="215"/>
      <c r="U126" s="215"/>
      <c r="V126" s="215"/>
      <c r="W126" s="215"/>
      <c r="X126" s="215"/>
      <c r="Y126" s="215"/>
      <c r="Z126" s="215"/>
      <c r="AA126" s="215"/>
      <c r="AB126" s="215"/>
      <c r="AC126" s="215"/>
      <c r="AD126" s="215"/>
      <c r="AE126" s="215"/>
      <c r="AF126" s="215"/>
      <c r="AG126" s="215"/>
      <c r="AH126" s="215"/>
      <c r="AI126" s="215"/>
      <c r="AJ126" s="215"/>
      <c r="AK126" s="215"/>
      <c r="AL126" s="215"/>
      <c r="AM126" s="215"/>
      <c r="AN126" s="215"/>
      <c r="AO126" s="215"/>
    </row>
    <row r="127" spans="1:41" s="74" customFormat="1" ht="12" customHeight="1">
      <c r="A127" s="134" t="s">
        <v>115</v>
      </c>
      <c r="B127" s="118" t="s">
        <v>831</v>
      </c>
      <c r="C127" s="119" t="s">
        <v>69</v>
      </c>
      <c r="D127" s="119" t="s">
        <v>70</v>
      </c>
      <c r="E127" s="120" t="s">
        <v>116</v>
      </c>
      <c r="F127" s="117"/>
      <c r="G127" s="183">
        <v>168</v>
      </c>
      <c r="H127" s="105"/>
      <c r="I127" s="105"/>
      <c r="J127" s="215"/>
      <c r="K127" s="215"/>
      <c r="L127" s="215"/>
      <c r="M127" s="215"/>
      <c r="N127" s="215"/>
      <c r="O127" s="215"/>
      <c r="P127" s="215"/>
      <c r="Q127" s="215"/>
      <c r="R127" s="215"/>
      <c r="S127" s="215"/>
      <c r="T127" s="215"/>
      <c r="U127" s="215"/>
      <c r="V127" s="215"/>
      <c r="W127" s="215"/>
      <c r="X127" s="215"/>
      <c r="Y127" s="215"/>
      <c r="Z127" s="215"/>
      <c r="AA127" s="215"/>
      <c r="AB127" s="215"/>
      <c r="AC127" s="215"/>
      <c r="AD127" s="215"/>
      <c r="AE127" s="215"/>
      <c r="AF127" s="215"/>
      <c r="AG127" s="215"/>
      <c r="AH127" s="215"/>
      <c r="AI127" s="215"/>
      <c r="AJ127" s="215"/>
      <c r="AK127" s="215"/>
      <c r="AL127" s="215"/>
      <c r="AM127" s="215"/>
      <c r="AN127" s="215"/>
      <c r="AO127" s="215"/>
    </row>
    <row r="128" spans="1:41" s="74" customFormat="1" ht="12" customHeight="1">
      <c r="A128" s="132" t="s">
        <v>156</v>
      </c>
      <c r="B128" s="118" t="s">
        <v>831</v>
      </c>
      <c r="C128" s="119" t="s">
        <v>69</v>
      </c>
      <c r="D128" s="119" t="s">
        <v>70</v>
      </c>
      <c r="E128" s="120" t="s">
        <v>116</v>
      </c>
      <c r="F128" s="117">
        <v>725</v>
      </c>
      <c r="G128" s="183">
        <v>168</v>
      </c>
      <c r="H128" s="105"/>
      <c r="I128" s="105"/>
      <c r="J128" s="215"/>
      <c r="K128" s="215"/>
      <c r="L128" s="215"/>
      <c r="M128" s="215"/>
      <c r="N128" s="215"/>
      <c r="O128" s="215"/>
      <c r="P128" s="215"/>
      <c r="Q128" s="215"/>
      <c r="R128" s="215"/>
      <c r="S128" s="215"/>
      <c r="T128" s="215"/>
      <c r="U128" s="215"/>
      <c r="V128" s="215"/>
      <c r="W128" s="215"/>
      <c r="X128" s="215"/>
      <c r="Y128" s="215"/>
      <c r="Z128" s="215"/>
      <c r="AA128" s="215"/>
      <c r="AB128" s="215"/>
      <c r="AC128" s="215"/>
      <c r="AD128" s="215"/>
      <c r="AE128" s="215"/>
      <c r="AF128" s="215"/>
      <c r="AG128" s="215"/>
      <c r="AH128" s="215"/>
      <c r="AI128" s="215"/>
      <c r="AJ128" s="215"/>
      <c r="AK128" s="215"/>
      <c r="AL128" s="215"/>
      <c r="AM128" s="215"/>
      <c r="AN128" s="215"/>
      <c r="AO128" s="215"/>
    </row>
    <row r="129" spans="1:41" s="5" customFormat="1" ht="12.75">
      <c r="A129" s="131" t="s">
        <v>518</v>
      </c>
      <c r="B129" s="114" t="s">
        <v>519</v>
      </c>
      <c r="C129" s="116"/>
      <c r="D129" s="116"/>
      <c r="E129" s="121"/>
      <c r="F129" s="113"/>
      <c r="G129" s="182">
        <f aca="true" t="shared" si="2" ref="G129:G134">G130</f>
        <v>210</v>
      </c>
      <c r="H129" s="102"/>
      <c r="I129" s="102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</row>
    <row r="130" spans="1:41" s="5" customFormat="1" ht="12.75">
      <c r="A130" s="131" t="s">
        <v>8</v>
      </c>
      <c r="B130" s="114" t="s">
        <v>519</v>
      </c>
      <c r="C130" s="116" t="s">
        <v>69</v>
      </c>
      <c r="D130" s="116" t="s">
        <v>36</v>
      </c>
      <c r="E130" s="120"/>
      <c r="F130" s="117"/>
      <c r="G130" s="182">
        <f t="shared" si="2"/>
        <v>210</v>
      </c>
      <c r="H130" s="102"/>
      <c r="I130" s="102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</row>
    <row r="131" spans="1:41" s="5" customFormat="1" ht="12.75">
      <c r="A131" s="132" t="s">
        <v>651</v>
      </c>
      <c r="B131" s="118" t="s">
        <v>519</v>
      </c>
      <c r="C131" s="119" t="s">
        <v>69</v>
      </c>
      <c r="D131" s="119" t="s">
        <v>67</v>
      </c>
      <c r="E131" s="120"/>
      <c r="F131" s="117"/>
      <c r="G131" s="183">
        <f t="shared" si="2"/>
        <v>210</v>
      </c>
      <c r="H131" s="102"/>
      <c r="I131" s="102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</row>
    <row r="132" spans="1:41" s="5" customFormat="1" ht="22.5">
      <c r="A132" s="134" t="s">
        <v>105</v>
      </c>
      <c r="B132" s="118" t="s">
        <v>519</v>
      </c>
      <c r="C132" s="119" t="s">
        <v>69</v>
      </c>
      <c r="D132" s="119" t="s">
        <v>67</v>
      </c>
      <c r="E132" s="120" t="s">
        <v>106</v>
      </c>
      <c r="F132" s="117"/>
      <c r="G132" s="183">
        <f t="shared" si="2"/>
        <v>210</v>
      </c>
      <c r="H132" s="102"/>
      <c r="I132" s="102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</row>
    <row r="133" spans="1:41" s="5" customFormat="1" ht="12.75">
      <c r="A133" s="134" t="s">
        <v>111</v>
      </c>
      <c r="B133" s="118" t="s">
        <v>519</v>
      </c>
      <c r="C133" s="119" t="s">
        <v>69</v>
      </c>
      <c r="D133" s="119" t="s">
        <v>67</v>
      </c>
      <c r="E133" s="120" t="s">
        <v>112</v>
      </c>
      <c r="F133" s="117"/>
      <c r="G133" s="183">
        <f t="shared" si="2"/>
        <v>210</v>
      </c>
      <c r="H133" s="102"/>
      <c r="I133" s="102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</row>
    <row r="134" spans="1:41" s="5" customFormat="1" ht="12.75">
      <c r="A134" s="134" t="s">
        <v>115</v>
      </c>
      <c r="B134" s="118" t="s">
        <v>519</v>
      </c>
      <c r="C134" s="119" t="s">
        <v>69</v>
      </c>
      <c r="D134" s="119" t="s">
        <v>67</v>
      </c>
      <c r="E134" s="120" t="s">
        <v>116</v>
      </c>
      <c r="F134" s="117"/>
      <c r="G134" s="183">
        <f t="shared" si="2"/>
        <v>210</v>
      </c>
      <c r="H134" s="102"/>
      <c r="I134" s="102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</row>
    <row r="135" spans="1:41" s="5" customFormat="1" ht="12" customHeight="1">
      <c r="A135" s="132" t="s">
        <v>156</v>
      </c>
      <c r="B135" s="118" t="s">
        <v>519</v>
      </c>
      <c r="C135" s="119" t="s">
        <v>69</v>
      </c>
      <c r="D135" s="119" t="s">
        <v>67</v>
      </c>
      <c r="E135" s="120" t="s">
        <v>116</v>
      </c>
      <c r="F135" s="117">
        <v>725</v>
      </c>
      <c r="G135" s="183">
        <v>210</v>
      </c>
      <c r="H135" s="102"/>
      <c r="I135" s="102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</row>
    <row r="136" spans="1:41" s="5" customFormat="1" ht="10.5" customHeight="1">
      <c r="A136" s="131" t="s">
        <v>520</v>
      </c>
      <c r="B136" s="114" t="s">
        <v>521</v>
      </c>
      <c r="C136" s="116"/>
      <c r="D136" s="116"/>
      <c r="E136" s="121"/>
      <c r="F136" s="113"/>
      <c r="G136" s="182">
        <f aca="true" t="shared" si="3" ref="G136:G141">G137</f>
        <v>35</v>
      </c>
      <c r="H136" s="102"/>
      <c r="I136" s="102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</row>
    <row r="137" spans="1:41" s="5" customFormat="1" ht="12.75">
      <c r="A137" s="131" t="s">
        <v>8</v>
      </c>
      <c r="B137" s="114" t="s">
        <v>521</v>
      </c>
      <c r="C137" s="116"/>
      <c r="D137" s="116"/>
      <c r="E137" s="121"/>
      <c r="F137" s="113"/>
      <c r="G137" s="182">
        <f t="shared" si="3"/>
        <v>35</v>
      </c>
      <c r="H137" s="102"/>
      <c r="I137" s="102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</row>
    <row r="138" spans="1:41" s="5" customFormat="1" ht="12.75">
      <c r="A138" s="132" t="s">
        <v>651</v>
      </c>
      <c r="B138" s="118" t="s">
        <v>521</v>
      </c>
      <c r="C138" s="119" t="s">
        <v>69</v>
      </c>
      <c r="D138" s="119" t="s">
        <v>67</v>
      </c>
      <c r="E138" s="120"/>
      <c r="F138" s="117"/>
      <c r="G138" s="183">
        <f t="shared" si="3"/>
        <v>35</v>
      </c>
      <c r="H138" s="102"/>
      <c r="I138" s="102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</row>
    <row r="139" spans="1:41" s="5" customFormat="1" ht="22.5">
      <c r="A139" s="134" t="s">
        <v>105</v>
      </c>
      <c r="B139" s="118" t="s">
        <v>521</v>
      </c>
      <c r="C139" s="119" t="s">
        <v>69</v>
      </c>
      <c r="D139" s="119" t="s">
        <v>67</v>
      </c>
      <c r="E139" s="120" t="s">
        <v>106</v>
      </c>
      <c r="F139" s="117"/>
      <c r="G139" s="183">
        <f t="shared" si="3"/>
        <v>35</v>
      </c>
      <c r="H139" s="102"/>
      <c r="I139" s="102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</row>
    <row r="140" spans="1:41" s="5" customFormat="1" ht="12.75">
      <c r="A140" s="134" t="s">
        <v>111</v>
      </c>
      <c r="B140" s="118" t="s">
        <v>521</v>
      </c>
      <c r="C140" s="119" t="s">
        <v>69</v>
      </c>
      <c r="D140" s="119" t="s">
        <v>67</v>
      </c>
      <c r="E140" s="120" t="s">
        <v>112</v>
      </c>
      <c r="F140" s="117"/>
      <c r="G140" s="183">
        <f t="shared" si="3"/>
        <v>35</v>
      </c>
      <c r="H140" s="102"/>
      <c r="I140" s="102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</row>
    <row r="141" spans="1:41" s="5" customFormat="1" ht="12.75">
      <c r="A141" s="134" t="s">
        <v>115</v>
      </c>
      <c r="B141" s="118" t="s">
        <v>521</v>
      </c>
      <c r="C141" s="119" t="s">
        <v>69</v>
      </c>
      <c r="D141" s="119" t="s">
        <v>67</v>
      </c>
      <c r="E141" s="120" t="s">
        <v>116</v>
      </c>
      <c r="F141" s="117"/>
      <c r="G141" s="183">
        <f t="shared" si="3"/>
        <v>35</v>
      </c>
      <c r="H141" s="102"/>
      <c r="I141" s="102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</row>
    <row r="142" spans="1:41" s="5" customFormat="1" ht="12" customHeight="1">
      <c r="A142" s="132" t="s">
        <v>156</v>
      </c>
      <c r="B142" s="118" t="s">
        <v>521</v>
      </c>
      <c r="C142" s="119" t="s">
        <v>69</v>
      </c>
      <c r="D142" s="119" t="s">
        <v>67</v>
      </c>
      <c r="E142" s="120" t="s">
        <v>116</v>
      </c>
      <c r="F142" s="117">
        <v>725</v>
      </c>
      <c r="G142" s="183">
        <v>35</v>
      </c>
      <c r="H142" s="102"/>
      <c r="I142" s="102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</row>
    <row r="143" spans="1:41" s="5" customFormat="1" ht="21.75">
      <c r="A143" s="131" t="s">
        <v>444</v>
      </c>
      <c r="B143" s="114" t="s">
        <v>191</v>
      </c>
      <c r="C143" s="116"/>
      <c r="D143" s="116"/>
      <c r="E143" s="117"/>
      <c r="F143" s="117"/>
      <c r="G143" s="182">
        <f>G144+G162+G238</f>
        <v>188917.77</v>
      </c>
      <c r="H143" s="102"/>
      <c r="I143" s="102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</row>
    <row r="144" spans="1:41" s="5" customFormat="1" ht="12.75">
      <c r="A144" s="131" t="s">
        <v>255</v>
      </c>
      <c r="B144" s="114" t="s">
        <v>339</v>
      </c>
      <c r="C144" s="116"/>
      <c r="D144" s="116"/>
      <c r="E144" s="117"/>
      <c r="F144" s="117"/>
      <c r="G144" s="182">
        <f>G153+G145</f>
        <v>140</v>
      </c>
      <c r="H144" s="102"/>
      <c r="I144" s="102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</row>
    <row r="145" spans="1:41" s="5" customFormat="1" ht="12.75">
      <c r="A145" s="131" t="s">
        <v>546</v>
      </c>
      <c r="B145" s="114" t="s">
        <v>340</v>
      </c>
      <c r="C145" s="116"/>
      <c r="D145" s="116"/>
      <c r="E145" s="113"/>
      <c r="F145" s="113"/>
      <c r="G145" s="182">
        <f aca="true" t="shared" si="4" ref="G145:G150">G146</f>
        <v>30</v>
      </c>
      <c r="H145" s="102"/>
      <c r="I145" s="102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</row>
    <row r="146" spans="1:41" s="5" customFormat="1" ht="12.75">
      <c r="A146" s="131" t="s">
        <v>8</v>
      </c>
      <c r="B146" s="114" t="s">
        <v>340</v>
      </c>
      <c r="C146" s="116" t="s">
        <v>69</v>
      </c>
      <c r="D146" s="116" t="s">
        <v>36</v>
      </c>
      <c r="E146" s="113"/>
      <c r="F146" s="113"/>
      <c r="G146" s="182">
        <f t="shared" si="4"/>
        <v>30</v>
      </c>
      <c r="H146" s="102"/>
      <c r="I146" s="102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</row>
    <row r="147" spans="1:41" s="5" customFormat="1" ht="12.75">
      <c r="A147" s="132" t="s">
        <v>11</v>
      </c>
      <c r="B147" s="118" t="s">
        <v>340</v>
      </c>
      <c r="C147" s="119" t="s">
        <v>69</v>
      </c>
      <c r="D147" s="119" t="s">
        <v>75</v>
      </c>
      <c r="E147" s="117"/>
      <c r="F147" s="117"/>
      <c r="G147" s="183">
        <f t="shared" si="4"/>
        <v>30</v>
      </c>
      <c r="H147" s="102"/>
      <c r="I147" s="102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</row>
    <row r="148" spans="1:41" s="5" customFormat="1" ht="22.5">
      <c r="A148" s="134" t="s">
        <v>610</v>
      </c>
      <c r="B148" s="118" t="s">
        <v>340</v>
      </c>
      <c r="C148" s="119" t="s">
        <v>69</v>
      </c>
      <c r="D148" s="119" t="s">
        <v>75</v>
      </c>
      <c r="E148" s="120" t="s">
        <v>104</v>
      </c>
      <c r="F148" s="117"/>
      <c r="G148" s="183">
        <f t="shared" si="4"/>
        <v>30</v>
      </c>
      <c r="H148" s="102"/>
      <c r="I148" s="102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</row>
    <row r="149" spans="1:41" s="5" customFormat="1" ht="22.5">
      <c r="A149" s="134" t="s">
        <v>98</v>
      </c>
      <c r="B149" s="118" t="s">
        <v>340</v>
      </c>
      <c r="C149" s="119" t="s">
        <v>69</v>
      </c>
      <c r="D149" s="119" t="s">
        <v>75</v>
      </c>
      <c r="E149" s="120" t="s">
        <v>99</v>
      </c>
      <c r="F149" s="117"/>
      <c r="G149" s="183">
        <f t="shared" si="4"/>
        <v>30</v>
      </c>
      <c r="H149" s="102"/>
      <c r="I149" s="102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</row>
    <row r="150" spans="1:41" s="5" customFormat="1" ht="22.5">
      <c r="A150" s="134" t="s">
        <v>100</v>
      </c>
      <c r="B150" s="118" t="s">
        <v>340</v>
      </c>
      <c r="C150" s="119" t="s">
        <v>69</v>
      </c>
      <c r="D150" s="119" t="s">
        <v>75</v>
      </c>
      <c r="E150" s="120" t="s">
        <v>101</v>
      </c>
      <c r="F150" s="117"/>
      <c r="G150" s="183">
        <f t="shared" si="4"/>
        <v>30</v>
      </c>
      <c r="H150" s="102"/>
      <c r="I150" s="102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</row>
    <row r="151" spans="1:41" s="5" customFormat="1" ht="13.5" customHeight="1">
      <c r="A151" s="132" t="s">
        <v>156</v>
      </c>
      <c r="B151" s="118" t="s">
        <v>340</v>
      </c>
      <c r="C151" s="119" t="s">
        <v>69</v>
      </c>
      <c r="D151" s="119" t="s">
        <v>75</v>
      </c>
      <c r="E151" s="120" t="s">
        <v>101</v>
      </c>
      <c r="F151" s="117">
        <v>725</v>
      </c>
      <c r="G151" s="183">
        <v>30</v>
      </c>
      <c r="H151" s="102"/>
      <c r="I151" s="102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</row>
    <row r="152" spans="1:41" s="5" customFormat="1" ht="32.25">
      <c r="A152" s="131" t="s">
        <v>192</v>
      </c>
      <c r="B152" s="114" t="s">
        <v>341</v>
      </c>
      <c r="C152" s="119"/>
      <c r="D152" s="119"/>
      <c r="E152" s="120"/>
      <c r="F152" s="117"/>
      <c r="G152" s="182">
        <f>G153</f>
        <v>110</v>
      </c>
      <c r="H152" s="102"/>
      <c r="I152" s="102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</row>
    <row r="153" spans="1:41" s="5" customFormat="1" ht="12.75">
      <c r="A153" s="131" t="s">
        <v>8</v>
      </c>
      <c r="B153" s="114" t="s">
        <v>341</v>
      </c>
      <c r="C153" s="116" t="s">
        <v>69</v>
      </c>
      <c r="D153" s="116" t="s">
        <v>36</v>
      </c>
      <c r="E153" s="117"/>
      <c r="F153" s="117"/>
      <c r="G153" s="182">
        <f>G154+G159</f>
        <v>110</v>
      </c>
      <c r="H153" s="102"/>
      <c r="I153" s="102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</row>
    <row r="154" spans="1:41" s="5" customFormat="1" ht="12.75">
      <c r="A154" s="132" t="s">
        <v>11</v>
      </c>
      <c r="B154" s="118" t="s">
        <v>341</v>
      </c>
      <c r="C154" s="119" t="s">
        <v>69</v>
      </c>
      <c r="D154" s="119" t="s">
        <v>75</v>
      </c>
      <c r="E154" s="117"/>
      <c r="F154" s="117"/>
      <c r="G154" s="183">
        <f>G155</f>
        <v>60</v>
      </c>
      <c r="H154" s="102"/>
      <c r="I154" s="102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</row>
    <row r="155" spans="1:41" s="5" customFormat="1" ht="22.5">
      <c r="A155" s="134" t="s">
        <v>610</v>
      </c>
      <c r="B155" s="118" t="s">
        <v>341</v>
      </c>
      <c r="C155" s="119" t="s">
        <v>69</v>
      </c>
      <c r="D155" s="119" t="s">
        <v>75</v>
      </c>
      <c r="E155" s="120" t="s">
        <v>104</v>
      </c>
      <c r="F155" s="117"/>
      <c r="G155" s="183">
        <f>G156</f>
        <v>60</v>
      </c>
      <c r="H155" s="102"/>
      <c r="I155" s="102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</row>
    <row r="156" spans="1:41" s="5" customFormat="1" ht="22.5">
      <c r="A156" s="134" t="s">
        <v>98</v>
      </c>
      <c r="B156" s="118" t="s">
        <v>341</v>
      </c>
      <c r="C156" s="119" t="s">
        <v>69</v>
      </c>
      <c r="D156" s="119" t="s">
        <v>75</v>
      </c>
      <c r="E156" s="120" t="s">
        <v>99</v>
      </c>
      <c r="F156" s="117"/>
      <c r="G156" s="183">
        <f>G157</f>
        <v>60</v>
      </c>
      <c r="H156" s="102"/>
      <c r="I156" s="102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</row>
    <row r="157" spans="1:41" s="5" customFormat="1" ht="22.5">
      <c r="A157" s="134" t="s">
        <v>100</v>
      </c>
      <c r="B157" s="118" t="s">
        <v>341</v>
      </c>
      <c r="C157" s="119" t="s">
        <v>69</v>
      </c>
      <c r="D157" s="119" t="s">
        <v>75</v>
      </c>
      <c r="E157" s="120" t="s">
        <v>101</v>
      </c>
      <c r="F157" s="117"/>
      <c r="G157" s="183">
        <f>G158</f>
        <v>60</v>
      </c>
      <c r="H157" s="102"/>
      <c r="I157" s="102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</row>
    <row r="158" spans="1:41" s="5" customFormat="1" ht="12" customHeight="1">
      <c r="A158" s="132" t="s">
        <v>156</v>
      </c>
      <c r="B158" s="118" t="s">
        <v>341</v>
      </c>
      <c r="C158" s="119" t="s">
        <v>69</v>
      </c>
      <c r="D158" s="119" t="s">
        <v>75</v>
      </c>
      <c r="E158" s="120" t="s">
        <v>101</v>
      </c>
      <c r="F158" s="117">
        <v>725</v>
      </c>
      <c r="G158" s="183">
        <f>70-10</f>
        <v>60</v>
      </c>
      <c r="H158" s="102"/>
      <c r="I158" s="102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</row>
    <row r="159" spans="1:41" s="5" customFormat="1" ht="12.75">
      <c r="A159" s="134" t="s">
        <v>117</v>
      </c>
      <c r="B159" s="118" t="s">
        <v>341</v>
      </c>
      <c r="C159" s="119" t="s">
        <v>69</v>
      </c>
      <c r="D159" s="119" t="s">
        <v>75</v>
      </c>
      <c r="E159" s="120" t="s">
        <v>118</v>
      </c>
      <c r="F159" s="117"/>
      <c r="G159" s="183">
        <f>G160</f>
        <v>50</v>
      </c>
      <c r="H159" s="102"/>
      <c r="I159" s="102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</row>
    <row r="160" spans="1:41" s="5" customFormat="1" ht="12.75">
      <c r="A160" s="134" t="s">
        <v>149</v>
      </c>
      <c r="B160" s="118" t="s">
        <v>341</v>
      </c>
      <c r="C160" s="119" t="s">
        <v>69</v>
      </c>
      <c r="D160" s="119" t="s">
        <v>75</v>
      </c>
      <c r="E160" s="120" t="s">
        <v>148</v>
      </c>
      <c r="F160" s="117"/>
      <c r="G160" s="183">
        <f>G161</f>
        <v>50</v>
      </c>
      <c r="H160" s="102"/>
      <c r="I160" s="102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</row>
    <row r="161" spans="1:41" s="5" customFormat="1" ht="13.5" customHeight="1">
      <c r="A161" s="132" t="s">
        <v>156</v>
      </c>
      <c r="B161" s="118" t="s">
        <v>341</v>
      </c>
      <c r="C161" s="119" t="s">
        <v>69</v>
      </c>
      <c r="D161" s="119" t="s">
        <v>75</v>
      </c>
      <c r="E161" s="120" t="s">
        <v>148</v>
      </c>
      <c r="F161" s="117">
        <v>725</v>
      </c>
      <c r="G161" s="183">
        <f>20+60+40-80+10</f>
        <v>50</v>
      </c>
      <c r="H161" s="102"/>
      <c r="I161" s="102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</row>
    <row r="162" spans="1:41" s="57" customFormat="1" ht="21.75">
      <c r="A162" s="136" t="s">
        <v>791</v>
      </c>
      <c r="B162" s="121" t="s">
        <v>615</v>
      </c>
      <c r="C162" s="121"/>
      <c r="D162" s="121"/>
      <c r="E162" s="121"/>
      <c r="F162" s="113"/>
      <c r="G162" s="182">
        <f>G163+G170+G188+G206+G213+G220</f>
        <v>184705.69999999998</v>
      </c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6"/>
      <c r="AK162" s="106"/>
      <c r="AL162" s="106"/>
      <c r="AM162" s="106"/>
      <c r="AN162" s="106"/>
      <c r="AO162" s="106"/>
    </row>
    <row r="163" spans="1:41" s="57" customFormat="1" ht="31.5" customHeight="1">
      <c r="A163" s="136" t="s">
        <v>516</v>
      </c>
      <c r="B163" s="121" t="s">
        <v>620</v>
      </c>
      <c r="C163" s="121"/>
      <c r="D163" s="121"/>
      <c r="E163" s="121"/>
      <c r="F163" s="113"/>
      <c r="G163" s="182">
        <f aca="true" t="shared" si="5" ref="G163:G168">G164</f>
        <v>108841</v>
      </c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6"/>
      <c r="AK163" s="106"/>
      <c r="AL163" s="106"/>
      <c r="AM163" s="106"/>
      <c r="AN163" s="106"/>
      <c r="AO163" s="106"/>
    </row>
    <row r="164" spans="1:41" s="57" customFormat="1" ht="12.75">
      <c r="A164" s="131" t="s">
        <v>8</v>
      </c>
      <c r="B164" s="121" t="s">
        <v>620</v>
      </c>
      <c r="C164" s="121" t="s">
        <v>69</v>
      </c>
      <c r="D164" s="121" t="s">
        <v>36</v>
      </c>
      <c r="E164" s="121"/>
      <c r="F164" s="113"/>
      <c r="G164" s="182">
        <f t="shared" si="5"/>
        <v>108841</v>
      </c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106"/>
      <c r="AJ164" s="106"/>
      <c r="AK164" s="106"/>
      <c r="AL164" s="106"/>
      <c r="AM164" s="106"/>
      <c r="AN164" s="106"/>
      <c r="AO164" s="106"/>
    </row>
    <row r="165" spans="1:41" s="11" customFormat="1" ht="12.75">
      <c r="A165" s="134" t="s">
        <v>10</v>
      </c>
      <c r="B165" s="120" t="s">
        <v>620</v>
      </c>
      <c r="C165" s="120" t="s">
        <v>69</v>
      </c>
      <c r="D165" s="120" t="s">
        <v>67</v>
      </c>
      <c r="E165" s="120"/>
      <c r="F165" s="117"/>
      <c r="G165" s="183">
        <f t="shared" si="5"/>
        <v>108841</v>
      </c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102"/>
      <c r="W165" s="102"/>
      <c r="X165" s="102"/>
      <c r="Y165" s="102"/>
      <c r="Z165" s="102"/>
      <c r="AA165" s="102"/>
      <c r="AB165" s="102"/>
      <c r="AC165" s="102"/>
      <c r="AD165" s="102"/>
      <c r="AE165" s="102"/>
      <c r="AF165" s="102"/>
      <c r="AG165" s="102"/>
      <c r="AH165" s="102"/>
      <c r="AI165" s="102"/>
      <c r="AJ165" s="102"/>
      <c r="AK165" s="102"/>
      <c r="AL165" s="102"/>
      <c r="AM165" s="102"/>
      <c r="AN165" s="102"/>
      <c r="AO165" s="102"/>
    </row>
    <row r="166" spans="1:41" s="11" customFormat="1" ht="22.5">
      <c r="A166" s="134" t="s">
        <v>105</v>
      </c>
      <c r="B166" s="120" t="s">
        <v>620</v>
      </c>
      <c r="C166" s="120" t="s">
        <v>69</v>
      </c>
      <c r="D166" s="120" t="s">
        <v>67</v>
      </c>
      <c r="E166" s="120" t="s">
        <v>106</v>
      </c>
      <c r="F166" s="117"/>
      <c r="G166" s="183">
        <f t="shared" si="5"/>
        <v>108841</v>
      </c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  <c r="V166" s="102"/>
      <c r="W166" s="102"/>
      <c r="X166" s="102"/>
      <c r="Y166" s="102"/>
      <c r="Z166" s="102"/>
      <c r="AA166" s="102"/>
      <c r="AB166" s="102"/>
      <c r="AC166" s="102"/>
      <c r="AD166" s="102"/>
      <c r="AE166" s="102"/>
      <c r="AF166" s="102"/>
      <c r="AG166" s="102"/>
      <c r="AH166" s="102"/>
      <c r="AI166" s="102"/>
      <c r="AJ166" s="102"/>
      <c r="AK166" s="102"/>
      <c r="AL166" s="102"/>
      <c r="AM166" s="102"/>
      <c r="AN166" s="102"/>
      <c r="AO166" s="102"/>
    </row>
    <row r="167" spans="1:41" s="11" customFormat="1" ht="12.75">
      <c r="A167" s="134" t="s">
        <v>111</v>
      </c>
      <c r="B167" s="120" t="s">
        <v>620</v>
      </c>
      <c r="C167" s="120" t="s">
        <v>69</v>
      </c>
      <c r="D167" s="120" t="s">
        <v>67</v>
      </c>
      <c r="E167" s="120" t="s">
        <v>112</v>
      </c>
      <c r="F167" s="117"/>
      <c r="G167" s="183">
        <f t="shared" si="5"/>
        <v>108841</v>
      </c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  <c r="Y167" s="102"/>
      <c r="Z167" s="102"/>
      <c r="AA167" s="102"/>
      <c r="AB167" s="102"/>
      <c r="AC167" s="102"/>
      <c r="AD167" s="102"/>
      <c r="AE167" s="102"/>
      <c r="AF167" s="102"/>
      <c r="AG167" s="102"/>
      <c r="AH167" s="102"/>
      <c r="AI167" s="102"/>
      <c r="AJ167" s="102"/>
      <c r="AK167" s="102"/>
      <c r="AL167" s="102"/>
      <c r="AM167" s="102"/>
      <c r="AN167" s="102"/>
      <c r="AO167" s="102"/>
    </row>
    <row r="168" spans="1:41" s="11" customFormat="1" ht="33.75">
      <c r="A168" s="134" t="s">
        <v>113</v>
      </c>
      <c r="B168" s="120" t="s">
        <v>620</v>
      </c>
      <c r="C168" s="120" t="s">
        <v>69</v>
      </c>
      <c r="D168" s="120" t="s">
        <v>67</v>
      </c>
      <c r="E168" s="120" t="s">
        <v>114</v>
      </c>
      <c r="F168" s="117"/>
      <c r="G168" s="183">
        <f t="shared" si="5"/>
        <v>108841</v>
      </c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02"/>
      <c r="V168" s="102"/>
      <c r="W168" s="102"/>
      <c r="X168" s="102"/>
      <c r="Y168" s="102"/>
      <c r="Z168" s="102"/>
      <c r="AA168" s="102"/>
      <c r="AB168" s="102"/>
      <c r="AC168" s="102"/>
      <c r="AD168" s="102"/>
      <c r="AE168" s="102"/>
      <c r="AF168" s="102"/>
      <c r="AG168" s="102"/>
      <c r="AH168" s="102"/>
      <c r="AI168" s="102"/>
      <c r="AJ168" s="102"/>
      <c r="AK168" s="102"/>
      <c r="AL168" s="102"/>
      <c r="AM168" s="102"/>
      <c r="AN168" s="102"/>
      <c r="AO168" s="102"/>
    </row>
    <row r="169" spans="1:41" s="11" customFormat="1" ht="12.75" customHeight="1">
      <c r="A169" s="132" t="s">
        <v>156</v>
      </c>
      <c r="B169" s="120" t="s">
        <v>620</v>
      </c>
      <c r="C169" s="120" t="s">
        <v>69</v>
      </c>
      <c r="D169" s="120" t="s">
        <v>67</v>
      </c>
      <c r="E169" s="120" t="s">
        <v>114</v>
      </c>
      <c r="F169" s="117">
        <v>725</v>
      </c>
      <c r="G169" s="183">
        <f>109547.8-706.8</f>
        <v>108841</v>
      </c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  <c r="AA169" s="102"/>
      <c r="AB169" s="102"/>
      <c r="AC169" s="102"/>
      <c r="AD169" s="102"/>
      <c r="AE169" s="102"/>
      <c r="AF169" s="102"/>
      <c r="AG169" s="102"/>
      <c r="AH169" s="102"/>
      <c r="AI169" s="102"/>
      <c r="AJ169" s="102"/>
      <c r="AK169" s="102"/>
      <c r="AL169" s="102"/>
      <c r="AM169" s="102"/>
      <c r="AN169" s="102"/>
      <c r="AO169" s="102"/>
    </row>
    <row r="170" spans="1:41" s="57" customFormat="1" ht="42.75">
      <c r="A170" s="136" t="s">
        <v>503</v>
      </c>
      <c r="B170" s="121" t="s">
        <v>616</v>
      </c>
      <c r="C170" s="121"/>
      <c r="D170" s="121"/>
      <c r="E170" s="121"/>
      <c r="F170" s="113"/>
      <c r="G170" s="182">
        <f aca="true" t="shared" si="6" ref="G170:G175">G171</f>
        <v>1906.4</v>
      </c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  <c r="X170" s="106"/>
      <c r="Y170" s="106"/>
      <c r="Z170" s="106"/>
      <c r="AA170" s="106"/>
      <c r="AB170" s="106"/>
      <c r="AC170" s="106"/>
      <c r="AD170" s="106"/>
      <c r="AE170" s="106"/>
      <c r="AF170" s="106"/>
      <c r="AG170" s="106"/>
      <c r="AH170" s="106"/>
      <c r="AI170" s="106"/>
      <c r="AJ170" s="106"/>
      <c r="AK170" s="106"/>
      <c r="AL170" s="106"/>
      <c r="AM170" s="106"/>
      <c r="AN170" s="106"/>
      <c r="AO170" s="106"/>
    </row>
    <row r="171" spans="1:41" s="57" customFormat="1" ht="12.75">
      <c r="A171" s="131" t="s">
        <v>8</v>
      </c>
      <c r="B171" s="121" t="s">
        <v>616</v>
      </c>
      <c r="C171" s="121" t="s">
        <v>69</v>
      </c>
      <c r="D171" s="121" t="s">
        <v>36</v>
      </c>
      <c r="E171" s="121"/>
      <c r="F171" s="113"/>
      <c r="G171" s="182">
        <f>G172+G177+G182</f>
        <v>1906.4</v>
      </c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  <c r="X171" s="106"/>
      <c r="Y171" s="106"/>
      <c r="Z171" s="106"/>
      <c r="AA171" s="106"/>
      <c r="AB171" s="106"/>
      <c r="AC171" s="106"/>
      <c r="AD171" s="106"/>
      <c r="AE171" s="106"/>
      <c r="AF171" s="106"/>
      <c r="AG171" s="106"/>
      <c r="AH171" s="106"/>
      <c r="AI171" s="106"/>
      <c r="AJ171" s="106"/>
      <c r="AK171" s="106"/>
      <c r="AL171" s="106"/>
      <c r="AM171" s="106"/>
      <c r="AN171" s="106"/>
      <c r="AO171" s="106"/>
    </row>
    <row r="172" spans="1:41" s="11" customFormat="1" ht="12.75">
      <c r="A172" s="134" t="s">
        <v>9</v>
      </c>
      <c r="B172" s="120" t="s">
        <v>616</v>
      </c>
      <c r="C172" s="120" t="s">
        <v>69</v>
      </c>
      <c r="D172" s="120" t="s">
        <v>66</v>
      </c>
      <c r="E172" s="120"/>
      <c r="F172" s="117"/>
      <c r="G172" s="183">
        <f t="shared" si="6"/>
        <v>236.39999999999998</v>
      </c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102"/>
      <c r="X172" s="102"/>
      <c r="Y172" s="102"/>
      <c r="Z172" s="102"/>
      <c r="AA172" s="102"/>
      <c r="AB172" s="102"/>
      <c r="AC172" s="102"/>
      <c r="AD172" s="102"/>
      <c r="AE172" s="102"/>
      <c r="AF172" s="102"/>
      <c r="AG172" s="102"/>
      <c r="AH172" s="102"/>
      <c r="AI172" s="102"/>
      <c r="AJ172" s="102"/>
      <c r="AK172" s="102"/>
      <c r="AL172" s="102"/>
      <c r="AM172" s="102"/>
      <c r="AN172" s="102"/>
      <c r="AO172" s="102"/>
    </row>
    <row r="173" spans="1:41" s="11" customFormat="1" ht="22.5">
      <c r="A173" s="134" t="s">
        <v>105</v>
      </c>
      <c r="B173" s="120" t="s">
        <v>616</v>
      </c>
      <c r="C173" s="120" t="s">
        <v>69</v>
      </c>
      <c r="D173" s="120" t="s">
        <v>66</v>
      </c>
      <c r="E173" s="120" t="s">
        <v>106</v>
      </c>
      <c r="F173" s="117"/>
      <c r="G173" s="183">
        <f t="shared" si="6"/>
        <v>236.39999999999998</v>
      </c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  <c r="X173" s="102"/>
      <c r="Y173" s="102"/>
      <c r="Z173" s="102"/>
      <c r="AA173" s="102"/>
      <c r="AB173" s="102"/>
      <c r="AC173" s="102"/>
      <c r="AD173" s="102"/>
      <c r="AE173" s="102"/>
      <c r="AF173" s="102"/>
      <c r="AG173" s="102"/>
      <c r="AH173" s="102"/>
      <c r="AI173" s="102"/>
      <c r="AJ173" s="102"/>
      <c r="AK173" s="102"/>
      <c r="AL173" s="102"/>
      <c r="AM173" s="102"/>
      <c r="AN173" s="102"/>
      <c r="AO173" s="102"/>
    </row>
    <row r="174" spans="1:41" s="11" customFormat="1" ht="12.75">
      <c r="A174" s="134" t="s">
        <v>111</v>
      </c>
      <c r="B174" s="120" t="s">
        <v>616</v>
      </c>
      <c r="C174" s="120" t="s">
        <v>69</v>
      </c>
      <c r="D174" s="120" t="s">
        <v>66</v>
      </c>
      <c r="E174" s="120" t="s">
        <v>112</v>
      </c>
      <c r="F174" s="117"/>
      <c r="G174" s="183">
        <f t="shared" si="6"/>
        <v>236.39999999999998</v>
      </c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  <c r="Y174" s="102"/>
      <c r="Z174" s="102"/>
      <c r="AA174" s="102"/>
      <c r="AB174" s="102"/>
      <c r="AC174" s="102"/>
      <c r="AD174" s="102"/>
      <c r="AE174" s="102"/>
      <c r="AF174" s="102"/>
      <c r="AG174" s="102"/>
      <c r="AH174" s="102"/>
      <c r="AI174" s="102"/>
      <c r="AJ174" s="102"/>
      <c r="AK174" s="102"/>
      <c r="AL174" s="102"/>
      <c r="AM174" s="102"/>
      <c r="AN174" s="102"/>
      <c r="AO174" s="102"/>
    </row>
    <row r="175" spans="1:41" s="11" customFormat="1" ht="33.75">
      <c r="A175" s="134" t="s">
        <v>113</v>
      </c>
      <c r="B175" s="120" t="s">
        <v>616</v>
      </c>
      <c r="C175" s="120" t="s">
        <v>69</v>
      </c>
      <c r="D175" s="120" t="s">
        <v>66</v>
      </c>
      <c r="E175" s="120" t="s">
        <v>114</v>
      </c>
      <c r="F175" s="117"/>
      <c r="G175" s="183">
        <f t="shared" si="6"/>
        <v>236.39999999999998</v>
      </c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  <c r="X175" s="102"/>
      <c r="Y175" s="102"/>
      <c r="Z175" s="102"/>
      <c r="AA175" s="102"/>
      <c r="AB175" s="102"/>
      <c r="AC175" s="102"/>
      <c r="AD175" s="102"/>
      <c r="AE175" s="102"/>
      <c r="AF175" s="102"/>
      <c r="AG175" s="102"/>
      <c r="AH175" s="102"/>
      <c r="AI175" s="102"/>
      <c r="AJ175" s="102"/>
      <c r="AK175" s="102"/>
      <c r="AL175" s="102"/>
      <c r="AM175" s="102"/>
      <c r="AN175" s="102"/>
      <c r="AO175" s="102"/>
    </row>
    <row r="176" spans="1:41" s="11" customFormat="1" ht="12" customHeight="1">
      <c r="A176" s="132" t="s">
        <v>156</v>
      </c>
      <c r="B176" s="120" t="s">
        <v>616</v>
      </c>
      <c r="C176" s="120" t="s">
        <v>69</v>
      </c>
      <c r="D176" s="120" t="s">
        <v>66</v>
      </c>
      <c r="E176" s="120" t="s">
        <v>114</v>
      </c>
      <c r="F176" s="117">
        <v>725</v>
      </c>
      <c r="G176" s="183">
        <f>341.9-105.5</f>
        <v>236.39999999999998</v>
      </c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/>
      <c r="X176" s="102"/>
      <c r="Y176" s="102"/>
      <c r="Z176" s="102"/>
      <c r="AA176" s="102"/>
      <c r="AB176" s="102"/>
      <c r="AC176" s="102"/>
      <c r="AD176" s="102"/>
      <c r="AE176" s="102"/>
      <c r="AF176" s="102"/>
      <c r="AG176" s="102"/>
      <c r="AH176" s="102"/>
      <c r="AI176" s="102"/>
      <c r="AJ176" s="102"/>
      <c r="AK176" s="102"/>
      <c r="AL176" s="102"/>
      <c r="AM176" s="102"/>
      <c r="AN176" s="102"/>
      <c r="AO176" s="102"/>
    </row>
    <row r="177" spans="1:41" s="11" customFormat="1" ht="12.75">
      <c r="A177" s="132" t="s">
        <v>10</v>
      </c>
      <c r="B177" s="120" t="s">
        <v>616</v>
      </c>
      <c r="C177" s="120" t="s">
        <v>69</v>
      </c>
      <c r="D177" s="120" t="s">
        <v>67</v>
      </c>
      <c r="E177" s="120"/>
      <c r="F177" s="117"/>
      <c r="G177" s="183">
        <f>G178</f>
        <v>1289.6</v>
      </c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  <c r="Y177" s="102"/>
      <c r="Z177" s="102"/>
      <c r="AA177" s="102"/>
      <c r="AB177" s="102"/>
      <c r="AC177" s="102"/>
      <c r="AD177" s="102"/>
      <c r="AE177" s="102"/>
      <c r="AF177" s="102"/>
      <c r="AG177" s="102"/>
      <c r="AH177" s="102"/>
      <c r="AI177" s="102"/>
      <c r="AJ177" s="102"/>
      <c r="AK177" s="102"/>
      <c r="AL177" s="102"/>
      <c r="AM177" s="102"/>
      <c r="AN177" s="102"/>
      <c r="AO177" s="102"/>
    </row>
    <row r="178" spans="1:41" s="11" customFormat="1" ht="22.5">
      <c r="A178" s="134" t="s">
        <v>105</v>
      </c>
      <c r="B178" s="120" t="s">
        <v>616</v>
      </c>
      <c r="C178" s="120" t="s">
        <v>69</v>
      </c>
      <c r="D178" s="120" t="s">
        <v>67</v>
      </c>
      <c r="E178" s="120" t="s">
        <v>106</v>
      </c>
      <c r="F178" s="117"/>
      <c r="G178" s="183">
        <f>G179</f>
        <v>1289.6</v>
      </c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  <c r="V178" s="102"/>
      <c r="W178" s="102"/>
      <c r="X178" s="102"/>
      <c r="Y178" s="102"/>
      <c r="Z178" s="102"/>
      <c r="AA178" s="102"/>
      <c r="AB178" s="102"/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</row>
    <row r="179" spans="1:41" s="11" customFormat="1" ht="12.75">
      <c r="A179" s="134" t="s">
        <v>111</v>
      </c>
      <c r="B179" s="120" t="s">
        <v>616</v>
      </c>
      <c r="C179" s="120" t="s">
        <v>69</v>
      </c>
      <c r="D179" s="120" t="s">
        <v>67</v>
      </c>
      <c r="E179" s="120" t="s">
        <v>112</v>
      </c>
      <c r="F179" s="117"/>
      <c r="G179" s="183">
        <f>G180</f>
        <v>1289.6</v>
      </c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  <c r="Z179" s="102"/>
      <c r="AA179" s="102"/>
      <c r="AB179" s="102"/>
      <c r="AC179" s="102"/>
      <c r="AD179" s="102"/>
      <c r="AE179" s="102"/>
      <c r="AF179" s="102"/>
      <c r="AG179" s="102"/>
      <c r="AH179" s="102"/>
      <c r="AI179" s="102"/>
      <c r="AJ179" s="102"/>
      <c r="AK179" s="102"/>
      <c r="AL179" s="102"/>
      <c r="AM179" s="102"/>
      <c r="AN179" s="102"/>
      <c r="AO179" s="102"/>
    </row>
    <row r="180" spans="1:41" s="11" customFormat="1" ht="33.75">
      <c r="A180" s="134" t="s">
        <v>113</v>
      </c>
      <c r="B180" s="120" t="s">
        <v>616</v>
      </c>
      <c r="C180" s="120" t="s">
        <v>69</v>
      </c>
      <c r="D180" s="120" t="s">
        <v>67</v>
      </c>
      <c r="E180" s="120" t="s">
        <v>114</v>
      </c>
      <c r="F180" s="117"/>
      <c r="G180" s="183">
        <f>G181</f>
        <v>1289.6</v>
      </c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  <c r="Y180" s="102"/>
      <c r="Z180" s="102"/>
      <c r="AA180" s="102"/>
      <c r="AB180" s="102"/>
      <c r="AC180" s="102"/>
      <c r="AD180" s="102"/>
      <c r="AE180" s="102"/>
      <c r="AF180" s="102"/>
      <c r="AG180" s="102"/>
      <c r="AH180" s="102"/>
      <c r="AI180" s="102"/>
      <c r="AJ180" s="102"/>
      <c r="AK180" s="102"/>
      <c r="AL180" s="102"/>
      <c r="AM180" s="102"/>
      <c r="AN180" s="102"/>
      <c r="AO180" s="102"/>
    </row>
    <row r="181" spans="1:41" s="11" customFormat="1" ht="12.75" customHeight="1">
      <c r="A181" s="132" t="s">
        <v>156</v>
      </c>
      <c r="B181" s="120" t="s">
        <v>616</v>
      </c>
      <c r="C181" s="120" t="s">
        <v>69</v>
      </c>
      <c r="D181" s="120" t="s">
        <v>67</v>
      </c>
      <c r="E181" s="120" t="s">
        <v>114</v>
      </c>
      <c r="F181" s="117">
        <v>725</v>
      </c>
      <c r="G181" s="183">
        <f>1303-13.4</f>
        <v>1289.6</v>
      </c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102"/>
      <c r="W181" s="102"/>
      <c r="X181" s="102"/>
      <c r="Y181" s="102"/>
      <c r="Z181" s="102"/>
      <c r="AA181" s="102"/>
      <c r="AB181" s="102"/>
      <c r="AC181" s="102"/>
      <c r="AD181" s="102"/>
      <c r="AE181" s="102"/>
      <c r="AF181" s="102"/>
      <c r="AG181" s="102"/>
      <c r="AH181" s="102"/>
      <c r="AI181" s="102"/>
      <c r="AJ181" s="102"/>
      <c r="AK181" s="102"/>
      <c r="AL181" s="102"/>
      <c r="AM181" s="102"/>
      <c r="AN181" s="102"/>
      <c r="AO181" s="102"/>
    </row>
    <row r="182" spans="1:41" s="11" customFormat="1" ht="12.75">
      <c r="A182" s="132" t="s">
        <v>530</v>
      </c>
      <c r="B182" s="120" t="s">
        <v>616</v>
      </c>
      <c r="C182" s="120" t="s">
        <v>69</v>
      </c>
      <c r="D182" s="120" t="s">
        <v>70</v>
      </c>
      <c r="E182" s="120"/>
      <c r="F182" s="117"/>
      <c r="G182" s="183">
        <f>G183</f>
        <v>380.4</v>
      </c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102"/>
      <c r="W182" s="102"/>
      <c r="X182" s="102"/>
      <c r="Y182" s="102"/>
      <c r="Z182" s="102"/>
      <c r="AA182" s="102"/>
      <c r="AB182" s="102"/>
      <c r="AC182" s="102"/>
      <c r="AD182" s="102"/>
      <c r="AE182" s="102"/>
      <c r="AF182" s="102"/>
      <c r="AG182" s="102"/>
      <c r="AH182" s="102"/>
      <c r="AI182" s="102"/>
      <c r="AJ182" s="102"/>
      <c r="AK182" s="102"/>
      <c r="AL182" s="102"/>
      <c r="AM182" s="102"/>
      <c r="AN182" s="102"/>
      <c r="AO182" s="102"/>
    </row>
    <row r="183" spans="1:41" s="11" customFormat="1" ht="22.5">
      <c r="A183" s="134" t="s">
        <v>105</v>
      </c>
      <c r="B183" s="120" t="s">
        <v>616</v>
      </c>
      <c r="C183" s="120" t="s">
        <v>69</v>
      </c>
      <c r="D183" s="120" t="s">
        <v>70</v>
      </c>
      <c r="E183" s="120" t="s">
        <v>106</v>
      </c>
      <c r="F183" s="117"/>
      <c r="G183" s="183">
        <f>G184</f>
        <v>380.4</v>
      </c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2"/>
      <c r="W183" s="102"/>
      <c r="X183" s="102"/>
      <c r="Y183" s="102"/>
      <c r="Z183" s="102"/>
      <c r="AA183" s="102"/>
      <c r="AB183" s="102"/>
      <c r="AC183" s="102"/>
      <c r="AD183" s="102"/>
      <c r="AE183" s="102"/>
      <c r="AF183" s="102"/>
      <c r="AG183" s="102"/>
      <c r="AH183" s="102"/>
      <c r="AI183" s="102"/>
      <c r="AJ183" s="102"/>
      <c r="AK183" s="102"/>
      <c r="AL183" s="102"/>
      <c r="AM183" s="102"/>
      <c r="AN183" s="102"/>
      <c r="AO183" s="102"/>
    </row>
    <row r="184" spans="1:41" s="11" customFormat="1" ht="12.75">
      <c r="A184" s="134" t="s">
        <v>111</v>
      </c>
      <c r="B184" s="120" t="s">
        <v>616</v>
      </c>
      <c r="C184" s="120" t="s">
        <v>69</v>
      </c>
      <c r="D184" s="120" t="s">
        <v>70</v>
      </c>
      <c r="E184" s="120" t="s">
        <v>112</v>
      </c>
      <c r="F184" s="117"/>
      <c r="G184" s="183">
        <f>G185</f>
        <v>380.4</v>
      </c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2"/>
      <c r="U184" s="102"/>
      <c r="V184" s="102"/>
      <c r="W184" s="102"/>
      <c r="X184" s="102"/>
      <c r="Y184" s="102"/>
      <c r="Z184" s="102"/>
      <c r="AA184" s="102"/>
      <c r="AB184" s="102"/>
      <c r="AC184" s="102"/>
      <c r="AD184" s="102"/>
      <c r="AE184" s="102"/>
      <c r="AF184" s="102"/>
      <c r="AG184" s="102"/>
      <c r="AH184" s="102"/>
      <c r="AI184" s="102"/>
      <c r="AJ184" s="102"/>
      <c r="AK184" s="102"/>
      <c r="AL184" s="102"/>
      <c r="AM184" s="102"/>
      <c r="AN184" s="102"/>
      <c r="AO184" s="102"/>
    </row>
    <row r="185" spans="1:41" s="11" customFormat="1" ht="33.75">
      <c r="A185" s="134" t="s">
        <v>113</v>
      </c>
      <c r="B185" s="120" t="s">
        <v>616</v>
      </c>
      <c r="C185" s="120" t="s">
        <v>69</v>
      </c>
      <c r="D185" s="120" t="s">
        <v>70</v>
      </c>
      <c r="E185" s="120" t="s">
        <v>114</v>
      </c>
      <c r="F185" s="117"/>
      <c r="G185" s="183">
        <f>G186+G187</f>
        <v>380.4</v>
      </c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  <c r="Y185" s="102"/>
      <c r="Z185" s="102"/>
      <c r="AA185" s="102"/>
      <c r="AB185" s="102"/>
      <c r="AC185" s="102"/>
      <c r="AD185" s="102"/>
      <c r="AE185" s="102"/>
      <c r="AF185" s="102"/>
      <c r="AG185" s="102"/>
      <c r="AH185" s="102"/>
      <c r="AI185" s="102"/>
      <c r="AJ185" s="102"/>
      <c r="AK185" s="102"/>
      <c r="AL185" s="102"/>
      <c r="AM185" s="102"/>
      <c r="AN185" s="102"/>
      <c r="AO185" s="102"/>
    </row>
    <row r="186" spans="1:41" s="11" customFormat="1" ht="12" customHeight="1">
      <c r="A186" s="132" t="s">
        <v>156</v>
      </c>
      <c r="B186" s="120" t="s">
        <v>616</v>
      </c>
      <c r="C186" s="120" t="s">
        <v>69</v>
      </c>
      <c r="D186" s="120" t="s">
        <v>70</v>
      </c>
      <c r="E186" s="120" t="s">
        <v>114</v>
      </c>
      <c r="F186" s="117">
        <v>725</v>
      </c>
      <c r="G186" s="183">
        <f>171.5-61.1</f>
        <v>110.4</v>
      </c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  <c r="Z186" s="102"/>
      <c r="AA186" s="102"/>
      <c r="AB186" s="102"/>
      <c r="AC186" s="102"/>
      <c r="AD186" s="102"/>
      <c r="AE186" s="102"/>
      <c r="AF186" s="102"/>
      <c r="AG186" s="102"/>
      <c r="AH186" s="102"/>
      <c r="AI186" s="102"/>
      <c r="AJ186" s="102"/>
      <c r="AK186" s="102"/>
      <c r="AL186" s="102"/>
      <c r="AM186" s="102"/>
      <c r="AN186" s="102"/>
      <c r="AO186" s="102"/>
    </row>
    <row r="187" spans="1:41" s="11" customFormat="1" ht="22.5">
      <c r="A187" s="132" t="s">
        <v>157</v>
      </c>
      <c r="B187" s="120" t="s">
        <v>616</v>
      </c>
      <c r="C187" s="120" t="s">
        <v>69</v>
      </c>
      <c r="D187" s="120" t="s">
        <v>70</v>
      </c>
      <c r="E187" s="120" t="s">
        <v>114</v>
      </c>
      <c r="F187" s="117">
        <v>726</v>
      </c>
      <c r="G187" s="183">
        <v>270</v>
      </c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  <c r="Z187" s="102"/>
      <c r="AA187" s="102"/>
      <c r="AB187" s="102"/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</row>
    <row r="188" spans="1:41" s="57" customFormat="1" ht="42.75">
      <c r="A188" s="136" t="s">
        <v>504</v>
      </c>
      <c r="B188" s="121" t="s">
        <v>617</v>
      </c>
      <c r="C188" s="121"/>
      <c r="D188" s="121"/>
      <c r="E188" s="121"/>
      <c r="F188" s="113"/>
      <c r="G188" s="182">
        <f aca="true" t="shared" si="7" ref="G188:G193">G189</f>
        <v>5300.400000000001</v>
      </c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6"/>
      <c r="AB188" s="106"/>
      <c r="AC188" s="106"/>
      <c r="AD188" s="106"/>
      <c r="AE188" s="106"/>
      <c r="AF188" s="106"/>
      <c r="AG188" s="106"/>
      <c r="AH188" s="106"/>
      <c r="AI188" s="106"/>
      <c r="AJ188" s="106"/>
      <c r="AK188" s="106"/>
      <c r="AL188" s="106"/>
      <c r="AM188" s="106"/>
      <c r="AN188" s="106"/>
      <c r="AO188" s="106"/>
    </row>
    <row r="189" spans="1:41" s="57" customFormat="1" ht="12.75">
      <c r="A189" s="131" t="s">
        <v>8</v>
      </c>
      <c r="B189" s="121" t="s">
        <v>617</v>
      </c>
      <c r="C189" s="121" t="s">
        <v>69</v>
      </c>
      <c r="D189" s="121" t="s">
        <v>36</v>
      </c>
      <c r="E189" s="121"/>
      <c r="F189" s="113"/>
      <c r="G189" s="182">
        <f>G190+G195+G200</f>
        <v>5300.400000000001</v>
      </c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  <c r="X189" s="106"/>
      <c r="Y189" s="106"/>
      <c r="Z189" s="106"/>
      <c r="AA189" s="106"/>
      <c r="AB189" s="106"/>
      <c r="AC189" s="106"/>
      <c r="AD189" s="106"/>
      <c r="AE189" s="106"/>
      <c r="AF189" s="106"/>
      <c r="AG189" s="106"/>
      <c r="AH189" s="106"/>
      <c r="AI189" s="106"/>
      <c r="AJ189" s="106"/>
      <c r="AK189" s="106"/>
      <c r="AL189" s="106"/>
      <c r="AM189" s="106"/>
      <c r="AN189" s="106"/>
      <c r="AO189" s="106"/>
    </row>
    <row r="190" spans="1:41" s="11" customFormat="1" ht="12.75">
      <c r="A190" s="134" t="s">
        <v>9</v>
      </c>
      <c r="B190" s="120" t="s">
        <v>617</v>
      </c>
      <c r="C190" s="120" t="s">
        <v>69</v>
      </c>
      <c r="D190" s="120" t="s">
        <v>66</v>
      </c>
      <c r="E190" s="120"/>
      <c r="F190" s="117"/>
      <c r="G190" s="183">
        <f t="shared" si="7"/>
        <v>1332.6000000000001</v>
      </c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2"/>
      <c r="U190" s="102"/>
      <c r="V190" s="102"/>
      <c r="W190" s="102"/>
      <c r="X190" s="102"/>
      <c r="Y190" s="102"/>
      <c r="Z190" s="102"/>
      <c r="AA190" s="102"/>
      <c r="AB190" s="102"/>
      <c r="AC190" s="102"/>
      <c r="AD190" s="102"/>
      <c r="AE190" s="102"/>
      <c r="AF190" s="102"/>
      <c r="AG190" s="102"/>
      <c r="AH190" s="102"/>
      <c r="AI190" s="102"/>
      <c r="AJ190" s="102"/>
      <c r="AK190" s="102"/>
      <c r="AL190" s="102"/>
      <c r="AM190" s="102"/>
      <c r="AN190" s="102"/>
      <c r="AO190" s="102"/>
    </row>
    <row r="191" spans="1:41" s="11" customFormat="1" ht="22.5">
      <c r="A191" s="134" t="s">
        <v>105</v>
      </c>
      <c r="B191" s="120" t="s">
        <v>617</v>
      </c>
      <c r="C191" s="120" t="s">
        <v>69</v>
      </c>
      <c r="D191" s="120" t="s">
        <v>66</v>
      </c>
      <c r="E191" s="120" t="s">
        <v>106</v>
      </c>
      <c r="F191" s="117"/>
      <c r="G191" s="183">
        <f t="shared" si="7"/>
        <v>1332.6000000000001</v>
      </c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  <c r="V191" s="102"/>
      <c r="W191" s="102"/>
      <c r="X191" s="102"/>
      <c r="Y191" s="102"/>
      <c r="Z191" s="102"/>
      <c r="AA191" s="102"/>
      <c r="AB191" s="102"/>
      <c r="AC191" s="102"/>
      <c r="AD191" s="102"/>
      <c r="AE191" s="102"/>
      <c r="AF191" s="102"/>
      <c r="AG191" s="102"/>
      <c r="AH191" s="102"/>
      <c r="AI191" s="102"/>
      <c r="AJ191" s="102"/>
      <c r="AK191" s="102"/>
      <c r="AL191" s="102"/>
      <c r="AM191" s="102"/>
      <c r="AN191" s="102"/>
      <c r="AO191" s="102"/>
    </row>
    <row r="192" spans="1:41" s="11" customFormat="1" ht="12.75">
      <c r="A192" s="134" t="s">
        <v>111</v>
      </c>
      <c r="B192" s="120" t="s">
        <v>617</v>
      </c>
      <c r="C192" s="120" t="s">
        <v>69</v>
      </c>
      <c r="D192" s="120" t="s">
        <v>66</v>
      </c>
      <c r="E192" s="120" t="s">
        <v>112</v>
      </c>
      <c r="F192" s="117"/>
      <c r="G192" s="183">
        <f t="shared" si="7"/>
        <v>1332.6000000000001</v>
      </c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102"/>
      <c r="X192" s="102"/>
      <c r="Y192" s="102"/>
      <c r="Z192" s="102"/>
      <c r="AA192" s="102"/>
      <c r="AB192" s="102"/>
      <c r="AC192" s="102"/>
      <c r="AD192" s="102"/>
      <c r="AE192" s="102"/>
      <c r="AF192" s="102"/>
      <c r="AG192" s="102"/>
      <c r="AH192" s="102"/>
      <c r="AI192" s="102"/>
      <c r="AJ192" s="102"/>
      <c r="AK192" s="102"/>
      <c r="AL192" s="102"/>
      <c r="AM192" s="102"/>
      <c r="AN192" s="102"/>
      <c r="AO192" s="102"/>
    </row>
    <row r="193" spans="1:41" s="11" customFormat="1" ht="33.75">
      <c r="A193" s="134" t="s">
        <v>113</v>
      </c>
      <c r="B193" s="120" t="s">
        <v>617</v>
      </c>
      <c r="C193" s="120" t="s">
        <v>69</v>
      </c>
      <c r="D193" s="120" t="s">
        <v>66</v>
      </c>
      <c r="E193" s="120" t="s">
        <v>114</v>
      </c>
      <c r="F193" s="117"/>
      <c r="G193" s="183">
        <f t="shared" si="7"/>
        <v>1332.6000000000001</v>
      </c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2"/>
      <c r="U193" s="102"/>
      <c r="V193" s="102"/>
      <c r="W193" s="102"/>
      <c r="X193" s="102"/>
      <c r="Y193" s="102"/>
      <c r="Z193" s="102"/>
      <c r="AA193" s="102"/>
      <c r="AB193" s="102"/>
      <c r="AC193" s="102"/>
      <c r="AD193" s="102"/>
      <c r="AE193" s="102"/>
      <c r="AF193" s="102"/>
      <c r="AG193" s="102"/>
      <c r="AH193" s="102"/>
      <c r="AI193" s="102"/>
      <c r="AJ193" s="102"/>
      <c r="AK193" s="102"/>
      <c r="AL193" s="102"/>
      <c r="AM193" s="102"/>
      <c r="AN193" s="102"/>
      <c r="AO193" s="102"/>
    </row>
    <row r="194" spans="1:41" s="11" customFormat="1" ht="13.5" customHeight="1">
      <c r="A194" s="132" t="s">
        <v>156</v>
      </c>
      <c r="B194" s="120" t="s">
        <v>617</v>
      </c>
      <c r="C194" s="120" t="s">
        <v>69</v>
      </c>
      <c r="D194" s="120" t="s">
        <v>66</v>
      </c>
      <c r="E194" s="120" t="s">
        <v>114</v>
      </c>
      <c r="F194" s="117">
        <v>725</v>
      </c>
      <c r="G194" s="183">
        <f>1377.7-45.1</f>
        <v>1332.6000000000001</v>
      </c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2"/>
      <c r="U194" s="102"/>
      <c r="V194" s="102"/>
      <c r="W194" s="102"/>
      <c r="X194" s="102"/>
      <c r="Y194" s="102"/>
      <c r="Z194" s="102"/>
      <c r="AA194" s="102"/>
      <c r="AB194" s="102"/>
      <c r="AC194" s="102"/>
      <c r="AD194" s="102"/>
      <c r="AE194" s="102"/>
      <c r="AF194" s="102"/>
      <c r="AG194" s="102"/>
      <c r="AH194" s="102"/>
      <c r="AI194" s="102"/>
      <c r="AJ194" s="102"/>
      <c r="AK194" s="102"/>
      <c r="AL194" s="102"/>
      <c r="AM194" s="102"/>
      <c r="AN194" s="102"/>
      <c r="AO194" s="102"/>
    </row>
    <row r="195" spans="1:41" s="11" customFormat="1" ht="12.75">
      <c r="A195" s="132" t="s">
        <v>10</v>
      </c>
      <c r="B195" s="120" t="s">
        <v>617</v>
      </c>
      <c r="C195" s="120" t="s">
        <v>69</v>
      </c>
      <c r="D195" s="120" t="s">
        <v>67</v>
      </c>
      <c r="E195" s="120"/>
      <c r="F195" s="117"/>
      <c r="G195" s="183">
        <f>G196</f>
        <v>2743.5</v>
      </c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  <c r="Z195" s="102"/>
      <c r="AA195" s="102"/>
      <c r="AB195" s="102"/>
      <c r="AC195" s="102"/>
      <c r="AD195" s="102"/>
      <c r="AE195" s="102"/>
      <c r="AF195" s="102"/>
      <c r="AG195" s="102"/>
      <c r="AH195" s="102"/>
      <c r="AI195" s="102"/>
      <c r="AJ195" s="102"/>
      <c r="AK195" s="102"/>
      <c r="AL195" s="102"/>
      <c r="AM195" s="102"/>
      <c r="AN195" s="102"/>
      <c r="AO195" s="102"/>
    </row>
    <row r="196" spans="1:41" s="11" customFormat="1" ht="22.5">
      <c r="A196" s="134" t="s">
        <v>105</v>
      </c>
      <c r="B196" s="120" t="s">
        <v>617</v>
      </c>
      <c r="C196" s="120" t="s">
        <v>69</v>
      </c>
      <c r="D196" s="120" t="s">
        <v>67</v>
      </c>
      <c r="E196" s="120" t="s">
        <v>106</v>
      </c>
      <c r="F196" s="117"/>
      <c r="G196" s="183">
        <f>G197</f>
        <v>2743.5</v>
      </c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U196" s="102"/>
      <c r="V196" s="102"/>
      <c r="W196" s="102"/>
      <c r="X196" s="102"/>
      <c r="Y196" s="102"/>
      <c r="Z196" s="102"/>
      <c r="AA196" s="102"/>
      <c r="AB196" s="102"/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</row>
    <row r="197" spans="1:41" s="11" customFormat="1" ht="12.75">
      <c r="A197" s="134" t="s">
        <v>111</v>
      </c>
      <c r="B197" s="120" t="s">
        <v>617</v>
      </c>
      <c r="C197" s="120" t="s">
        <v>69</v>
      </c>
      <c r="D197" s="120" t="s">
        <v>67</v>
      </c>
      <c r="E197" s="120" t="s">
        <v>112</v>
      </c>
      <c r="F197" s="117"/>
      <c r="G197" s="183">
        <f>G198</f>
        <v>2743.5</v>
      </c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2"/>
      <c r="U197" s="102"/>
      <c r="V197" s="102"/>
      <c r="W197" s="102"/>
      <c r="X197" s="102"/>
      <c r="Y197" s="102"/>
      <c r="Z197" s="102"/>
      <c r="AA197" s="102"/>
      <c r="AB197" s="102"/>
      <c r="AC197" s="102"/>
      <c r="AD197" s="102"/>
      <c r="AE197" s="102"/>
      <c r="AF197" s="102"/>
      <c r="AG197" s="102"/>
      <c r="AH197" s="102"/>
      <c r="AI197" s="102"/>
      <c r="AJ197" s="102"/>
      <c r="AK197" s="102"/>
      <c r="AL197" s="102"/>
      <c r="AM197" s="102"/>
      <c r="AN197" s="102"/>
      <c r="AO197" s="102"/>
    </row>
    <row r="198" spans="1:41" s="11" customFormat="1" ht="33.75">
      <c r="A198" s="134" t="s">
        <v>113</v>
      </c>
      <c r="B198" s="120" t="s">
        <v>617</v>
      </c>
      <c r="C198" s="120" t="s">
        <v>69</v>
      </c>
      <c r="D198" s="120" t="s">
        <v>67</v>
      </c>
      <c r="E198" s="120" t="s">
        <v>114</v>
      </c>
      <c r="F198" s="117"/>
      <c r="G198" s="183">
        <f>G199</f>
        <v>2743.5</v>
      </c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2"/>
      <c r="U198" s="102"/>
      <c r="V198" s="102"/>
      <c r="W198" s="102"/>
      <c r="X198" s="102"/>
      <c r="Y198" s="102"/>
      <c r="Z198" s="102"/>
      <c r="AA198" s="102"/>
      <c r="AB198" s="102"/>
      <c r="AC198" s="102"/>
      <c r="AD198" s="102"/>
      <c r="AE198" s="102"/>
      <c r="AF198" s="102"/>
      <c r="AG198" s="102"/>
      <c r="AH198" s="102"/>
      <c r="AI198" s="102"/>
      <c r="AJ198" s="102"/>
      <c r="AK198" s="102"/>
      <c r="AL198" s="102"/>
      <c r="AM198" s="102"/>
      <c r="AN198" s="102"/>
      <c r="AO198" s="102"/>
    </row>
    <row r="199" spans="1:41" s="11" customFormat="1" ht="11.25" customHeight="1">
      <c r="A199" s="132" t="s">
        <v>156</v>
      </c>
      <c r="B199" s="120" t="s">
        <v>617</v>
      </c>
      <c r="C199" s="120" t="s">
        <v>69</v>
      </c>
      <c r="D199" s="120" t="s">
        <v>67</v>
      </c>
      <c r="E199" s="120" t="s">
        <v>114</v>
      </c>
      <c r="F199" s="117">
        <v>725</v>
      </c>
      <c r="G199" s="183">
        <f>2692.1+51.4</f>
        <v>2743.5</v>
      </c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2"/>
      <c r="U199" s="102"/>
      <c r="V199" s="102"/>
      <c r="W199" s="102"/>
      <c r="X199" s="102"/>
      <c r="Y199" s="102"/>
      <c r="Z199" s="102"/>
      <c r="AA199" s="102"/>
      <c r="AB199" s="102"/>
      <c r="AC199" s="102"/>
      <c r="AD199" s="102"/>
      <c r="AE199" s="102"/>
      <c r="AF199" s="102"/>
      <c r="AG199" s="102"/>
      <c r="AH199" s="102"/>
      <c r="AI199" s="102"/>
      <c r="AJ199" s="102"/>
      <c r="AK199" s="102"/>
      <c r="AL199" s="102"/>
      <c r="AM199" s="102"/>
      <c r="AN199" s="102"/>
      <c r="AO199" s="102"/>
    </row>
    <row r="200" spans="1:41" s="11" customFormat="1" ht="12.75">
      <c r="A200" s="132" t="s">
        <v>530</v>
      </c>
      <c r="B200" s="120" t="s">
        <v>617</v>
      </c>
      <c r="C200" s="120" t="s">
        <v>69</v>
      </c>
      <c r="D200" s="120" t="s">
        <v>70</v>
      </c>
      <c r="E200" s="120"/>
      <c r="F200" s="117"/>
      <c r="G200" s="183">
        <f>G201</f>
        <v>1224.3</v>
      </c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/>
      <c r="Z200" s="102"/>
      <c r="AA200" s="102"/>
      <c r="AB200" s="102"/>
      <c r="AC200" s="102"/>
      <c r="AD200" s="102"/>
      <c r="AE200" s="102"/>
      <c r="AF200" s="102"/>
      <c r="AG200" s="102"/>
      <c r="AH200" s="102"/>
      <c r="AI200" s="102"/>
      <c r="AJ200" s="102"/>
      <c r="AK200" s="102"/>
      <c r="AL200" s="102"/>
      <c r="AM200" s="102"/>
      <c r="AN200" s="102"/>
      <c r="AO200" s="102"/>
    </row>
    <row r="201" spans="1:41" s="11" customFormat="1" ht="22.5">
      <c r="A201" s="134" t="s">
        <v>105</v>
      </c>
      <c r="B201" s="120" t="s">
        <v>617</v>
      </c>
      <c r="C201" s="120" t="s">
        <v>69</v>
      </c>
      <c r="D201" s="120" t="s">
        <v>70</v>
      </c>
      <c r="E201" s="120" t="s">
        <v>106</v>
      </c>
      <c r="F201" s="117"/>
      <c r="G201" s="183">
        <f>G202</f>
        <v>1224.3</v>
      </c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2"/>
      <c r="U201" s="102"/>
      <c r="V201" s="102"/>
      <c r="W201" s="102"/>
      <c r="X201" s="102"/>
      <c r="Y201" s="102"/>
      <c r="Z201" s="102"/>
      <c r="AA201" s="102"/>
      <c r="AB201" s="102"/>
      <c r="AC201" s="102"/>
      <c r="AD201" s="102"/>
      <c r="AE201" s="102"/>
      <c r="AF201" s="102"/>
      <c r="AG201" s="102"/>
      <c r="AH201" s="102"/>
      <c r="AI201" s="102"/>
      <c r="AJ201" s="102"/>
      <c r="AK201" s="102"/>
      <c r="AL201" s="102"/>
      <c r="AM201" s="102"/>
      <c r="AN201" s="102"/>
      <c r="AO201" s="102"/>
    </row>
    <row r="202" spans="1:41" s="11" customFormat="1" ht="12.75">
      <c r="A202" s="134" t="s">
        <v>111</v>
      </c>
      <c r="B202" s="120" t="s">
        <v>617</v>
      </c>
      <c r="C202" s="120" t="s">
        <v>69</v>
      </c>
      <c r="D202" s="120" t="s">
        <v>70</v>
      </c>
      <c r="E202" s="120" t="s">
        <v>112</v>
      </c>
      <c r="F202" s="117"/>
      <c r="G202" s="183">
        <f>G203</f>
        <v>1224.3</v>
      </c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2"/>
      <c r="U202" s="102"/>
      <c r="V202" s="102"/>
      <c r="W202" s="102"/>
      <c r="X202" s="102"/>
      <c r="Y202" s="102"/>
      <c r="Z202" s="102"/>
      <c r="AA202" s="102"/>
      <c r="AB202" s="102"/>
      <c r="AC202" s="102"/>
      <c r="AD202" s="102"/>
      <c r="AE202" s="102"/>
      <c r="AF202" s="102"/>
      <c r="AG202" s="102"/>
      <c r="AH202" s="102"/>
      <c r="AI202" s="102"/>
      <c r="AJ202" s="102"/>
      <c r="AK202" s="102"/>
      <c r="AL202" s="102"/>
      <c r="AM202" s="102"/>
      <c r="AN202" s="102"/>
      <c r="AO202" s="102"/>
    </row>
    <row r="203" spans="1:41" s="11" customFormat="1" ht="33.75">
      <c r="A203" s="134" t="s">
        <v>113</v>
      </c>
      <c r="B203" s="120" t="s">
        <v>617</v>
      </c>
      <c r="C203" s="120" t="s">
        <v>69</v>
      </c>
      <c r="D203" s="120" t="s">
        <v>70</v>
      </c>
      <c r="E203" s="120" t="s">
        <v>114</v>
      </c>
      <c r="F203" s="117"/>
      <c r="G203" s="183">
        <f>G204+G205</f>
        <v>1224.3</v>
      </c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2"/>
      <c r="U203" s="102"/>
      <c r="V203" s="102"/>
      <c r="W203" s="102"/>
      <c r="X203" s="102"/>
      <c r="Y203" s="102"/>
      <c r="Z203" s="102"/>
      <c r="AA203" s="102"/>
      <c r="AB203" s="102"/>
      <c r="AC203" s="102"/>
      <c r="AD203" s="102"/>
      <c r="AE203" s="102"/>
      <c r="AF203" s="102"/>
      <c r="AG203" s="102"/>
      <c r="AH203" s="102"/>
      <c r="AI203" s="102"/>
      <c r="AJ203" s="102"/>
      <c r="AK203" s="102"/>
      <c r="AL203" s="102"/>
      <c r="AM203" s="102"/>
      <c r="AN203" s="102"/>
      <c r="AO203" s="102"/>
    </row>
    <row r="204" spans="1:41" s="11" customFormat="1" ht="11.25" customHeight="1">
      <c r="A204" s="132" t="s">
        <v>156</v>
      </c>
      <c r="B204" s="120" t="s">
        <v>617</v>
      </c>
      <c r="C204" s="120" t="s">
        <v>69</v>
      </c>
      <c r="D204" s="120" t="s">
        <v>70</v>
      </c>
      <c r="E204" s="120" t="s">
        <v>114</v>
      </c>
      <c r="F204" s="117">
        <v>725</v>
      </c>
      <c r="G204" s="183">
        <f>679.8-6.3</f>
        <v>673.5</v>
      </c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2"/>
      <c r="U204" s="102"/>
      <c r="V204" s="102"/>
      <c r="W204" s="102"/>
      <c r="X204" s="102"/>
      <c r="Y204" s="102"/>
      <c r="Z204" s="102"/>
      <c r="AA204" s="102"/>
      <c r="AB204" s="102"/>
      <c r="AC204" s="102"/>
      <c r="AD204" s="102"/>
      <c r="AE204" s="102"/>
      <c r="AF204" s="102"/>
      <c r="AG204" s="102"/>
      <c r="AH204" s="102"/>
      <c r="AI204" s="102"/>
      <c r="AJ204" s="102"/>
      <c r="AK204" s="102"/>
      <c r="AL204" s="102"/>
      <c r="AM204" s="102"/>
      <c r="AN204" s="102"/>
      <c r="AO204" s="102"/>
    </row>
    <row r="205" spans="1:41" s="11" customFormat="1" ht="22.5">
      <c r="A205" s="132" t="s">
        <v>157</v>
      </c>
      <c r="B205" s="120" t="s">
        <v>617</v>
      </c>
      <c r="C205" s="120" t="s">
        <v>69</v>
      </c>
      <c r="D205" s="120" t="s">
        <v>70</v>
      </c>
      <c r="E205" s="120" t="s">
        <v>114</v>
      </c>
      <c r="F205" s="117">
        <v>726</v>
      </c>
      <c r="G205" s="183">
        <v>550.8</v>
      </c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102"/>
      <c r="AA205" s="102"/>
      <c r="AB205" s="102"/>
      <c r="AC205" s="102"/>
      <c r="AD205" s="102"/>
      <c r="AE205" s="102"/>
      <c r="AF205" s="102"/>
      <c r="AG205" s="102"/>
      <c r="AH205" s="102"/>
      <c r="AI205" s="102"/>
      <c r="AJ205" s="102"/>
      <c r="AK205" s="102"/>
      <c r="AL205" s="102"/>
      <c r="AM205" s="102"/>
      <c r="AN205" s="102"/>
      <c r="AO205" s="102"/>
    </row>
    <row r="206" spans="1:41" s="57" customFormat="1" ht="42.75" customHeight="1">
      <c r="A206" s="136" t="s">
        <v>505</v>
      </c>
      <c r="B206" s="121" t="s">
        <v>618</v>
      </c>
      <c r="C206" s="121"/>
      <c r="D206" s="121"/>
      <c r="E206" s="121"/>
      <c r="F206" s="113"/>
      <c r="G206" s="182">
        <f aca="true" t="shared" si="8" ref="G206:G211">G207</f>
        <v>56152.3</v>
      </c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  <c r="T206" s="106"/>
      <c r="U206" s="106"/>
      <c r="V206" s="106"/>
      <c r="W206" s="106"/>
      <c r="X206" s="106"/>
      <c r="Y206" s="106"/>
      <c r="Z206" s="106"/>
      <c r="AA206" s="106"/>
      <c r="AB206" s="106"/>
      <c r="AC206" s="106"/>
      <c r="AD206" s="106"/>
      <c r="AE206" s="106"/>
      <c r="AF206" s="106"/>
      <c r="AG206" s="106"/>
      <c r="AH206" s="106"/>
      <c r="AI206" s="106"/>
      <c r="AJ206" s="106"/>
      <c r="AK206" s="106"/>
      <c r="AL206" s="106"/>
      <c r="AM206" s="106"/>
      <c r="AN206" s="106"/>
      <c r="AO206" s="106"/>
    </row>
    <row r="207" spans="1:41" s="57" customFormat="1" ht="12.75">
      <c r="A207" s="131" t="s">
        <v>8</v>
      </c>
      <c r="B207" s="121" t="s">
        <v>618</v>
      </c>
      <c r="C207" s="121" t="s">
        <v>69</v>
      </c>
      <c r="D207" s="121" t="s">
        <v>36</v>
      </c>
      <c r="E207" s="121"/>
      <c r="F207" s="113"/>
      <c r="G207" s="182">
        <f t="shared" si="8"/>
        <v>56152.3</v>
      </c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  <c r="X207" s="106"/>
      <c r="Y207" s="106"/>
      <c r="Z207" s="106"/>
      <c r="AA207" s="106"/>
      <c r="AB207" s="106"/>
      <c r="AC207" s="106"/>
      <c r="AD207" s="106"/>
      <c r="AE207" s="106"/>
      <c r="AF207" s="106"/>
      <c r="AG207" s="106"/>
      <c r="AH207" s="106"/>
      <c r="AI207" s="106"/>
      <c r="AJ207" s="106"/>
      <c r="AK207" s="106"/>
      <c r="AL207" s="106"/>
      <c r="AM207" s="106"/>
      <c r="AN207" s="106"/>
      <c r="AO207" s="106"/>
    </row>
    <row r="208" spans="1:41" s="11" customFormat="1" ht="12.75">
      <c r="A208" s="134" t="s">
        <v>9</v>
      </c>
      <c r="B208" s="120" t="s">
        <v>618</v>
      </c>
      <c r="C208" s="120" t="s">
        <v>69</v>
      </c>
      <c r="D208" s="120" t="s">
        <v>66</v>
      </c>
      <c r="E208" s="120"/>
      <c r="F208" s="117"/>
      <c r="G208" s="183">
        <f t="shared" si="8"/>
        <v>56152.3</v>
      </c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2"/>
      <c r="U208" s="102"/>
      <c r="V208" s="102"/>
      <c r="W208" s="102"/>
      <c r="X208" s="102"/>
      <c r="Y208" s="102"/>
      <c r="Z208" s="102"/>
      <c r="AA208" s="102"/>
      <c r="AB208" s="102"/>
      <c r="AC208" s="102"/>
      <c r="AD208" s="102"/>
      <c r="AE208" s="102"/>
      <c r="AF208" s="102"/>
      <c r="AG208" s="102"/>
      <c r="AH208" s="102"/>
      <c r="AI208" s="102"/>
      <c r="AJ208" s="102"/>
      <c r="AK208" s="102"/>
      <c r="AL208" s="102"/>
      <c r="AM208" s="102"/>
      <c r="AN208" s="102"/>
      <c r="AO208" s="102"/>
    </row>
    <row r="209" spans="1:41" s="11" customFormat="1" ht="22.5">
      <c r="A209" s="134" t="s">
        <v>105</v>
      </c>
      <c r="B209" s="120" t="s">
        <v>618</v>
      </c>
      <c r="C209" s="120" t="s">
        <v>69</v>
      </c>
      <c r="D209" s="120" t="s">
        <v>66</v>
      </c>
      <c r="E209" s="120" t="s">
        <v>106</v>
      </c>
      <c r="F209" s="117"/>
      <c r="G209" s="183">
        <f t="shared" si="8"/>
        <v>56152.3</v>
      </c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2"/>
      <c r="U209" s="102"/>
      <c r="V209" s="102"/>
      <c r="W209" s="102"/>
      <c r="X209" s="102"/>
      <c r="Y209" s="102"/>
      <c r="Z209" s="102"/>
      <c r="AA209" s="102"/>
      <c r="AB209" s="102"/>
      <c r="AC209" s="102"/>
      <c r="AD209" s="102"/>
      <c r="AE209" s="102"/>
      <c r="AF209" s="102"/>
      <c r="AG209" s="102"/>
      <c r="AH209" s="102"/>
      <c r="AI209" s="102"/>
      <c r="AJ209" s="102"/>
      <c r="AK209" s="102"/>
      <c r="AL209" s="102"/>
      <c r="AM209" s="102"/>
      <c r="AN209" s="102"/>
      <c r="AO209" s="102"/>
    </row>
    <row r="210" spans="1:41" s="11" customFormat="1" ht="12.75">
      <c r="A210" s="134" t="s">
        <v>111</v>
      </c>
      <c r="B210" s="120" t="s">
        <v>618</v>
      </c>
      <c r="C210" s="120" t="s">
        <v>69</v>
      </c>
      <c r="D210" s="120" t="s">
        <v>66</v>
      </c>
      <c r="E210" s="120" t="s">
        <v>112</v>
      </c>
      <c r="F210" s="117"/>
      <c r="G210" s="183">
        <f t="shared" si="8"/>
        <v>56152.3</v>
      </c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2"/>
      <c r="U210" s="102"/>
      <c r="V210" s="102"/>
      <c r="W210" s="102"/>
      <c r="X210" s="102"/>
      <c r="Y210" s="102"/>
      <c r="Z210" s="102"/>
      <c r="AA210" s="102"/>
      <c r="AB210" s="102"/>
      <c r="AC210" s="102"/>
      <c r="AD210" s="102"/>
      <c r="AE210" s="102"/>
      <c r="AF210" s="102"/>
      <c r="AG210" s="102"/>
      <c r="AH210" s="102"/>
      <c r="AI210" s="102"/>
      <c r="AJ210" s="102"/>
      <c r="AK210" s="102"/>
      <c r="AL210" s="102"/>
      <c r="AM210" s="102"/>
      <c r="AN210" s="102"/>
      <c r="AO210" s="102"/>
    </row>
    <row r="211" spans="1:41" s="11" customFormat="1" ht="33.75">
      <c r="A211" s="134" t="s">
        <v>113</v>
      </c>
      <c r="B211" s="120" t="s">
        <v>618</v>
      </c>
      <c r="C211" s="120" t="s">
        <v>69</v>
      </c>
      <c r="D211" s="120" t="s">
        <v>66</v>
      </c>
      <c r="E211" s="120" t="s">
        <v>114</v>
      </c>
      <c r="F211" s="117"/>
      <c r="G211" s="183">
        <f t="shared" si="8"/>
        <v>56152.3</v>
      </c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2"/>
      <c r="U211" s="102"/>
      <c r="V211" s="102"/>
      <c r="W211" s="102"/>
      <c r="X211" s="102"/>
      <c r="Y211" s="102"/>
      <c r="Z211" s="102"/>
      <c r="AA211" s="102"/>
      <c r="AB211" s="102"/>
      <c r="AC211" s="102"/>
      <c r="AD211" s="102"/>
      <c r="AE211" s="102"/>
      <c r="AF211" s="102"/>
      <c r="AG211" s="102"/>
      <c r="AH211" s="102"/>
      <c r="AI211" s="102"/>
      <c r="AJ211" s="102"/>
      <c r="AK211" s="102"/>
      <c r="AL211" s="102"/>
      <c r="AM211" s="102"/>
      <c r="AN211" s="102"/>
      <c r="AO211" s="102"/>
    </row>
    <row r="212" spans="1:41" s="11" customFormat="1" ht="10.5" customHeight="1">
      <c r="A212" s="132" t="s">
        <v>156</v>
      </c>
      <c r="B212" s="120" t="s">
        <v>618</v>
      </c>
      <c r="C212" s="120" t="s">
        <v>69</v>
      </c>
      <c r="D212" s="120" t="s">
        <v>66</v>
      </c>
      <c r="E212" s="120" t="s">
        <v>114</v>
      </c>
      <c r="F212" s="117">
        <v>725</v>
      </c>
      <c r="G212" s="183">
        <f>49835.5+5610+706.8</f>
        <v>56152.3</v>
      </c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2"/>
      <c r="U212" s="102"/>
      <c r="V212" s="102"/>
      <c r="W212" s="102"/>
      <c r="X212" s="102"/>
      <c r="Y212" s="102"/>
      <c r="Z212" s="102"/>
      <c r="AA212" s="102"/>
      <c r="AB212" s="102"/>
      <c r="AC212" s="102"/>
      <c r="AD212" s="102"/>
      <c r="AE212" s="102"/>
      <c r="AF212" s="102"/>
      <c r="AG212" s="102"/>
      <c r="AH212" s="102"/>
      <c r="AI212" s="102"/>
      <c r="AJ212" s="102"/>
      <c r="AK212" s="102"/>
      <c r="AL212" s="102"/>
      <c r="AM212" s="102"/>
      <c r="AN212" s="102"/>
      <c r="AO212" s="102"/>
    </row>
    <row r="213" spans="1:41" s="57" customFormat="1" ht="21.75">
      <c r="A213" s="136" t="s">
        <v>517</v>
      </c>
      <c r="B213" s="121" t="s">
        <v>621</v>
      </c>
      <c r="C213" s="121"/>
      <c r="D213" s="121"/>
      <c r="E213" s="121"/>
      <c r="F213" s="113"/>
      <c r="G213" s="182">
        <f aca="true" t="shared" si="9" ref="G213:G218">G214</f>
        <v>1150.5</v>
      </c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  <c r="T213" s="106"/>
      <c r="U213" s="106"/>
      <c r="V213" s="106"/>
      <c r="W213" s="106"/>
      <c r="X213" s="106"/>
      <c r="Y213" s="106"/>
      <c r="Z213" s="106"/>
      <c r="AA213" s="106"/>
      <c r="AB213" s="106"/>
      <c r="AC213" s="106"/>
      <c r="AD213" s="106"/>
      <c r="AE213" s="106"/>
      <c r="AF213" s="106"/>
      <c r="AG213" s="106"/>
      <c r="AH213" s="106"/>
      <c r="AI213" s="106"/>
      <c r="AJ213" s="106"/>
      <c r="AK213" s="106"/>
      <c r="AL213" s="106"/>
      <c r="AM213" s="106"/>
      <c r="AN213" s="106"/>
      <c r="AO213" s="106"/>
    </row>
    <row r="214" spans="1:41" s="57" customFormat="1" ht="12.75">
      <c r="A214" s="131" t="s">
        <v>8</v>
      </c>
      <c r="B214" s="121" t="s">
        <v>621</v>
      </c>
      <c r="C214" s="121" t="s">
        <v>69</v>
      </c>
      <c r="D214" s="121" t="s">
        <v>36</v>
      </c>
      <c r="E214" s="121"/>
      <c r="F214" s="113"/>
      <c r="G214" s="182">
        <f t="shared" si="9"/>
        <v>1150.5</v>
      </c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06"/>
      <c r="X214" s="106"/>
      <c r="Y214" s="106"/>
      <c r="Z214" s="106"/>
      <c r="AA214" s="106"/>
      <c r="AB214" s="106"/>
      <c r="AC214" s="106"/>
      <c r="AD214" s="106"/>
      <c r="AE214" s="106"/>
      <c r="AF214" s="106"/>
      <c r="AG214" s="106"/>
      <c r="AH214" s="106"/>
      <c r="AI214" s="106"/>
      <c r="AJ214" s="106"/>
      <c r="AK214" s="106"/>
      <c r="AL214" s="106"/>
      <c r="AM214" s="106"/>
      <c r="AN214" s="106"/>
      <c r="AO214" s="106"/>
    </row>
    <row r="215" spans="1:41" s="11" customFormat="1" ht="12.75">
      <c r="A215" s="134" t="s">
        <v>10</v>
      </c>
      <c r="B215" s="120" t="s">
        <v>621</v>
      </c>
      <c r="C215" s="120" t="s">
        <v>69</v>
      </c>
      <c r="D215" s="120" t="s">
        <v>67</v>
      </c>
      <c r="E215" s="120"/>
      <c r="F215" s="117"/>
      <c r="G215" s="183">
        <f t="shared" si="9"/>
        <v>1150.5</v>
      </c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2"/>
      <c r="U215" s="102"/>
      <c r="V215" s="102"/>
      <c r="W215" s="102"/>
      <c r="X215" s="102"/>
      <c r="Y215" s="102"/>
      <c r="Z215" s="102"/>
      <c r="AA215" s="102"/>
      <c r="AB215" s="102"/>
      <c r="AC215" s="102"/>
      <c r="AD215" s="102"/>
      <c r="AE215" s="102"/>
      <c r="AF215" s="102"/>
      <c r="AG215" s="102"/>
      <c r="AH215" s="102"/>
      <c r="AI215" s="102"/>
      <c r="AJ215" s="102"/>
      <c r="AK215" s="102"/>
      <c r="AL215" s="102"/>
      <c r="AM215" s="102"/>
      <c r="AN215" s="102"/>
      <c r="AO215" s="102"/>
    </row>
    <row r="216" spans="1:41" s="11" customFormat="1" ht="22.5">
      <c r="A216" s="134" t="s">
        <v>105</v>
      </c>
      <c r="B216" s="120" t="s">
        <v>621</v>
      </c>
      <c r="C216" s="120" t="s">
        <v>69</v>
      </c>
      <c r="D216" s="120" t="s">
        <v>67</v>
      </c>
      <c r="E216" s="120" t="s">
        <v>106</v>
      </c>
      <c r="F216" s="117"/>
      <c r="G216" s="183">
        <f t="shared" si="9"/>
        <v>1150.5</v>
      </c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  <c r="Y216" s="102"/>
      <c r="Z216" s="102"/>
      <c r="AA216" s="102"/>
      <c r="AB216" s="102"/>
      <c r="AC216" s="102"/>
      <c r="AD216" s="102"/>
      <c r="AE216" s="102"/>
      <c r="AF216" s="102"/>
      <c r="AG216" s="102"/>
      <c r="AH216" s="102"/>
      <c r="AI216" s="102"/>
      <c r="AJ216" s="102"/>
      <c r="AK216" s="102"/>
      <c r="AL216" s="102"/>
      <c r="AM216" s="102"/>
      <c r="AN216" s="102"/>
      <c r="AO216" s="102"/>
    </row>
    <row r="217" spans="1:41" s="11" customFormat="1" ht="12.75">
      <c r="A217" s="134" t="s">
        <v>111</v>
      </c>
      <c r="B217" s="120" t="s">
        <v>621</v>
      </c>
      <c r="C217" s="120" t="s">
        <v>69</v>
      </c>
      <c r="D217" s="120" t="s">
        <v>67</v>
      </c>
      <c r="E217" s="120" t="s">
        <v>112</v>
      </c>
      <c r="F217" s="117"/>
      <c r="G217" s="183">
        <f t="shared" si="9"/>
        <v>1150.5</v>
      </c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2"/>
      <c r="U217" s="102"/>
      <c r="V217" s="102"/>
      <c r="W217" s="102"/>
      <c r="X217" s="102"/>
      <c r="Y217" s="102"/>
      <c r="Z217" s="102"/>
      <c r="AA217" s="102"/>
      <c r="AB217" s="102"/>
      <c r="AC217" s="102"/>
      <c r="AD217" s="102"/>
      <c r="AE217" s="102"/>
      <c r="AF217" s="102"/>
      <c r="AG217" s="102"/>
      <c r="AH217" s="102"/>
      <c r="AI217" s="102"/>
      <c r="AJ217" s="102"/>
      <c r="AK217" s="102"/>
      <c r="AL217" s="102"/>
      <c r="AM217" s="102"/>
      <c r="AN217" s="102"/>
      <c r="AO217" s="102"/>
    </row>
    <row r="218" spans="1:41" s="11" customFormat="1" ht="33.75">
      <c r="A218" s="134" t="s">
        <v>113</v>
      </c>
      <c r="B218" s="120" t="s">
        <v>621</v>
      </c>
      <c r="C218" s="120" t="s">
        <v>69</v>
      </c>
      <c r="D218" s="120" t="s">
        <v>67</v>
      </c>
      <c r="E218" s="120" t="s">
        <v>114</v>
      </c>
      <c r="F218" s="117"/>
      <c r="G218" s="183">
        <f t="shared" si="9"/>
        <v>1150.5</v>
      </c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  <c r="Z218" s="102"/>
      <c r="AA218" s="102"/>
      <c r="AB218" s="102"/>
      <c r="AC218" s="102"/>
      <c r="AD218" s="102"/>
      <c r="AE218" s="102"/>
      <c r="AF218" s="102"/>
      <c r="AG218" s="102"/>
      <c r="AH218" s="102"/>
      <c r="AI218" s="102"/>
      <c r="AJ218" s="102"/>
      <c r="AK218" s="102"/>
      <c r="AL218" s="102"/>
      <c r="AM218" s="102"/>
      <c r="AN218" s="102"/>
      <c r="AO218" s="102"/>
    </row>
    <row r="219" spans="1:41" s="11" customFormat="1" ht="12.75" customHeight="1">
      <c r="A219" s="132" t="s">
        <v>156</v>
      </c>
      <c r="B219" s="120" t="s">
        <v>621</v>
      </c>
      <c r="C219" s="120" t="s">
        <v>69</v>
      </c>
      <c r="D219" s="120" t="s">
        <v>67</v>
      </c>
      <c r="E219" s="120" t="s">
        <v>114</v>
      </c>
      <c r="F219" s="117">
        <v>725</v>
      </c>
      <c r="G219" s="183">
        <v>1150.5</v>
      </c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2"/>
      <c r="U219" s="102"/>
      <c r="V219" s="102"/>
      <c r="W219" s="102"/>
      <c r="X219" s="102"/>
      <c r="Y219" s="102"/>
      <c r="Z219" s="102"/>
      <c r="AA219" s="102"/>
      <c r="AB219" s="102"/>
      <c r="AC219" s="102"/>
      <c r="AD219" s="102"/>
      <c r="AE219" s="102"/>
      <c r="AF219" s="102"/>
      <c r="AG219" s="102"/>
      <c r="AH219" s="102"/>
      <c r="AI219" s="102"/>
      <c r="AJ219" s="102"/>
      <c r="AK219" s="102"/>
      <c r="AL219" s="102"/>
      <c r="AM219" s="102"/>
      <c r="AN219" s="102"/>
      <c r="AO219" s="102"/>
    </row>
    <row r="220" spans="1:41" s="57" customFormat="1" ht="44.25" customHeight="1">
      <c r="A220" s="136" t="s">
        <v>506</v>
      </c>
      <c r="B220" s="121" t="s">
        <v>619</v>
      </c>
      <c r="C220" s="121"/>
      <c r="D220" s="121"/>
      <c r="E220" s="121"/>
      <c r="F220" s="113"/>
      <c r="G220" s="182">
        <f aca="true" t="shared" si="10" ref="G220:G225">G221</f>
        <v>11355.1</v>
      </c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  <c r="T220" s="106"/>
      <c r="U220" s="106"/>
      <c r="V220" s="106"/>
      <c r="W220" s="106"/>
      <c r="X220" s="106"/>
      <c r="Y220" s="106"/>
      <c r="Z220" s="106"/>
      <c r="AA220" s="106"/>
      <c r="AB220" s="106"/>
      <c r="AC220" s="106"/>
      <c r="AD220" s="106"/>
      <c r="AE220" s="106"/>
      <c r="AF220" s="106"/>
      <c r="AG220" s="106"/>
      <c r="AH220" s="106"/>
      <c r="AI220" s="106"/>
      <c r="AJ220" s="106"/>
      <c r="AK220" s="106"/>
      <c r="AL220" s="106"/>
      <c r="AM220" s="106"/>
      <c r="AN220" s="106"/>
      <c r="AO220" s="106"/>
    </row>
    <row r="221" spans="1:41" s="57" customFormat="1" ht="12.75">
      <c r="A221" s="131" t="s">
        <v>8</v>
      </c>
      <c r="B221" s="121" t="s">
        <v>619</v>
      </c>
      <c r="C221" s="121" t="s">
        <v>69</v>
      </c>
      <c r="D221" s="121" t="s">
        <v>36</v>
      </c>
      <c r="E221" s="121"/>
      <c r="F221" s="113"/>
      <c r="G221" s="182">
        <f>G222+G227+G232</f>
        <v>11355.1</v>
      </c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  <c r="W221" s="106"/>
      <c r="X221" s="106"/>
      <c r="Y221" s="106"/>
      <c r="Z221" s="106"/>
      <c r="AA221" s="106"/>
      <c r="AB221" s="106"/>
      <c r="AC221" s="106"/>
      <c r="AD221" s="106"/>
      <c r="AE221" s="106"/>
      <c r="AF221" s="106"/>
      <c r="AG221" s="106"/>
      <c r="AH221" s="106"/>
      <c r="AI221" s="106"/>
      <c r="AJ221" s="106"/>
      <c r="AK221" s="106"/>
      <c r="AL221" s="106"/>
      <c r="AM221" s="106"/>
      <c r="AN221" s="106"/>
      <c r="AO221" s="106"/>
    </row>
    <row r="222" spans="1:41" s="11" customFormat="1" ht="12.75">
      <c r="A222" s="134" t="s">
        <v>9</v>
      </c>
      <c r="B222" s="120" t="s">
        <v>619</v>
      </c>
      <c r="C222" s="120" t="s">
        <v>69</v>
      </c>
      <c r="D222" s="120" t="s">
        <v>66</v>
      </c>
      <c r="E222" s="120"/>
      <c r="F222" s="117"/>
      <c r="G222" s="183">
        <f t="shared" si="10"/>
        <v>2809.9</v>
      </c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2"/>
      <c r="U222" s="102"/>
      <c r="V222" s="102"/>
      <c r="W222" s="102"/>
      <c r="X222" s="102"/>
      <c r="Y222" s="102"/>
      <c r="Z222" s="102"/>
      <c r="AA222" s="102"/>
      <c r="AB222" s="102"/>
      <c r="AC222" s="102"/>
      <c r="AD222" s="102"/>
      <c r="AE222" s="102"/>
      <c r="AF222" s="102"/>
      <c r="AG222" s="102"/>
      <c r="AH222" s="102"/>
      <c r="AI222" s="102"/>
      <c r="AJ222" s="102"/>
      <c r="AK222" s="102"/>
      <c r="AL222" s="102"/>
      <c r="AM222" s="102"/>
      <c r="AN222" s="102"/>
      <c r="AO222" s="102"/>
    </row>
    <row r="223" spans="1:41" s="11" customFormat="1" ht="22.5">
      <c r="A223" s="134" t="s">
        <v>105</v>
      </c>
      <c r="B223" s="120" t="s">
        <v>619</v>
      </c>
      <c r="C223" s="120" t="s">
        <v>69</v>
      </c>
      <c r="D223" s="120" t="s">
        <v>66</v>
      </c>
      <c r="E223" s="120" t="s">
        <v>106</v>
      </c>
      <c r="F223" s="117"/>
      <c r="G223" s="183">
        <f t="shared" si="10"/>
        <v>2809.9</v>
      </c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2"/>
      <c r="U223" s="102"/>
      <c r="V223" s="102"/>
      <c r="W223" s="102"/>
      <c r="X223" s="102"/>
      <c r="Y223" s="102"/>
      <c r="Z223" s="102"/>
      <c r="AA223" s="102"/>
      <c r="AB223" s="102"/>
      <c r="AC223" s="102"/>
      <c r="AD223" s="102"/>
      <c r="AE223" s="102"/>
      <c r="AF223" s="102"/>
      <c r="AG223" s="102"/>
      <c r="AH223" s="102"/>
      <c r="AI223" s="102"/>
      <c r="AJ223" s="102"/>
      <c r="AK223" s="102"/>
      <c r="AL223" s="102"/>
      <c r="AM223" s="102"/>
      <c r="AN223" s="102"/>
      <c r="AO223" s="102"/>
    </row>
    <row r="224" spans="1:41" s="11" customFormat="1" ht="12.75">
      <c r="A224" s="134" t="s">
        <v>111</v>
      </c>
      <c r="B224" s="120" t="s">
        <v>619</v>
      </c>
      <c r="C224" s="120" t="s">
        <v>69</v>
      </c>
      <c r="D224" s="120" t="s">
        <v>66</v>
      </c>
      <c r="E224" s="120" t="s">
        <v>112</v>
      </c>
      <c r="F224" s="117"/>
      <c r="G224" s="183">
        <f t="shared" si="10"/>
        <v>2809.9</v>
      </c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2"/>
      <c r="U224" s="102"/>
      <c r="V224" s="102"/>
      <c r="W224" s="102"/>
      <c r="X224" s="102"/>
      <c r="Y224" s="102"/>
      <c r="Z224" s="102"/>
      <c r="AA224" s="102"/>
      <c r="AB224" s="102"/>
      <c r="AC224" s="102"/>
      <c r="AD224" s="102"/>
      <c r="AE224" s="102"/>
      <c r="AF224" s="102"/>
      <c r="AG224" s="102"/>
      <c r="AH224" s="102"/>
      <c r="AI224" s="102"/>
      <c r="AJ224" s="102"/>
      <c r="AK224" s="102"/>
      <c r="AL224" s="102"/>
      <c r="AM224" s="102"/>
      <c r="AN224" s="102"/>
      <c r="AO224" s="102"/>
    </row>
    <row r="225" spans="1:41" s="11" customFormat="1" ht="12.75">
      <c r="A225" s="134" t="s">
        <v>115</v>
      </c>
      <c r="B225" s="120" t="s">
        <v>619</v>
      </c>
      <c r="C225" s="120" t="s">
        <v>69</v>
      </c>
      <c r="D225" s="120" t="s">
        <v>66</v>
      </c>
      <c r="E225" s="120" t="s">
        <v>116</v>
      </c>
      <c r="F225" s="117"/>
      <c r="G225" s="183">
        <f t="shared" si="10"/>
        <v>2809.9</v>
      </c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2"/>
      <c r="U225" s="102"/>
      <c r="V225" s="102"/>
      <c r="W225" s="102"/>
      <c r="X225" s="102"/>
      <c r="Y225" s="102"/>
      <c r="Z225" s="102"/>
      <c r="AA225" s="102"/>
      <c r="AB225" s="102"/>
      <c r="AC225" s="102"/>
      <c r="AD225" s="102"/>
      <c r="AE225" s="102"/>
      <c r="AF225" s="102"/>
      <c r="AG225" s="102"/>
      <c r="AH225" s="102"/>
      <c r="AI225" s="102"/>
      <c r="AJ225" s="102"/>
      <c r="AK225" s="102"/>
      <c r="AL225" s="102"/>
      <c r="AM225" s="102"/>
      <c r="AN225" s="102"/>
      <c r="AO225" s="102"/>
    </row>
    <row r="226" spans="1:41" s="11" customFormat="1" ht="13.5" customHeight="1">
      <c r="A226" s="132" t="s">
        <v>156</v>
      </c>
      <c r="B226" s="120" t="s">
        <v>619</v>
      </c>
      <c r="C226" s="120" t="s">
        <v>69</v>
      </c>
      <c r="D226" s="120" t="s">
        <v>66</v>
      </c>
      <c r="E226" s="120" t="s">
        <v>116</v>
      </c>
      <c r="F226" s="117">
        <v>725</v>
      </c>
      <c r="G226" s="183">
        <f>1713.9+1096</f>
        <v>2809.9</v>
      </c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2"/>
      <c r="U226" s="102"/>
      <c r="V226" s="102"/>
      <c r="W226" s="102"/>
      <c r="X226" s="102"/>
      <c r="Y226" s="102"/>
      <c r="Z226" s="102"/>
      <c r="AA226" s="102"/>
      <c r="AB226" s="102"/>
      <c r="AC226" s="102"/>
      <c r="AD226" s="102"/>
      <c r="AE226" s="102"/>
      <c r="AF226" s="102"/>
      <c r="AG226" s="102"/>
      <c r="AH226" s="102"/>
      <c r="AI226" s="102"/>
      <c r="AJ226" s="102"/>
      <c r="AK226" s="102"/>
      <c r="AL226" s="102"/>
      <c r="AM226" s="102"/>
      <c r="AN226" s="102"/>
      <c r="AO226" s="102"/>
    </row>
    <row r="227" spans="1:41" s="11" customFormat="1" ht="12.75">
      <c r="A227" s="134" t="s">
        <v>10</v>
      </c>
      <c r="B227" s="120" t="s">
        <v>619</v>
      </c>
      <c r="C227" s="120" t="s">
        <v>69</v>
      </c>
      <c r="D227" s="120" t="s">
        <v>67</v>
      </c>
      <c r="E227" s="120"/>
      <c r="F227" s="117"/>
      <c r="G227" s="183">
        <f>G228</f>
        <v>5829.6</v>
      </c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2"/>
      <c r="U227" s="102"/>
      <c r="V227" s="102"/>
      <c r="W227" s="102"/>
      <c r="X227" s="102"/>
      <c r="Y227" s="102"/>
      <c r="Z227" s="102"/>
      <c r="AA227" s="102"/>
      <c r="AB227" s="102"/>
      <c r="AC227" s="102"/>
      <c r="AD227" s="102"/>
      <c r="AE227" s="102"/>
      <c r="AF227" s="102"/>
      <c r="AG227" s="102"/>
      <c r="AH227" s="102"/>
      <c r="AI227" s="102"/>
      <c r="AJ227" s="102"/>
      <c r="AK227" s="102"/>
      <c r="AL227" s="102"/>
      <c r="AM227" s="102"/>
      <c r="AN227" s="102"/>
      <c r="AO227" s="102"/>
    </row>
    <row r="228" spans="1:41" s="11" customFormat="1" ht="22.5">
      <c r="A228" s="134" t="s">
        <v>105</v>
      </c>
      <c r="B228" s="120" t="s">
        <v>619</v>
      </c>
      <c r="C228" s="120" t="s">
        <v>69</v>
      </c>
      <c r="D228" s="120" t="s">
        <v>67</v>
      </c>
      <c r="E228" s="120" t="s">
        <v>106</v>
      </c>
      <c r="F228" s="117"/>
      <c r="G228" s="183">
        <f>G229</f>
        <v>5829.6</v>
      </c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2"/>
      <c r="U228" s="102"/>
      <c r="V228" s="102"/>
      <c r="W228" s="102"/>
      <c r="X228" s="102"/>
      <c r="Y228" s="102"/>
      <c r="Z228" s="102"/>
      <c r="AA228" s="102"/>
      <c r="AB228" s="102"/>
      <c r="AC228" s="102"/>
      <c r="AD228" s="102"/>
      <c r="AE228" s="102"/>
      <c r="AF228" s="102"/>
      <c r="AG228" s="102"/>
      <c r="AH228" s="102"/>
      <c r="AI228" s="102"/>
      <c r="AJ228" s="102"/>
      <c r="AK228" s="102"/>
      <c r="AL228" s="102"/>
      <c r="AM228" s="102"/>
      <c r="AN228" s="102"/>
      <c r="AO228" s="102"/>
    </row>
    <row r="229" spans="1:41" s="11" customFormat="1" ht="12.75">
      <c r="A229" s="134" t="s">
        <v>111</v>
      </c>
      <c r="B229" s="120" t="s">
        <v>619</v>
      </c>
      <c r="C229" s="120" t="s">
        <v>69</v>
      </c>
      <c r="D229" s="120" t="s">
        <v>67</v>
      </c>
      <c r="E229" s="120" t="s">
        <v>112</v>
      </c>
      <c r="F229" s="117"/>
      <c r="G229" s="183">
        <f>G230</f>
        <v>5829.6</v>
      </c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2"/>
      <c r="U229" s="102"/>
      <c r="V229" s="102"/>
      <c r="W229" s="102"/>
      <c r="X229" s="102"/>
      <c r="Y229" s="102"/>
      <c r="Z229" s="102"/>
      <c r="AA229" s="102"/>
      <c r="AB229" s="102"/>
      <c r="AC229" s="102"/>
      <c r="AD229" s="102"/>
      <c r="AE229" s="102"/>
      <c r="AF229" s="102"/>
      <c r="AG229" s="102"/>
      <c r="AH229" s="102"/>
      <c r="AI229" s="102"/>
      <c r="AJ229" s="102"/>
      <c r="AK229" s="102"/>
      <c r="AL229" s="102"/>
      <c r="AM229" s="102"/>
      <c r="AN229" s="102"/>
      <c r="AO229" s="102"/>
    </row>
    <row r="230" spans="1:41" s="11" customFormat="1" ht="12.75">
      <c r="A230" s="134" t="s">
        <v>115</v>
      </c>
      <c r="B230" s="120" t="s">
        <v>619</v>
      </c>
      <c r="C230" s="120" t="s">
        <v>69</v>
      </c>
      <c r="D230" s="120" t="s">
        <v>67</v>
      </c>
      <c r="E230" s="120" t="s">
        <v>116</v>
      </c>
      <c r="F230" s="117"/>
      <c r="G230" s="183">
        <f>G231</f>
        <v>5829.6</v>
      </c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2"/>
      <c r="U230" s="102"/>
      <c r="V230" s="102"/>
      <c r="W230" s="102"/>
      <c r="X230" s="102"/>
      <c r="Y230" s="102"/>
      <c r="Z230" s="102"/>
      <c r="AA230" s="102"/>
      <c r="AB230" s="102"/>
      <c r="AC230" s="102"/>
      <c r="AD230" s="102"/>
      <c r="AE230" s="102"/>
      <c r="AF230" s="102"/>
      <c r="AG230" s="102"/>
      <c r="AH230" s="102"/>
      <c r="AI230" s="102"/>
      <c r="AJ230" s="102"/>
      <c r="AK230" s="102"/>
      <c r="AL230" s="102"/>
      <c r="AM230" s="102"/>
      <c r="AN230" s="102"/>
      <c r="AO230" s="102"/>
    </row>
    <row r="231" spans="1:41" s="11" customFormat="1" ht="12" customHeight="1">
      <c r="A231" s="132" t="s">
        <v>156</v>
      </c>
      <c r="B231" s="120" t="s">
        <v>619</v>
      </c>
      <c r="C231" s="120" t="s">
        <v>69</v>
      </c>
      <c r="D231" s="120" t="s">
        <v>67</v>
      </c>
      <c r="E231" s="120" t="s">
        <v>116</v>
      </c>
      <c r="F231" s="117">
        <v>725</v>
      </c>
      <c r="G231" s="183">
        <f>3542.6+2287</f>
        <v>5829.6</v>
      </c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2"/>
      <c r="U231" s="102"/>
      <c r="V231" s="102"/>
      <c r="W231" s="102"/>
      <c r="X231" s="102"/>
      <c r="Y231" s="102"/>
      <c r="Z231" s="102"/>
      <c r="AA231" s="102"/>
      <c r="AB231" s="102"/>
      <c r="AC231" s="102"/>
      <c r="AD231" s="102"/>
      <c r="AE231" s="102"/>
      <c r="AF231" s="102"/>
      <c r="AG231" s="102"/>
      <c r="AH231" s="102"/>
      <c r="AI231" s="102"/>
      <c r="AJ231" s="102"/>
      <c r="AK231" s="102"/>
      <c r="AL231" s="102"/>
      <c r="AM231" s="102"/>
      <c r="AN231" s="102"/>
      <c r="AO231" s="102"/>
    </row>
    <row r="232" spans="1:41" s="11" customFormat="1" ht="12.75">
      <c r="A232" s="132" t="s">
        <v>530</v>
      </c>
      <c r="B232" s="120" t="s">
        <v>619</v>
      </c>
      <c r="C232" s="120" t="s">
        <v>69</v>
      </c>
      <c r="D232" s="120" t="s">
        <v>70</v>
      </c>
      <c r="E232" s="120"/>
      <c r="F232" s="117"/>
      <c r="G232" s="183">
        <f>G233</f>
        <v>2715.6</v>
      </c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2"/>
      <c r="U232" s="102"/>
      <c r="V232" s="102"/>
      <c r="W232" s="102"/>
      <c r="X232" s="102"/>
      <c r="Y232" s="102"/>
      <c r="Z232" s="102"/>
      <c r="AA232" s="102"/>
      <c r="AB232" s="102"/>
      <c r="AC232" s="102"/>
      <c r="AD232" s="102"/>
      <c r="AE232" s="102"/>
      <c r="AF232" s="102"/>
      <c r="AG232" s="102"/>
      <c r="AH232" s="102"/>
      <c r="AI232" s="102"/>
      <c r="AJ232" s="102"/>
      <c r="AK232" s="102"/>
      <c r="AL232" s="102"/>
      <c r="AM232" s="102"/>
      <c r="AN232" s="102"/>
      <c r="AO232" s="102"/>
    </row>
    <row r="233" spans="1:41" s="11" customFormat="1" ht="22.5">
      <c r="A233" s="134" t="s">
        <v>105</v>
      </c>
      <c r="B233" s="120" t="s">
        <v>619</v>
      </c>
      <c r="C233" s="120" t="s">
        <v>69</v>
      </c>
      <c r="D233" s="120" t="s">
        <v>70</v>
      </c>
      <c r="E233" s="120" t="s">
        <v>106</v>
      </c>
      <c r="F233" s="117"/>
      <c r="G233" s="183">
        <f>G234</f>
        <v>2715.6</v>
      </c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2"/>
      <c r="U233" s="102"/>
      <c r="V233" s="102"/>
      <c r="W233" s="102"/>
      <c r="X233" s="102"/>
      <c r="Y233" s="102"/>
      <c r="Z233" s="102"/>
      <c r="AA233" s="102"/>
      <c r="AB233" s="102"/>
      <c r="AC233" s="102"/>
      <c r="AD233" s="102"/>
      <c r="AE233" s="102"/>
      <c r="AF233" s="102"/>
      <c r="AG233" s="102"/>
      <c r="AH233" s="102"/>
      <c r="AI233" s="102"/>
      <c r="AJ233" s="102"/>
      <c r="AK233" s="102"/>
      <c r="AL233" s="102"/>
      <c r="AM233" s="102"/>
      <c r="AN233" s="102"/>
      <c r="AO233" s="102"/>
    </row>
    <row r="234" spans="1:41" s="11" customFormat="1" ht="12.75">
      <c r="A234" s="134" t="s">
        <v>111</v>
      </c>
      <c r="B234" s="120" t="s">
        <v>619</v>
      </c>
      <c r="C234" s="120" t="s">
        <v>69</v>
      </c>
      <c r="D234" s="120" t="s">
        <v>70</v>
      </c>
      <c r="E234" s="120" t="s">
        <v>112</v>
      </c>
      <c r="F234" s="117"/>
      <c r="G234" s="183">
        <f>G235</f>
        <v>2715.6</v>
      </c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2"/>
      <c r="U234" s="102"/>
      <c r="V234" s="102"/>
      <c r="W234" s="102"/>
      <c r="X234" s="102"/>
      <c r="Y234" s="102"/>
      <c r="Z234" s="102"/>
      <c r="AA234" s="102"/>
      <c r="AB234" s="102"/>
      <c r="AC234" s="102"/>
      <c r="AD234" s="102"/>
      <c r="AE234" s="102"/>
      <c r="AF234" s="102"/>
      <c r="AG234" s="102"/>
      <c r="AH234" s="102"/>
      <c r="AI234" s="102"/>
      <c r="AJ234" s="102"/>
      <c r="AK234" s="102"/>
      <c r="AL234" s="102"/>
      <c r="AM234" s="102"/>
      <c r="AN234" s="102"/>
      <c r="AO234" s="102"/>
    </row>
    <row r="235" spans="1:41" s="11" customFormat="1" ht="12.75">
      <c r="A235" s="134" t="s">
        <v>115</v>
      </c>
      <c r="B235" s="120" t="s">
        <v>619</v>
      </c>
      <c r="C235" s="120" t="s">
        <v>69</v>
      </c>
      <c r="D235" s="120" t="s">
        <v>70</v>
      </c>
      <c r="E235" s="120" t="s">
        <v>116</v>
      </c>
      <c r="F235" s="117"/>
      <c r="G235" s="183">
        <f>G236+G237</f>
        <v>2715.6</v>
      </c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2"/>
      <c r="U235" s="102"/>
      <c r="V235" s="102"/>
      <c r="W235" s="102"/>
      <c r="X235" s="102"/>
      <c r="Y235" s="102"/>
      <c r="Z235" s="102"/>
      <c r="AA235" s="102"/>
      <c r="AB235" s="102"/>
      <c r="AC235" s="102"/>
      <c r="AD235" s="102"/>
      <c r="AE235" s="102"/>
      <c r="AF235" s="102"/>
      <c r="AG235" s="102"/>
      <c r="AH235" s="102"/>
      <c r="AI235" s="102"/>
      <c r="AJ235" s="102"/>
      <c r="AK235" s="102"/>
      <c r="AL235" s="102"/>
      <c r="AM235" s="102"/>
      <c r="AN235" s="102"/>
      <c r="AO235" s="102"/>
    </row>
    <row r="236" spans="1:41" s="11" customFormat="1" ht="12" customHeight="1">
      <c r="A236" s="132" t="s">
        <v>156</v>
      </c>
      <c r="B236" s="120" t="s">
        <v>619</v>
      </c>
      <c r="C236" s="120" t="s">
        <v>69</v>
      </c>
      <c r="D236" s="120" t="s">
        <v>70</v>
      </c>
      <c r="E236" s="120" t="s">
        <v>116</v>
      </c>
      <c r="F236" s="117">
        <v>725</v>
      </c>
      <c r="G236" s="183">
        <f>840.2+477.4</f>
        <v>1317.6</v>
      </c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2"/>
      <c r="U236" s="102"/>
      <c r="V236" s="102"/>
      <c r="W236" s="102"/>
      <c r="X236" s="102"/>
      <c r="Y236" s="102"/>
      <c r="Z236" s="102"/>
      <c r="AA236" s="102"/>
      <c r="AB236" s="102"/>
      <c r="AC236" s="102"/>
      <c r="AD236" s="102"/>
      <c r="AE236" s="102"/>
      <c r="AF236" s="102"/>
      <c r="AG236" s="102"/>
      <c r="AH236" s="102"/>
      <c r="AI236" s="102"/>
      <c r="AJ236" s="102"/>
      <c r="AK236" s="102"/>
      <c r="AL236" s="102"/>
      <c r="AM236" s="102"/>
      <c r="AN236" s="102"/>
      <c r="AO236" s="102"/>
    </row>
    <row r="237" spans="1:41" s="11" customFormat="1" ht="22.5">
      <c r="A237" s="132" t="s">
        <v>157</v>
      </c>
      <c r="B237" s="120" t="s">
        <v>619</v>
      </c>
      <c r="C237" s="120" t="s">
        <v>69</v>
      </c>
      <c r="D237" s="120" t="s">
        <v>70</v>
      </c>
      <c r="E237" s="120" t="s">
        <v>116</v>
      </c>
      <c r="F237" s="117">
        <v>726</v>
      </c>
      <c r="G237" s="183">
        <f>878+520</f>
        <v>1398</v>
      </c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2"/>
      <c r="U237" s="102"/>
      <c r="V237" s="102"/>
      <c r="W237" s="102"/>
      <c r="X237" s="102"/>
      <c r="Y237" s="102"/>
      <c r="Z237" s="102"/>
      <c r="AA237" s="102"/>
      <c r="AB237" s="102"/>
      <c r="AC237" s="102"/>
      <c r="AD237" s="102"/>
      <c r="AE237" s="102"/>
      <c r="AF237" s="102"/>
      <c r="AG237" s="102"/>
      <c r="AH237" s="102"/>
      <c r="AI237" s="102"/>
      <c r="AJ237" s="102"/>
      <c r="AK237" s="102"/>
      <c r="AL237" s="102"/>
      <c r="AM237" s="102"/>
      <c r="AN237" s="102"/>
      <c r="AO237" s="102"/>
    </row>
    <row r="238" spans="1:41" s="69" customFormat="1" ht="30" customHeight="1">
      <c r="A238" s="131" t="s">
        <v>446</v>
      </c>
      <c r="B238" s="121" t="s">
        <v>502</v>
      </c>
      <c r="C238" s="121"/>
      <c r="D238" s="121"/>
      <c r="E238" s="121"/>
      <c r="F238" s="113"/>
      <c r="G238" s="182">
        <f>G239+G248</f>
        <v>4072.07</v>
      </c>
      <c r="H238" s="210"/>
      <c r="I238" s="210"/>
      <c r="J238" s="210"/>
      <c r="K238" s="210"/>
      <c r="L238" s="210"/>
      <c r="M238" s="210"/>
      <c r="N238" s="210"/>
      <c r="O238" s="210"/>
      <c r="P238" s="210"/>
      <c r="Q238" s="210"/>
      <c r="R238" s="210"/>
      <c r="S238" s="210"/>
      <c r="T238" s="210"/>
      <c r="U238" s="210"/>
      <c r="V238" s="210"/>
      <c r="W238" s="210"/>
      <c r="X238" s="210"/>
      <c r="Y238" s="210"/>
      <c r="Z238" s="210"/>
      <c r="AA238" s="210"/>
      <c r="AB238" s="210"/>
      <c r="AC238" s="210"/>
      <c r="AD238" s="210"/>
      <c r="AE238" s="210"/>
      <c r="AF238" s="210"/>
      <c r="AG238" s="210"/>
      <c r="AH238" s="210"/>
      <c r="AI238" s="210"/>
      <c r="AJ238" s="210"/>
      <c r="AK238" s="210"/>
      <c r="AL238" s="210"/>
      <c r="AM238" s="210"/>
      <c r="AN238" s="210"/>
      <c r="AO238" s="210"/>
    </row>
    <row r="239" spans="1:41" s="68" customFormat="1" ht="33.75" customHeight="1">
      <c r="A239" s="132" t="s">
        <v>447</v>
      </c>
      <c r="B239" s="121" t="s">
        <v>614</v>
      </c>
      <c r="C239" s="121"/>
      <c r="D239" s="121"/>
      <c r="E239" s="121"/>
      <c r="F239" s="113"/>
      <c r="G239" s="182">
        <f>G240</f>
        <v>1752.9</v>
      </c>
      <c r="H239" s="106"/>
      <c r="I239" s="106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100"/>
      <c r="AM239" s="100"/>
      <c r="AN239" s="100"/>
      <c r="AO239" s="100"/>
    </row>
    <row r="240" spans="1:41" s="68" customFormat="1" ht="12.75">
      <c r="A240" s="131" t="s">
        <v>8</v>
      </c>
      <c r="B240" s="121" t="s">
        <v>614</v>
      </c>
      <c r="C240" s="121" t="s">
        <v>69</v>
      </c>
      <c r="D240" s="121" t="s">
        <v>36</v>
      </c>
      <c r="E240" s="121"/>
      <c r="F240" s="113"/>
      <c r="G240" s="182">
        <f>G241</f>
        <v>1752.9</v>
      </c>
      <c r="H240" s="106"/>
      <c r="I240" s="106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100"/>
      <c r="AM240" s="100"/>
      <c r="AN240" s="100"/>
      <c r="AO240" s="100"/>
    </row>
    <row r="241" spans="1:41" s="68" customFormat="1" ht="12.75">
      <c r="A241" s="134" t="s">
        <v>11</v>
      </c>
      <c r="B241" s="120" t="s">
        <v>614</v>
      </c>
      <c r="C241" s="121" t="s">
        <v>69</v>
      </c>
      <c r="D241" s="121" t="s">
        <v>75</v>
      </c>
      <c r="E241" s="121"/>
      <c r="F241" s="113"/>
      <c r="G241" s="182">
        <f>G242</f>
        <v>1752.9</v>
      </c>
      <c r="H241" s="106"/>
      <c r="I241" s="106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100"/>
      <c r="AM241" s="100"/>
      <c r="AN241" s="100"/>
      <c r="AO241" s="100"/>
    </row>
    <row r="242" spans="1:41" s="5" customFormat="1" ht="45">
      <c r="A242" s="134" t="s">
        <v>102</v>
      </c>
      <c r="B242" s="120" t="s">
        <v>614</v>
      </c>
      <c r="C242" s="120" t="s">
        <v>69</v>
      </c>
      <c r="D242" s="120" t="s">
        <v>75</v>
      </c>
      <c r="E242" s="120" t="s">
        <v>103</v>
      </c>
      <c r="F242" s="117"/>
      <c r="G242" s="183">
        <f>G243</f>
        <v>1752.9</v>
      </c>
      <c r="H242" s="102"/>
      <c r="I242" s="102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</row>
    <row r="243" spans="1:41" s="5" customFormat="1" ht="22.5">
      <c r="A243" s="134" t="s">
        <v>93</v>
      </c>
      <c r="B243" s="120" t="s">
        <v>614</v>
      </c>
      <c r="C243" s="120" t="s">
        <v>69</v>
      </c>
      <c r="D243" s="120" t="s">
        <v>75</v>
      </c>
      <c r="E243" s="120" t="s">
        <v>94</v>
      </c>
      <c r="F243" s="117"/>
      <c r="G243" s="183">
        <f>G244+G246</f>
        <v>1752.9</v>
      </c>
      <c r="H243" s="102"/>
      <c r="I243" s="102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</row>
    <row r="244" spans="1:41" s="5" customFormat="1" ht="12.75">
      <c r="A244" s="134" t="s">
        <v>158</v>
      </c>
      <c r="B244" s="120" t="s">
        <v>614</v>
      </c>
      <c r="C244" s="120" t="s">
        <v>69</v>
      </c>
      <c r="D244" s="120" t="s">
        <v>75</v>
      </c>
      <c r="E244" s="120" t="s">
        <v>95</v>
      </c>
      <c r="F244" s="117"/>
      <c r="G244" s="183">
        <f>G245</f>
        <v>1346.3</v>
      </c>
      <c r="H244" s="102"/>
      <c r="I244" s="102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</row>
    <row r="245" spans="1:41" s="5" customFormat="1" ht="12.75">
      <c r="A245" s="134" t="s">
        <v>153</v>
      </c>
      <c r="B245" s="120" t="s">
        <v>614</v>
      </c>
      <c r="C245" s="120" t="s">
        <v>69</v>
      </c>
      <c r="D245" s="120" t="s">
        <v>75</v>
      </c>
      <c r="E245" s="120" t="s">
        <v>95</v>
      </c>
      <c r="F245" s="117">
        <v>721</v>
      </c>
      <c r="G245" s="183">
        <v>1346.3</v>
      </c>
      <c r="H245" s="102"/>
      <c r="I245" s="102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</row>
    <row r="246" spans="1:41" s="5" customFormat="1" ht="33.75">
      <c r="A246" s="134" t="s">
        <v>160</v>
      </c>
      <c r="B246" s="120" t="s">
        <v>614</v>
      </c>
      <c r="C246" s="120" t="s">
        <v>69</v>
      </c>
      <c r="D246" s="120" t="s">
        <v>75</v>
      </c>
      <c r="E246" s="120" t="s">
        <v>159</v>
      </c>
      <c r="F246" s="117"/>
      <c r="G246" s="183">
        <f>G247</f>
        <v>406.6</v>
      </c>
      <c r="H246" s="102"/>
      <c r="I246" s="102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</row>
    <row r="247" spans="1:41" s="5" customFormat="1" ht="12.75">
      <c r="A247" s="134" t="s">
        <v>153</v>
      </c>
      <c r="B247" s="120" t="s">
        <v>614</v>
      </c>
      <c r="C247" s="120" t="s">
        <v>69</v>
      </c>
      <c r="D247" s="120" t="s">
        <v>75</v>
      </c>
      <c r="E247" s="120" t="s">
        <v>159</v>
      </c>
      <c r="F247" s="117">
        <v>721</v>
      </c>
      <c r="G247" s="183">
        <v>406.6</v>
      </c>
      <c r="H247" s="102"/>
      <c r="I247" s="102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</row>
    <row r="248" spans="1:41" s="69" customFormat="1" ht="32.25">
      <c r="A248" s="136" t="s">
        <v>458</v>
      </c>
      <c r="B248" s="121" t="s">
        <v>622</v>
      </c>
      <c r="C248" s="121"/>
      <c r="D248" s="121"/>
      <c r="E248" s="121"/>
      <c r="F248" s="113"/>
      <c r="G248" s="182">
        <f>G249</f>
        <v>2319.17</v>
      </c>
      <c r="H248" s="210"/>
      <c r="I248" s="210"/>
      <c r="J248" s="210"/>
      <c r="K248" s="210"/>
      <c r="L248" s="210"/>
      <c r="M248" s="210"/>
      <c r="N248" s="210"/>
      <c r="O248" s="210"/>
      <c r="P248" s="210"/>
      <c r="Q248" s="210"/>
      <c r="R248" s="210"/>
      <c r="S248" s="210"/>
      <c r="T248" s="210"/>
      <c r="U248" s="210"/>
      <c r="V248" s="210"/>
      <c r="W248" s="210"/>
      <c r="X248" s="210"/>
      <c r="Y248" s="210"/>
      <c r="Z248" s="210"/>
      <c r="AA248" s="210"/>
      <c r="AB248" s="210"/>
      <c r="AC248" s="210"/>
      <c r="AD248" s="210"/>
      <c r="AE248" s="210"/>
      <c r="AF248" s="210"/>
      <c r="AG248" s="210"/>
      <c r="AH248" s="210"/>
      <c r="AI248" s="210"/>
      <c r="AJ248" s="210"/>
      <c r="AK248" s="210"/>
      <c r="AL248" s="210"/>
      <c r="AM248" s="210"/>
      <c r="AN248" s="210"/>
      <c r="AO248" s="210"/>
    </row>
    <row r="249" spans="1:41" s="69" customFormat="1" ht="12.75">
      <c r="A249" s="136" t="s">
        <v>62</v>
      </c>
      <c r="B249" s="121" t="s">
        <v>622</v>
      </c>
      <c r="C249" s="121" t="s">
        <v>71</v>
      </c>
      <c r="D249" s="121" t="s">
        <v>36</v>
      </c>
      <c r="E249" s="121"/>
      <c r="F249" s="113"/>
      <c r="G249" s="182">
        <f>G250</f>
        <v>2319.17</v>
      </c>
      <c r="H249" s="210"/>
      <c r="I249" s="210"/>
      <c r="J249" s="210"/>
      <c r="K249" s="210"/>
      <c r="L249" s="210"/>
      <c r="M249" s="210"/>
      <c r="N249" s="210"/>
      <c r="O249" s="210"/>
      <c r="P249" s="210"/>
      <c r="Q249" s="210"/>
      <c r="R249" s="210"/>
      <c r="S249" s="210"/>
      <c r="T249" s="210"/>
      <c r="U249" s="210"/>
      <c r="V249" s="210"/>
      <c r="W249" s="210"/>
      <c r="X249" s="210"/>
      <c r="Y249" s="210"/>
      <c r="Z249" s="210"/>
      <c r="AA249" s="210"/>
      <c r="AB249" s="210"/>
      <c r="AC249" s="210"/>
      <c r="AD249" s="210"/>
      <c r="AE249" s="210"/>
      <c r="AF249" s="210"/>
      <c r="AG249" s="210"/>
      <c r="AH249" s="210"/>
      <c r="AI249" s="210"/>
      <c r="AJ249" s="210"/>
      <c r="AK249" s="210"/>
      <c r="AL249" s="210"/>
      <c r="AM249" s="210"/>
      <c r="AN249" s="210"/>
      <c r="AO249" s="210"/>
    </row>
    <row r="250" spans="1:41" s="69" customFormat="1" ht="12.75">
      <c r="A250" s="134" t="s">
        <v>152</v>
      </c>
      <c r="B250" s="120" t="s">
        <v>622</v>
      </c>
      <c r="C250" s="120" t="s">
        <v>71</v>
      </c>
      <c r="D250" s="120" t="s">
        <v>76</v>
      </c>
      <c r="E250" s="121"/>
      <c r="F250" s="113"/>
      <c r="G250" s="182">
        <f>G251+G259</f>
        <v>2319.17</v>
      </c>
      <c r="H250" s="210"/>
      <c r="I250" s="210"/>
      <c r="J250" s="210"/>
      <c r="K250" s="210"/>
      <c r="L250" s="210"/>
      <c r="M250" s="210"/>
      <c r="N250" s="210"/>
      <c r="O250" s="210"/>
      <c r="P250" s="210"/>
      <c r="Q250" s="210"/>
      <c r="R250" s="210"/>
      <c r="S250" s="210"/>
      <c r="T250" s="210"/>
      <c r="U250" s="210"/>
      <c r="V250" s="210"/>
      <c r="W250" s="210"/>
      <c r="X250" s="210"/>
      <c r="Y250" s="210"/>
      <c r="Z250" s="210"/>
      <c r="AA250" s="210"/>
      <c r="AB250" s="210"/>
      <c r="AC250" s="210"/>
      <c r="AD250" s="210"/>
      <c r="AE250" s="210"/>
      <c r="AF250" s="210"/>
      <c r="AG250" s="210"/>
      <c r="AH250" s="210"/>
      <c r="AI250" s="210"/>
      <c r="AJ250" s="210"/>
      <c r="AK250" s="210"/>
      <c r="AL250" s="210"/>
      <c r="AM250" s="210"/>
      <c r="AN250" s="210"/>
      <c r="AO250" s="210"/>
    </row>
    <row r="251" spans="1:41" s="72" customFormat="1" ht="45">
      <c r="A251" s="134" t="s">
        <v>102</v>
      </c>
      <c r="B251" s="120" t="s">
        <v>622</v>
      </c>
      <c r="C251" s="120" t="s">
        <v>71</v>
      </c>
      <c r="D251" s="120" t="s">
        <v>76</v>
      </c>
      <c r="E251" s="120" t="s">
        <v>103</v>
      </c>
      <c r="F251" s="117"/>
      <c r="G251" s="183">
        <f>G252</f>
        <v>2122.4700000000003</v>
      </c>
      <c r="H251" s="212"/>
      <c r="I251" s="212"/>
      <c r="J251" s="212"/>
      <c r="K251" s="212"/>
      <c r="L251" s="212"/>
      <c r="M251" s="212"/>
      <c r="N251" s="212"/>
      <c r="O251" s="212"/>
      <c r="P251" s="212"/>
      <c r="Q251" s="212"/>
      <c r="R251" s="212"/>
      <c r="S251" s="212"/>
      <c r="T251" s="212"/>
      <c r="U251" s="212"/>
      <c r="V251" s="212"/>
      <c r="W251" s="212"/>
      <c r="X251" s="212"/>
      <c r="Y251" s="212"/>
      <c r="Z251" s="212"/>
      <c r="AA251" s="212"/>
      <c r="AB251" s="212"/>
      <c r="AC251" s="212"/>
      <c r="AD251" s="212"/>
      <c r="AE251" s="212"/>
      <c r="AF251" s="212"/>
      <c r="AG251" s="212"/>
      <c r="AH251" s="212"/>
      <c r="AI251" s="212"/>
      <c r="AJ251" s="212"/>
      <c r="AK251" s="212"/>
      <c r="AL251" s="212"/>
      <c r="AM251" s="212"/>
      <c r="AN251" s="212"/>
      <c r="AO251" s="212"/>
    </row>
    <row r="252" spans="1:41" s="72" customFormat="1" ht="22.5">
      <c r="A252" s="134" t="s">
        <v>93</v>
      </c>
      <c r="B252" s="120" t="s">
        <v>622</v>
      </c>
      <c r="C252" s="120" t="s">
        <v>71</v>
      </c>
      <c r="D252" s="120" t="s">
        <v>76</v>
      </c>
      <c r="E252" s="120" t="s">
        <v>94</v>
      </c>
      <c r="F252" s="117"/>
      <c r="G252" s="183">
        <f>G253+G255+G257</f>
        <v>2122.4700000000003</v>
      </c>
      <c r="H252" s="212"/>
      <c r="I252" s="212"/>
      <c r="J252" s="212"/>
      <c r="K252" s="212"/>
      <c r="L252" s="212"/>
      <c r="M252" s="212"/>
      <c r="N252" s="212"/>
      <c r="O252" s="212"/>
      <c r="P252" s="212"/>
      <c r="Q252" s="212"/>
      <c r="R252" s="212"/>
      <c r="S252" s="212"/>
      <c r="T252" s="212"/>
      <c r="U252" s="212"/>
      <c r="V252" s="212"/>
      <c r="W252" s="212"/>
      <c r="X252" s="212"/>
      <c r="Y252" s="212"/>
      <c r="Z252" s="212"/>
      <c r="AA252" s="212"/>
      <c r="AB252" s="212"/>
      <c r="AC252" s="212"/>
      <c r="AD252" s="212"/>
      <c r="AE252" s="212"/>
      <c r="AF252" s="212"/>
      <c r="AG252" s="212"/>
      <c r="AH252" s="212"/>
      <c r="AI252" s="212"/>
      <c r="AJ252" s="212"/>
      <c r="AK252" s="212"/>
      <c r="AL252" s="212"/>
      <c r="AM252" s="212"/>
      <c r="AN252" s="212"/>
      <c r="AO252" s="212"/>
    </row>
    <row r="253" spans="1:41" s="72" customFormat="1" ht="12.75">
      <c r="A253" s="134" t="s">
        <v>158</v>
      </c>
      <c r="B253" s="120" t="s">
        <v>622</v>
      </c>
      <c r="C253" s="120" t="s">
        <v>71</v>
      </c>
      <c r="D253" s="120" t="s">
        <v>76</v>
      </c>
      <c r="E253" s="120" t="s">
        <v>95</v>
      </c>
      <c r="F253" s="117"/>
      <c r="G253" s="183">
        <f>G254</f>
        <v>1537</v>
      </c>
      <c r="H253" s="212"/>
      <c r="I253" s="212"/>
      <c r="J253" s="212"/>
      <c r="K253" s="212"/>
      <c r="L253" s="212"/>
      <c r="M253" s="212"/>
      <c r="N253" s="212"/>
      <c r="O253" s="212"/>
      <c r="P253" s="212"/>
      <c r="Q253" s="212"/>
      <c r="R253" s="212"/>
      <c r="S253" s="212"/>
      <c r="T253" s="212"/>
      <c r="U253" s="212"/>
      <c r="V253" s="212"/>
      <c r="W253" s="212"/>
      <c r="X253" s="212"/>
      <c r="Y253" s="212"/>
      <c r="Z253" s="212"/>
      <c r="AA253" s="212"/>
      <c r="AB253" s="212"/>
      <c r="AC253" s="212"/>
      <c r="AD253" s="212"/>
      <c r="AE253" s="212"/>
      <c r="AF253" s="212"/>
      <c r="AG253" s="212"/>
      <c r="AH253" s="212"/>
      <c r="AI253" s="212"/>
      <c r="AJ253" s="212"/>
      <c r="AK253" s="212"/>
      <c r="AL253" s="212"/>
      <c r="AM253" s="212"/>
      <c r="AN253" s="212"/>
      <c r="AO253" s="212"/>
    </row>
    <row r="254" spans="1:41" s="72" customFormat="1" ht="12.75">
      <c r="A254" s="134" t="s">
        <v>153</v>
      </c>
      <c r="B254" s="120" t="s">
        <v>622</v>
      </c>
      <c r="C254" s="120" t="s">
        <v>71</v>
      </c>
      <c r="D254" s="120" t="s">
        <v>76</v>
      </c>
      <c r="E254" s="120" t="s">
        <v>95</v>
      </c>
      <c r="F254" s="117">
        <v>721</v>
      </c>
      <c r="G254" s="183">
        <f>1517+20</f>
        <v>1537</v>
      </c>
      <c r="H254" s="212"/>
      <c r="I254" s="212"/>
      <c r="J254" s="212"/>
      <c r="K254" s="212"/>
      <c r="L254" s="212"/>
      <c r="M254" s="212"/>
      <c r="N254" s="212"/>
      <c r="O254" s="212"/>
      <c r="P254" s="212"/>
      <c r="Q254" s="212"/>
      <c r="R254" s="212"/>
      <c r="S254" s="212"/>
      <c r="T254" s="212"/>
      <c r="U254" s="212"/>
      <c r="V254" s="212"/>
      <c r="W254" s="212"/>
      <c r="X254" s="212"/>
      <c r="Y254" s="212"/>
      <c r="Z254" s="212"/>
      <c r="AA254" s="212"/>
      <c r="AB254" s="212"/>
      <c r="AC254" s="212"/>
      <c r="AD254" s="212"/>
      <c r="AE254" s="212"/>
      <c r="AF254" s="212"/>
      <c r="AG254" s="212"/>
      <c r="AH254" s="212"/>
      <c r="AI254" s="212"/>
      <c r="AJ254" s="212"/>
      <c r="AK254" s="212"/>
      <c r="AL254" s="212"/>
      <c r="AM254" s="212"/>
      <c r="AN254" s="212"/>
      <c r="AO254" s="212"/>
    </row>
    <row r="255" spans="1:41" s="72" customFormat="1" ht="22.5">
      <c r="A255" s="134" t="s">
        <v>96</v>
      </c>
      <c r="B255" s="120" t="s">
        <v>622</v>
      </c>
      <c r="C255" s="120" t="s">
        <v>71</v>
      </c>
      <c r="D255" s="120" t="s">
        <v>76</v>
      </c>
      <c r="E255" s="120" t="s">
        <v>97</v>
      </c>
      <c r="F255" s="117"/>
      <c r="G255" s="183">
        <f>G256</f>
        <v>130.67000000000002</v>
      </c>
      <c r="H255" s="212"/>
      <c r="I255" s="212"/>
      <c r="J255" s="212"/>
      <c r="K255" s="212"/>
      <c r="L255" s="212"/>
      <c r="M255" s="212"/>
      <c r="N255" s="212"/>
      <c r="O255" s="212"/>
      <c r="P255" s="212"/>
      <c r="Q255" s="212"/>
      <c r="R255" s="212"/>
      <c r="S255" s="212"/>
      <c r="T255" s="212"/>
      <c r="U255" s="212"/>
      <c r="V255" s="212"/>
      <c r="W255" s="212"/>
      <c r="X255" s="212"/>
      <c r="Y255" s="212"/>
      <c r="Z255" s="212"/>
      <c r="AA255" s="212"/>
      <c r="AB255" s="212"/>
      <c r="AC255" s="212"/>
      <c r="AD255" s="212"/>
      <c r="AE255" s="212"/>
      <c r="AF255" s="212"/>
      <c r="AG255" s="212"/>
      <c r="AH255" s="212"/>
      <c r="AI255" s="212"/>
      <c r="AJ255" s="212"/>
      <c r="AK255" s="212"/>
      <c r="AL255" s="212"/>
      <c r="AM255" s="212"/>
      <c r="AN255" s="212"/>
      <c r="AO255" s="212"/>
    </row>
    <row r="256" spans="1:41" s="72" customFormat="1" ht="12.75">
      <c r="A256" s="134" t="s">
        <v>153</v>
      </c>
      <c r="B256" s="120" t="s">
        <v>622</v>
      </c>
      <c r="C256" s="120" t="s">
        <v>71</v>
      </c>
      <c r="D256" s="120" t="s">
        <v>76</v>
      </c>
      <c r="E256" s="120" t="s">
        <v>97</v>
      </c>
      <c r="F256" s="117">
        <v>721</v>
      </c>
      <c r="G256" s="183">
        <f>160-29.33</f>
        <v>130.67000000000002</v>
      </c>
      <c r="H256" s="212"/>
      <c r="I256" s="212"/>
      <c r="J256" s="212"/>
      <c r="K256" s="212"/>
      <c r="L256" s="212"/>
      <c r="M256" s="212"/>
      <c r="N256" s="212"/>
      <c r="O256" s="212"/>
      <c r="P256" s="212"/>
      <c r="Q256" s="212"/>
      <c r="R256" s="212"/>
      <c r="S256" s="212"/>
      <c r="T256" s="212"/>
      <c r="U256" s="212"/>
      <c r="V256" s="212"/>
      <c r="W256" s="212"/>
      <c r="X256" s="212"/>
      <c r="Y256" s="212"/>
      <c r="Z256" s="212"/>
      <c r="AA256" s="212"/>
      <c r="AB256" s="212"/>
      <c r="AC256" s="212"/>
      <c r="AD256" s="212"/>
      <c r="AE256" s="212"/>
      <c r="AF256" s="212"/>
      <c r="AG256" s="212"/>
      <c r="AH256" s="212"/>
      <c r="AI256" s="212"/>
      <c r="AJ256" s="212"/>
      <c r="AK256" s="212"/>
      <c r="AL256" s="212"/>
      <c r="AM256" s="212"/>
      <c r="AN256" s="212"/>
      <c r="AO256" s="212"/>
    </row>
    <row r="257" spans="1:41" s="72" customFormat="1" ht="33.75">
      <c r="A257" s="134" t="s">
        <v>160</v>
      </c>
      <c r="B257" s="120" t="s">
        <v>622</v>
      </c>
      <c r="C257" s="120" t="s">
        <v>71</v>
      </c>
      <c r="D257" s="120" t="s">
        <v>76</v>
      </c>
      <c r="E257" s="120" t="s">
        <v>159</v>
      </c>
      <c r="F257" s="117"/>
      <c r="G257" s="183">
        <f>G258</f>
        <v>454.8</v>
      </c>
      <c r="H257" s="212"/>
      <c r="I257" s="212"/>
      <c r="J257" s="212"/>
      <c r="K257" s="212"/>
      <c r="L257" s="212"/>
      <c r="M257" s="212"/>
      <c r="N257" s="212"/>
      <c r="O257" s="212"/>
      <c r="P257" s="212"/>
      <c r="Q257" s="212"/>
      <c r="R257" s="212"/>
      <c r="S257" s="212"/>
      <c r="T257" s="212"/>
      <c r="U257" s="212"/>
      <c r="V257" s="212"/>
      <c r="W257" s="212"/>
      <c r="X257" s="212"/>
      <c r="Y257" s="212"/>
      <c r="Z257" s="212"/>
      <c r="AA257" s="212"/>
      <c r="AB257" s="212"/>
      <c r="AC257" s="212"/>
      <c r="AD257" s="212"/>
      <c r="AE257" s="212"/>
      <c r="AF257" s="212"/>
      <c r="AG257" s="212"/>
      <c r="AH257" s="212"/>
      <c r="AI257" s="212"/>
      <c r="AJ257" s="212"/>
      <c r="AK257" s="212"/>
      <c r="AL257" s="212"/>
      <c r="AM257" s="212"/>
      <c r="AN257" s="212"/>
      <c r="AO257" s="212"/>
    </row>
    <row r="258" spans="1:41" s="72" customFormat="1" ht="12.75">
      <c r="A258" s="134" t="s">
        <v>153</v>
      </c>
      <c r="B258" s="120" t="s">
        <v>622</v>
      </c>
      <c r="C258" s="120" t="s">
        <v>71</v>
      </c>
      <c r="D258" s="120" t="s">
        <v>76</v>
      </c>
      <c r="E258" s="120" t="s">
        <v>159</v>
      </c>
      <c r="F258" s="117">
        <v>721</v>
      </c>
      <c r="G258" s="183">
        <v>454.8</v>
      </c>
      <c r="H258" s="212"/>
      <c r="I258" s="212"/>
      <c r="J258" s="212"/>
      <c r="K258" s="212"/>
      <c r="L258" s="212"/>
      <c r="M258" s="212"/>
      <c r="N258" s="212"/>
      <c r="O258" s="212"/>
      <c r="P258" s="212"/>
      <c r="Q258" s="212"/>
      <c r="R258" s="212"/>
      <c r="S258" s="212"/>
      <c r="T258" s="212"/>
      <c r="U258" s="212"/>
      <c r="V258" s="212"/>
      <c r="W258" s="212"/>
      <c r="X258" s="212"/>
      <c r="Y258" s="212"/>
      <c r="Z258" s="212"/>
      <c r="AA258" s="212"/>
      <c r="AB258" s="212"/>
      <c r="AC258" s="212"/>
      <c r="AD258" s="212"/>
      <c r="AE258" s="212"/>
      <c r="AF258" s="212"/>
      <c r="AG258" s="212"/>
      <c r="AH258" s="212"/>
      <c r="AI258" s="212"/>
      <c r="AJ258" s="212"/>
      <c r="AK258" s="212"/>
      <c r="AL258" s="212"/>
      <c r="AM258" s="212"/>
      <c r="AN258" s="212"/>
      <c r="AO258" s="212"/>
    </row>
    <row r="259" spans="1:41" s="72" customFormat="1" ht="22.5">
      <c r="A259" s="134" t="s">
        <v>610</v>
      </c>
      <c r="B259" s="120" t="s">
        <v>622</v>
      </c>
      <c r="C259" s="120" t="s">
        <v>71</v>
      </c>
      <c r="D259" s="120" t="s">
        <v>76</v>
      </c>
      <c r="E259" s="120" t="s">
        <v>104</v>
      </c>
      <c r="F259" s="117"/>
      <c r="G259" s="183">
        <f>G260</f>
        <v>196.7</v>
      </c>
      <c r="H259" s="212"/>
      <c r="I259" s="212"/>
      <c r="J259" s="212"/>
      <c r="K259" s="212"/>
      <c r="L259" s="212"/>
      <c r="M259" s="212"/>
      <c r="N259" s="212"/>
      <c r="O259" s="212"/>
      <c r="P259" s="212"/>
      <c r="Q259" s="212"/>
      <c r="R259" s="212"/>
      <c r="S259" s="212"/>
      <c r="T259" s="212"/>
      <c r="U259" s="212"/>
      <c r="V259" s="212"/>
      <c r="W259" s="212"/>
      <c r="X259" s="212"/>
      <c r="Y259" s="212"/>
      <c r="Z259" s="212"/>
      <c r="AA259" s="212"/>
      <c r="AB259" s="212"/>
      <c r="AC259" s="212"/>
      <c r="AD259" s="212"/>
      <c r="AE259" s="212"/>
      <c r="AF259" s="212"/>
      <c r="AG259" s="212"/>
      <c r="AH259" s="212"/>
      <c r="AI259" s="212"/>
      <c r="AJ259" s="212"/>
      <c r="AK259" s="212"/>
      <c r="AL259" s="212"/>
      <c r="AM259" s="212"/>
      <c r="AN259" s="212"/>
      <c r="AO259" s="212"/>
    </row>
    <row r="260" spans="1:41" s="72" customFormat="1" ht="22.5">
      <c r="A260" s="134" t="s">
        <v>98</v>
      </c>
      <c r="B260" s="120" t="s">
        <v>622</v>
      </c>
      <c r="C260" s="120" t="s">
        <v>71</v>
      </c>
      <c r="D260" s="120" t="s">
        <v>76</v>
      </c>
      <c r="E260" s="120" t="s">
        <v>99</v>
      </c>
      <c r="F260" s="117"/>
      <c r="G260" s="183">
        <f>G261</f>
        <v>196.7</v>
      </c>
      <c r="H260" s="212"/>
      <c r="I260" s="212"/>
      <c r="J260" s="212"/>
      <c r="K260" s="212"/>
      <c r="L260" s="212"/>
      <c r="M260" s="212"/>
      <c r="N260" s="212"/>
      <c r="O260" s="212"/>
      <c r="P260" s="212"/>
      <c r="Q260" s="212"/>
      <c r="R260" s="212"/>
      <c r="S260" s="212"/>
      <c r="T260" s="212"/>
      <c r="U260" s="212"/>
      <c r="V260" s="212"/>
      <c r="W260" s="212"/>
      <c r="X260" s="212"/>
      <c r="Y260" s="212"/>
      <c r="Z260" s="212"/>
      <c r="AA260" s="212"/>
      <c r="AB260" s="212"/>
      <c r="AC260" s="212"/>
      <c r="AD260" s="212"/>
      <c r="AE260" s="212"/>
      <c r="AF260" s="212"/>
      <c r="AG260" s="212"/>
      <c r="AH260" s="212"/>
      <c r="AI260" s="212"/>
      <c r="AJ260" s="212"/>
      <c r="AK260" s="212"/>
      <c r="AL260" s="212"/>
      <c r="AM260" s="212"/>
      <c r="AN260" s="212"/>
      <c r="AO260" s="212"/>
    </row>
    <row r="261" spans="1:41" s="72" customFormat="1" ht="22.5">
      <c r="A261" s="134" t="s">
        <v>100</v>
      </c>
      <c r="B261" s="120" t="s">
        <v>622</v>
      </c>
      <c r="C261" s="120" t="s">
        <v>71</v>
      </c>
      <c r="D261" s="120" t="s">
        <v>76</v>
      </c>
      <c r="E261" s="120" t="s">
        <v>101</v>
      </c>
      <c r="F261" s="117"/>
      <c r="G261" s="183">
        <f>G262</f>
        <v>196.7</v>
      </c>
      <c r="H261" s="212"/>
      <c r="I261" s="212"/>
      <c r="J261" s="212"/>
      <c r="K261" s="212"/>
      <c r="L261" s="212"/>
      <c r="M261" s="212"/>
      <c r="N261" s="212"/>
      <c r="O261" s="212"/>
      <c r="P261" s="212"/>
      <c r="Q261" s="212"/>
      <c r="R261" s="212"/>
      <c r="S261" s="212"/>
      <c r="T261" s="212"/>
      <c r="U261" s="212"/>
      <c r="V261" s="212"/>
      <c r="W261" s="212"/>
      <c r="X261" s="212"/>
      <c r="Y261" s="212"/>
      <c r="Z261" s="212"/>
      <c r="AA261" s="212"/>
      <c r="AB261" s="212"/>
      <c r="AC261" s="212"/>
      <c r="AD261" s="212"/>
      <c r="AE261" s="212"/>
      <c r="AF261" s="212"/>
      <c r="AG261" s="212"/>
      <c r="AH261" s="212"/>
      <c r="AI261" s="212"/>
      <c r="AJ261" s="212"/>
      <c r="AK261" s="212"/>
      <c r="AL261" s="212"/>
      <c r="AM261" s="212"/>
      <c r="AN261" s="212"/>
      <c r="AO261" s="212"/>
    </row>
    <row r="262" spans="1:41" s="72" customFormat="1" ht="12.75">
      <c r="A262" s="134" t="s">
        <v>153</v>
      </c>
      <c r="B262" s="120" t="s">
        <v>622</v>
      </c>
      <c r="C262" s="120" t="s">
        <v>71</v>
      </c>
      <c r="D262" s="120" t="s">
        <v>76</v>
      </c>
      <c r="E262" s="120" t="s">
        <v>101</v>
      </c>
      <c r="F262" s="117">
        <v>721</v>
      </c>
      <c r="G262" s="183">
        <f>193.2+3.5</f>
        <v>196.7</v>
      </c>
      <c r="H262" s="212"/>
      <c r="I262" s="212"/>
      <c r="J262" s="212"/>
      <c r="K262" s="212"/>
      <c r="L262" s="212"/>
      <c r="M262" s="212"/>
      <c r="N262" s="212"/>
      <c r="O262" s="212"/>
      <c r="P262" s="212"/>
      <c r="Q262" s="212"/>
      <c r="R262" s="212"/>
      <c r="S262" s="212"/>
      <c r="T262" s="212"/>
      <c r="U262" s="212"/>
      <c r="V262" s="212"/>
      <c r="W262" s="212"/>
      <c r="X262" s="212"/>
      <c r="Y262" s="212"/>
      <c r="Z262" s="212"/>
      <c r="AA262" s="212"/>
      <c r="AB262" s="212"/>
      <c r="AC262" s="212"/>
      <c r="AD262" s="212"/>
      <c r="AE262" s="212"/>
      <c r="AF262" s="212"/>
      <c r="AG262" s="212"/>
      <c r="AH262" s="212"/>
      <c r="AI262" s="212"/>
      <c r="AJ262" s="212"/>
      <c r="AK262" s="212"/>
      <c r="AL262" s="212"/>
      <c r="AM262" s="212"/>
      <c r="AN262" s="212"/>
      <c r="AO262" s="212"/>
    </row>
    <row r="263" spans="1:41" s="5" customFormat="1" ht="12.75">
      <c r="A263" s="131" t="s">
        <v>531</v>
      </c>
      <c r="B263" s="114" t="s">
        <v>183</v>
      </c>
      <c r="C263" s="116"/>
      <c r="D263" s="116"/>
      <c r="E263" s="117"/>
      <c r="F263" s="117"/>
      <c r="G263" s="182">
        <f>G264</f>
        <v>434</v>
      </c>
      <c r="H263" s="102"/>
      <c r="I263" s="102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</row>
    <row r="264" spans="1:41" s="5" customFormat="1" ht="21.75">
      <c r="A264" s="131" t="s">
        <v>253</v>
      </c>
      <c r="B264" s="114" t="s">
        <v>331</v>
      </c>
      <c r="C264" s="116"/>
      <c r="D264" s="116"/>
      <c r="E264" s="117"/>
      <c r="F264" s="117"/>
      <c r="G264" s="182">
        <f>G265+G281</f>
        <v>434</v>
      </c>
      <c r="H264" s="102"/>
      <c r="I264" s="102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</row>
    <row r="265" spans="1:41" s="5" customFormat="1" ht="12.75">
      <c r="A265" s="131" t="s">
        <v>184</v>
      </c>
      <c r="B265" s="114" t="s">
        <v>332</v>
      </c>
      <c r="C265" s="116"/>
      <c r="D265" s="116"/>
      <c r="E265" s="117"/>
      <c r="F265" s="117"/>
      <c r="G265" s="182">
        <f>G266</f>
        <v>367</v>
      </c>
      <c r="H265" s="102"/>
      <c r="I265" s="102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</row>
    <row r="266" spans="1:41" s="5" customFormat="1" ht="12.75">
      <c r="A266" s="131" t="s">
        <v>8</v>
      </c>
      <c r="B266" s="114" t="s">
        <v>332</v>
      </c>
      <c r="C266" s="116" t="s">
        <v>69</v>
      </c>
      <c r="D266" s="116" t="s">
        <v>36</v>
      </c>
      <c r="E266" s="117"/>
      <c r="F266" s="117"/>
      <c r="G266" s="182">
        <f>G267</f>
        <v>367</v>
      </c>
      <c r="H266" s="102"/>
      <c r="I266" s="102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</row>
    <row r="267" spans="1:41" s="5" customFormat="1" ht="12.75">
      <c r="A267" s="132" t="s">
        <v>613</v>
      </c>
      <c r="B267" s="118" t="s">
        <v>332</v>
      </c>
      <c r="C267" s="119" t="s">
        <v>69</v>
      </c>
      <c r="D267" s="119" t="s">
        <v>69</v>
      </c>
      <c r="E267" s="117"/>
      <c r="F267" s="117"/>
      <c r="G267" s="183">
        <f>G268+G272+G277</f>
        <v>367</v>
      </c>
      <c r="H267" s="102"/>
      <c r="I267" s="102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</row>
    <row r="268" spans="1:41" s="5" customFormat="1" ht="22.5">
      <c r="A268" s="134" t="s">
        <v>610</v>
      </c>
      <c r="B268" s="118" t="s">
        <v>332</v>
      </c>
      <c r="C268" s="119" t="s">
        <v>69</v>
      </c>
      <c r="D268" s="119" t="s">
        <v>69</v>
      </c>
      <c r="E268" s="120" t="s">
        <v>104</v>
      </c>
      <c r="F268" s="117"/>
      <c r="G268" s="183">
        <f>G269</f>
        <v>24.4</v>
      </c>
      <c r="H268" s="102"/>
      <c r="I268" s="102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</row>
    <row r="269" spans="1:41" s="5" customFormat="1" ht="21.75" customHeight="1">
      <c r="A269" s="134" t="s">
        <v>98</v>
      </c>
      <c r="B269" s="118" t="s">
        <v>332</v>
      </c>
      <c r="C269" s="119" t="s">
        <v>69</v>
      </c>
      <c r="D269" s="119" t="s">
        <v>69</v>
      </c>
      <c r="E269" s="120" t="s">
        <v>99</v>
      </c>
      <c r="F269" s="117"/>
      <c r="G269" s="183">
        <f>G270</f>
        <v>24.4</v>
      </c>
      <c r="H269" s="102"/>
      <c r="I269" s="102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</row>
    <row r="270" spans="1:41" s="5" customFormat="1" ht="22.5">
      <c r="A270" s="134" t="s">
        <v>100</v>
      </c>
      <c r="B270" s="118" t="s">
        <v>332</v>
      </c>
      <c r="C270" s="119" t="s">
        <v>69</v>
      </c>
      <c r="D270" s="119" t="s">
        <v>69</v>
      </c>
      <c r="E270" s="120" t="s">
        <v>101</v>
      </c>
      <c r="F270" s="117"/>
      <c r="G270" s="183">
        <f>G271</f>
        <v>24.4</v>
      </c>
      <c r="H270" s="102"/>
      <c r="I270" s="102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</row>
    <row r="271" spans="1:41" s="5" customFormat="1" ht="13.5" customHeight="1">
      <c r="A271" s="132" t="s">
        <v>156</v>
      </c>
      <c r="B271" s="118" t="s">
        <v>332</v>
      </c>
      <c r="C271" s="119" t="s">
        <v>69</v>
      </c>
      <c r="D271" s="119" t="s">
        <v>69</v>
      </c>
      <c r="E271" s="120" t="s">
        <v>101</v>
      </c>
      <c r="F271" s="117">
        <v>725</v>
      </c>
      <c r="G271" s="183">
        <f>20+4.4</f>
        <v>24.4</v>
      </c>
      <c r="H271" s="102"/>
      <c r="I271" s="102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</row>
    <row r="272" spans="1:41" s="5" customFormat="1" ht="12.75">
      <c r="A272" s="134" t="s">
        <v>117</v>
      </c>
      <c r="B272" s="118" t="s">
        <v>332</v>
      </c>
      <c r="C272" s="120" t="s">
        <v>69</v>
      </c>
      <c r="D272" s="120" t="s">
        <v>69</v>
      </c>
      <c r="E272" s="120" t="s">
        <v>118</v>
      </c>
      <c r="F272" s="117"/>
      <c r="G272" s="183">
        <f>G273+G275</f>
        <v>252</v>
      </c>
      <c r="H272" s="102"/>
      <c r="I272" s="102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</row>
    <row r="273" spans="1:41" s="5" customFormat="1" ht="12.75">
      <c r="A273" s="134" t="s">
        <v>147</v>
      </c>
      <c r="B273" s="118" t="s">
        <v>332</v>
      </c>
      <c r="C273" s="120" t="s">
        <v>69</v>
      </c>
      <c r="D273" s="120" t="s">
        <v>69</v>
      </c>
      <c r="E273" s="120" t="s">
        <v>146</v>
      </c>
      <c r="F273" s="117"/>
      <c r="G273" s="183">
        <f>G274</f>
        <v>202</v>
      </c>
      <c r="H273" s="102"/>
      <c r="I273" s="102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</row>
    <row r="274" spans="1:41" s="5" customFormat="1" ht="13.5" customHeight="1">
      <c r="A274" s="132" t="s">
        <v>156</v>
      </c>
      <c r="B274" s="118" t="s">
        <v>332</v>
      </c>
      <c r="C274" s="120" t="s">
        <v>69</v>
      </c>
      <c r="D274" s="120" t="s">
        <v>69</v>
      </c>
      <c r="E274" s="120" t="s">
        <v>146</v>
      </c>
      <c r="F274" s="117">
        <v>725</v>
      </c>
      <c r="G274" s="183">
        <f>205-72+72-3</f>
        <v>202</v>
      </c>
      <c r="H274" s="102"/>
      <c r="I274" s="102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</row>
    <row r="275" spans="1:41" s="5" customFormat="1" ht="12.75">
      <c r="A275" s="134" t="s">
        <v>149</v>
      </c>
      <c r="B275" s="118" t="s">
        <v>332</v>
      </c>
      <c r="C275" s="120" t="s">
        <v>69</v>
      </c>
      <c r="D275" s="120" t="s">
        <v>69</v>
      </c>
      <c r="E275" s="120" t="s">
        <v>148</v>
      </c>
      <c r="F275" s="117"/>
      <c r="G275" s="183">
        <f>G276</f>
        <v>50</v>
      </c>
      <c r="H275" s="102"/>
      <c r="I275" s="102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</row>
    <row r="276" spans="1:41" s="5" customFormat="1" ht="12.75" customHeight="1">
      <c r="A276" s="132" t="s">
        <v>156</v>
      </c>
      <c r="B276" s="118" t="s">
        <v>332</v>
      </c>
      <c r="C276" s="120" t="s">
        <v>69</v>
      </c>
      <c r="D276" s="120" t="s">
        <v>69</v>
      </c>
      <c r="E276" s="120" t="s">
        <v>148</v>
      </c>
      <c r="F276" s="117">
        <v>725</v>
      </c>
      <c r="G276" s="183">
        <f>70-20</f>
        <v>50</v>
      </c>
      <c r="H276" s="102"/>
      <c r="I276" s="102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</row>
    <row r="277" spans="1:41" s="5" customFormat="1" ht="22.5">
      <c r="A277" s="134" t="s">
        <v>105</v>
      </c>
      <c r="B277" s="118" t="s">
        <v>332</v>
      </c>
      <c r="C277" s="120" t="s">
        <v>69</v>
      </c>
      <c r="D277" s="120" t="s">
        <v>69</v>
      </c>
      <c r="E277" s="120" t="s">
        <v>106</v>
      </c>
      <c r="F277" s="117"/>
      <c r="G277" s="183">
        <f>G278</f>
        <v>90.6</v>
      </c>
      <c r="H277" s="102"/>
      <c r="I277" s="102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</row>
    <row r="278" spans="1:41" s="5" customFormat="1" ht="12.75">
      <c r="A278" s="134" t="s">
        <v>111</v>
      </c>
      <c r="B278" s="118" t="s">
        <v>332</v>
      </c>
      <c r="C278" s="120" t="s">
        <v>69</v>
      </c>
      <c r="D278" s="120" t="s">
        <v>69</v>
      </c>
      <c r="E278" s="120" t="s">
        <v>112</v>
      </c>
      <c r="F278" s="117"/>
      <c r="G278" s="183">
        <f>G279</f>
        <v>90.6</v>
      </c>
      <c r="H278" s="102"/>
      <c r="I278" s="102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</row>
    <row r="279" spans="1:41" s="5" customFormat="1" ht="12.75">
      <c r="A279" s="134" t="s">
        <v>115</v>
      </c>
      <c r="B279" s="118" t="s">
        <v>332</v>
      </c>
      <c r="C279" s="120" t="s">
        <v>69</v>
      </c>
      <c r="D279" s="120" t="s">
        <v>69</v>
      </c>
      <c r="E279" s="120" t="s">
        <v>116</v>
      </c>
      <c r="F279" s="117"/>
      <c r="G279" s="183">
        <f>G280</f>
        <v>90.6</v>
      </c>
      <c r="H279" s="102"/>
      <c r="I279" s="102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</row>
    <row r="280" spans="1:41" s="5" customFormat="1" ht="13.5" customHeight="1">
      <c r="A280" s="132" t="s">
        <v>156</v>
      </c>
      <c r="B280" s="118" t="s">
        <v>332</v>
      </c>
      <c r="C280" s="120" t="s">
        <v>69</v>
      </c>
      <c r="D280" s="120" t="s">
        <v>69</v>
      </c>
      <c r="E280" s="120" t="s">
        <v>116</v>
      </c>
      <c r="F280" s="117">
        <v>725</v>
      </c>
      <c r="G280" s="183">
        <f>92-1.4</f>
        <v>90.6</v>
      </c>
      <c r="H280" s="102"/>
      <c r="I280" s="102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</row>
    <row r="281" spans="1:41" s="68" customFormat="1" ht="12.75">
      <c r="A281" s="137" t="s">
        <v>532</v>
      </c>
      <c r="B281" s="114" t="s">
        <v>652</v>
      </c>
      <c r="C281" s="121"/>
      <c r="D281" s="121"/>
      <c r="E281" s="121"/>
      <c r="F281" s="113"/>
      <c r="G281" s="182">
        <f>G287</f>
        <v>67</v>
      </c>
      <c r="H281" s="106"/>
      <c r="I281" s="106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  <c r="AJ281" s="100"/>
      <c r="AK281" s="100"/>
      <c r="AL281" s="100"/>
      <c r="AM281" s="100"/>
      <c r="AN281" s="100"/>
      <c r="AO281" s="100"/>
    </row>
    <row r="282" spans="1:41" s="5" customFormat="1" ht="12.75">
      <c r="A282" s="131" t="s">
        <v>8</v>
      </c>
      <c r="B282" s="114" t="s">
        <v>652</v>
      </c>
      <c r="C282" s="116" t="s">
        <v>69</v>
      </c>
      <c r="D282" s="116" t="s">
        <v>36</v>
      </c>
      <c r="E282" s="117"/>
      <c r="F282" s="117"/>
      <c r="G282" s="182">
        <f>G283</f>
        <v>67</v>
      </c>
      <c r="H282" s="102"/>
      <c r="I282" s="102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</row>
    <row r="283" spans="1:41" s="5" customFormat="1" ht="12.75">
      <c r="A283" s="132" t="s">
        <v>613</v>
      </c>
      <c r="B283" s="118" t="s">
        <v>652</v>
      </c>
      <c r="C283" s="119" t="s">
        <v>69</v>
      </c>
      <c r="D283" s="119" t="s">
        <v>69</v>
      </c>
      <c r="E283" s="117"/>
      <c r="F283" s="117"/>
      <c r="G283" s="183">
        <f>G284</f>
        <v>67</v>
      </c>
      <c r="H283" s="102"/>
      <c r="I283" s="102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</row>
    <row r="284" spans="1:41" s="5" customFormat="1" ht="22.5">
      <c r="A284" s="134" t="s">
        <v>610</v>
      </c>
      <c r="B284" s="118" t="s">
        <v>652</v>
      </c>
      <c r="C284" s="120" t="s">
        <v>69</v>
      </c>
      <c r="D284" s="120" t="s">
        <v>69</v>
      </c>
      <c r="E284" s="120" t="s">
        <v>104</v>
      </c>
      <c r="F284" s="117"/>
      <c r="G284" s="183">
        <f>G285</f>
        <v>67</v>
      </c>
      <c r="H284" s="102"/>
      <c r="I284" s="102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</row>
    <row r="285" spans="1:41" s="5" customFormat="1" ht="23.25" customHeight="1">
      <c r="A285" s="134" t="s">
        <v>98</v>
      </c>
      <c r="B285" s="118" t="s">
        <v>652</v>
      </c>
      <c r="C285" s="120" t="s">
        <v>69</v>
      </c>
      <c r="D285" s="120" t="s">
        <v>69</v>
      </c>
      <c r="E285" s="120" t="s">
        <v>99</v>
      </c>
      <c r="F285" s="117"/>
      <c r="G285" s="183">
        <f>G286</f>
        <v>67</v>
      </c>
      <c r="H285" s="102"/>
      <c r="I285" s="102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</row>
    <row r="286" spans="1:41" s="5" customFormat="1" ht="22.5">
      <c r="A286" s="134" t="s">
        <v>100</v>
      </c>
      <c r="B286" s="118" t="s">
        <v>652</v>
      </c>
      <c r="C286" s="120" t="s">
        <v>69</v>
      </c>
      <c r="D286" s="120" t="s">
        <v>69</v>
      </c>
      <c r="E286" s="120" t="s">
        <v>101</v>
      </c>
      <c r="F286" s="117"/>
      <c r="G286" s="183">
        <f>G287</f>
        <v>67</v>
      </c>
      <c r="H286" s="102"/>
      <c r="I286" s="102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</row>
    <row r="287" spans="1:41" s="5" customFormat="1" ht="13.5" customHeight="1">
      <c r="A287" s="132" t="s">
        <v>156</v>
      </c>
      <c r="B287" s="118" t="s">
        <v>652</v>
      </c>
      <c r="C287" s="120" t="s">
        <v>69</v>
      </c>
      <c r="D287" s="120" t="s">
        <v>69</v>
      </c>
      <c r="E287" s="120" t="s">
        <v>101</v>
      </c>
      <c r="F287" s="117">
        <v>725</v>
      </c>
      <c r="G287" s="183">
        <v>67</v>
      </c>
      <c r="H287" s="102"/>
      <c r="I287" s="102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</row>
    <row r="288" spans="1:41" s="5" customFormat="1" ht="31.5" customHeight="1">
      <c r="A288" s="131" t="s">
        <v>534</v>
      </c>
      <c r="B288" s="114" t="s">
        <v>186</v>
      </c>
      <c r="C288" s="116"/>
      <c r="D288" s="116"/>
      <c r="E288" s="117"/>
      <c r="F288" s="117"/>
      <c r="G288" s="182">
        <f>G289</f>
        <v>602</v>
      </c>
      <c r="H288" s="102"/>
      <c r="I288" s="102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</row>
    <row r="289" spans="1:41" s="5" customFormat="1" ht="42" customHeight="1">
      <c r="A289" s="131" t="s">
        <v>535</v>
      </c>
      <c r="B289" s="114" t="s">
        <v>333</v>
      </c>
      <c r="C289" s="116"/>
      <c r="D289" s="116"/>
      <c r="E289" s="113"/>
      <c r="F289" s="113"/>
      <c r="G289" s="182">
        <f>G290</f>
        <v>602</v>
      </c>
      <c r="H289" s="102"/>
      <c r="I289" s="102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</row>
    <row r="290" spans="1:41" s="5" customFormat="1" ht="14.25" customHeight="1">
      <c r="A290" s="131" t="s">
        <v>185</v>
      </c>
      <c r="B290" s="114" t="s">
        <v>334</v>
      </c>
      <c r="C290" s="116"/>
      <c r="D290" s="116"/>
      <c r="E290" s="113"/>
      <c r="F290" s="113"/>
      <c r="G290" s="182">
        <f>G291</f>
        <v>602</v>
      </c>
      <c r="H290" s="102"/>
      <c r="I290" s="102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</row>
    <row r="291" spans="1:41" s="5" customFormat="1" ht="13.5" customHeight="1">
      <c r="A291" s="131" t="s">
        <v>8</v>
      </c>
      <c r="B291" s="114" t="s">
        <v>334</v>
      </c>
      <c r="C291" s="116" t="s">
        <v>69</v>
      </c>
      <c r="D291" s="116" t="s">
        <v>36</v>
      </c>
      <c r="E291" s="117"/>
      <c r="F291" s="117"/>
      <c r="G291" s="182">
        <f>G292</f>
        <v>602</v>
      </c>
      <c r="H291" s="102"/>
      <c r="I291" s="102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</row>
    <row r="292" spans="1:41" s="5" customFormat="1" ht="12.75">
      <c r="A292" s="132" t="s">
        <v>613</v>
      </c>
      <c r="B292" s="118" t="s">
        <v>334</v>
      </c>
      <c r="C292" s="119" t="s">
        <v>69</v>
      </c>
      <c r="D292" s="119" t="s">
        <v>69</v>
      </c>
      <c r="E292" s="117"/>
      <c r="F292" s="117"/>
      <c r="G292" s="183">
        <f>G293+G297</f>
        <v>602</v>
      </c>
      <c r="H292" s="102"/>
      <c r="I292" s="102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</row>
    <row r="293" spans="1:41" s="5" customFormat="1" ht="22.5">
      <c r="A293" s="134" t="s">
        <v>105</v>
      </c>
      <c r="B293" s="118" t="s">
        <v>334</v>
      </c>
      <c r="C293" s="119" t="s">
        <v>69</v>
      </c>
      <c r="D293" s="119" t="s">
        <v>69</v>
      </c>
      <c r="E293" s="120" t="s">
        <v>106</v>
      </c>
      <c r="F293" s="117"/>
      <c r="G293" s="183">
        <f>G294</f>
        <v>554.4</v>
      </c>
      <c r="H293" s="102"/>
      <c r="I293" s="102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</row>
    <row r="294" spans="1:41" s="5" customFormat="1" ht="12.75">
      <c r="A294" s="134" t="s">
        <v>111</v>
      </c>
      <c r="B294" s="118" t="s">
        <v>334</v>
      </c>
      <c r="C294" s="119" t="s">
        <v>69</v>
      </c>
      <c r="D294" s="119" t="s">
        <v>69</v>
      </c>
      <c r="E294" s="120" t="s">
        <v>112</v>
      </c>
      <c r="F294" s="117"/>
      <c r="G294" s="183">
        <f>G295</f>
        <v>554.4</v>
      </c>
      <c r="H294" s="102"/>
      <c r="I294" s="102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</row>
    <row r="295" spans="1:41" s="5" customFormat="1" ht="12.75">
      <c r="A295" s="134" t="s">
        <v>115</v>
      </c>
      <c r="B295" s="118" t="s">
        <v>334</v>
      </c>
      <c r="C295" s="119" t="s">
        <v>69</v>
      </c>
      <c r="D295" s="119" t="s">
        <v>69</v>
      </c>
      <c r="E295" s="120" t="s">
        <v>116</v>
      </c>
      <c r="F295" s="117"/>
      <c r="G295" s="183">
        <f>G296</f>
        <v>554.4</v>
      </c>
      <c r="H295" s="102"/>
      <c r="I295" s="102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</row>
    <row r="296" spans="1:41" s="5" customFormat="1" ht="12.75" customHeight="1">
      <c r="A296" s="134" t="s">
        <v>156</v>
      </c>
      <c r="B296" s="118" t="s">
        <v>334</v>
      </c>
      <c r="C296" s="119" t="s">
        <v>69</v>
      </c>
      <c r="D296" s="119" t="s">
        <v>69</v>
      </c>
      <c r="E296" s="120" t="s">
        <v>116</v>
      </c>
      <c r="F296" s="117">
        <v>725</v>
      </c>
      <c r="G296" s="183">
        <f>533.9+20.5</f>
        <v>554.4</v>
      </c>
      <c r="H296" s="102"/>
      <c r="I296" s="102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</row>
    <row r="297" spans="1:41" s="5" customFormat="1" ht="45">
      <c r="A297" s="132" t="s">
        <v>102</v>
      </c>
      <c r="B297" s="118" t="s">
        <v>334</v>
      </c>
      <c r="C297" s="119" t="s">
        <v>69</v>
      </c>
      <c r="D297" s="119" t="s">
        <v>69</v>
      </c>
      <c r="E297" s="120" t="s">
        <v>103</v>
      </c>
      <c r="F297" s="117"/>
      <c r="G297" s="183">
        <f>G298</f>
        <v>47.6</v>
      </c>
      <c r="H297" s="102"/>
      <c r="I297" s="102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</row>
    <row r="298" spans="1:41" s="5" customFormat="1" ht="12.75">
      <c r="A298" s="132" t="str">
        <f>'пр.4 вед.стр.'!A928</f>
        <v>Расходы на выплаты персоналу казенных учреждений</v>
      </c>
      <c r="B298" s="118" t="s">
        <v>334</v>
      </c>
      <c r="C298" s="119" t="s">
        <v>69</v>
      </c>
      <c r="D298" s="119" t="s">
        <v>69</v>
      </c>
      <c r="E298" s="120" t="s">
        <v>297</v>
      </c>
      <c r="F298" s="117"/>
      <c r="G298" s="183">
        <f>G299+G301</f>
        <v>47.6</v>
      </c>
      <c r="H298" s="102"/>
      <c r="I298" s="102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</row>
    <row r="299" spans="1:41" s="5" customFormat="1" ht="12.75">
      <c r="A299" s="134" t="s">
        <v>545</v>
      </c>
      <c r="B299" s="118" t="s">
        <v>334</v>
      </c>
      <c r="C299" s="119" t="s">
        <v>69</v>
      </c>
      <c r="D299" s="119" t="s">
        <v>69</v>
      </c>
      <c r="E299" s="120" t="s">
        <v>298</v>
      </c>
      <c r="F299" s="117"/>
      <c r="G299" s="183">
        <f>G300</f>
        <v>36.6</v>
      </c>
      <c r="H299" s="102"/>
      <c r="I299" s="102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</row>
    <row r="300" spans="1:41" s="5" customFormat="1" ht="22.5">
      <c r="A300" s="132" t="s">
        <v>157</v>
      </c>
      <c r="B300" s="118" t="s">
        <v>334</v>
      </c>
      <c r="C300" s="119" t="s">
        <v>69</v>
      </c>
      <c r="D300" s="119" t="s">
        <v>69</v>
      </c>
      <c r="E300" s="120" t="s">
        <v>298</v>
      </c>
      <c r="F300" s="117">
        <v>726</v>
      </c>
      <c r="G300" s="183">
        <f>35.4+1.2</f>
        <v>36.6</v>
      </c>
      <c r="H300" s="102"/>
      <c r="I300" s="102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</row>
    <row r="301" spans="1:41" s="5" customFormat="1" ht="22.5">
      <c r="A301" s="134" t="s">
        <v>438</v>
      </c>
      <c r="B301" s="118" t="s">
        <v>334</v>
      </c>
      <c r="C301" s="119" t="s">
        <v>69</v>
      </c>
      <c r="D301" s="119" t="s">
        <v>69</v>
      </c>
      <c r="E301" s="120" t="s">
        <v>299</v>
      </c>
      <c r="F301" s="117"/>
      <c r="G301" s="183">
        <f>G302</f>
        <v>11</v>
      </c>
      <c r="H301" s="102"/>
      <c r="I301" s="102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</row>
    <row r="302" spans="1:41" s="5" customFormat="1" ht="22.5">
      <c r="A302" s="132" t="s">
        <v>157</v>
      </c>
      <c r="B302" s="118" t="s">
        <v>334</v>
      </c>
      <c r="C302" s="119" t="s">
        <v>69</v>
      </c>
      <c r="D302" s="119" t="s">
        <v>69</v>
      </c>
      <c r="E302" s="120" t="s">
        <v>299</v>
      </c>
      <c r="F302" s="117">
        <v>726</v>
      </c>
      <c r="G302" s="183">
        <f>10.7+0.3</f>
        <v>11</v>
      </c>
      <c r="H302" s="102"/>
      <c r="I302" s="102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</row>
    <row r="303" spans="1:41" s="5" customFormat="1" ht="21.75">
      <c r="A303" s="131" t="s">
        <v>536</v>
      </c>
      <c r="B303" s="114" t="s">
        <v>188</v>
      </c>
      <c r="C303" s="116"/>
      <c r="D303" s="116"/>
      <c r="E303" s="117"/>
      <c r="F303" s="117"/>
      <c r="G303" s="182">
        <f>G304</f>
        <v>470.5</v>
      </c>
      <c r="H303" s="102"/>
      <c r="I303" s="102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</row>
    <row r="304" spans="1:41" s="5" customFormat="1" ht="23.25" customHeight="1">
      <c r="A304" s="131" t="s">
        <v>254</v>
      </c>
      <c r="B304" s="114" t="s">
        <v>335</v>
      </c>
      <c r="C304" s="116"/>
      <c r="D304" s="116"/>
      <c r="E304" s="117"/>
      <c r="F304" s="117"/>
      <c r="G304" s="182">
        <f>G305</f>
        <v>470.5</v>
      </c>
      <c r="H304" s="102"/>
      <c r="I304" s="102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</row>
    <row r="305" spans="1:41" s="5" customFormat="1" ht="12.75">
      <c r="A305" s="131" t="s">
        <v>187</v>
      </c>
      <c r="B305" s="114" t="s">
        <v>336</v>
      </c>
      <c r="C305" s="116"/>
      <c r="D305" s="116"/>
      <c r="E305" s="117"/>
      <c r="F305" s="117"/>
      <c r="G305" s="182">
        <f>G306</f>
        <v>470.5</v>
      </c>
      <c r="H305" s="102"/>
      <c r="I305" s="102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</row>
    <row r="306" spans="1:41" s="5" customFormat="1" ht="12.75">
      <c r="A306" s="131" t="s">
        <v>8</v>
      </c>
      <c r="B306" s="114" t="s">
        <v>336</v>
      </c>
      <c r="C306" s="116" t="s">
        <v>69</v>
      </c>
      <c r="D306" s="116" t="s">
        <v>36</v>
      </c>
      <c r="E306" s="117"/>
      <c r="F306" s="117"/>
      <c r="G306" s="182">
        <f>G307</f>
        <v>470.5</v>
      </c>
      <c r="H306" s="102"/>
      <c r="I306" s="102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</row>
    <row r="307" spans="1:41" s="5" customFormat="1" ht="11.25" customHeight="1">
      <c r="A307" s="132" t="s">
        <v>613</v>
      </c>
      <c r="B307" s="118" t="s">
        <v>336</v>
      </c>
      <c r="C307" s="119" t="s">
        <v>69</v>
      </c>
      <c r="D307" s="119" t="s">
        <v>69</v>
      </c>
      <c r="E307" s="117"/>
      <c r="F307" s="117"/>
      <c r="G307" s="183">
        <f>G308+G312</f>
        <v>470.5</v>
      </c>
      <c r="H307" s="102"/>
      <c r="I307" s="102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</row>
    <row r="308" spans="1:41" s="5" customFormat="1" ht="22.5">
      <c r="A308" s="134" t="s">
        <v>610</v>
      </c>
      <c r="B308" s="118" t="s">
        <v>336</v>
      </c>
      <c r="C308" s="119" t="s">
        <v>69</v>
      </c>
      <c r="D308" s="119" t="s">
        <v>69</v>
      </c>
      <c r="E308" s="120" t="s">
        <v>104</v>
      </c>
      <c r="F308" s="117"/>
      <c r="G308" s="183">
        <f>G309</f>
        <v>384.8</v>
      </c>
      <c r="H308" s="102"/>
      <c r="I308" s="102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</row>
    <row r="309" spans="1:41" s="5" customFormat="1" ht="12" customHeight="1">
      <c r="A309" s="134" t="s">
        <v>98</v>
      </c>
      <c r="B309" s="118" t="s">
        <v>336</v>
      </c>
      <c r="C309" s="119" t="s">
        <v>69</v>
      </c>
      <c r="D309" s="119" t="s">
        <v>69</v>
      </c>
      <c r="E309" s="120" t="s">
        <v>99</v>
      </c>
      <c r="F309" s="117"/>
      <c r="G309" s="183">
        <f>G310</f>
        <v>384.8</v>
      </c>
      <c r="H309" s="102"/>
      <c r="I309" s="102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</row>
    <row r="310" spans="1:41" s="5" customFormat="1" ht="22.5">
      <c r="A310" s="134" t="s">
        <v>100</v>
      </c>
      <c r="B310" s="118" t="s">
        <v>336</v>
      </c>
      <c r="C310" s="119" t="s">
        <v>69</v>
      </c>
      <c r="D310" s="119" t="s">
        <v>69</v>
      </c>
      <c r="E310" s="120" t="s">
        <v>101</v>
      </c>
      <c r="F310" s="117"/>
      <c r="G310" s="183">
        <f>G311</f>
        <v>384.8</v>
      </c>
      <c r="H310" s="102"/>
      <c r="I310" s="102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</row>
    <row r="311" spans="1:41" s="5" customFormat="1" ht="24" customHeight="1">
      <c r="A311" s="132" t="s">
        <v>157</v>
      </c>
      <c r="B311" s="118" t="s">
        <v>336</v>
      </c>
      <c r="C311" s="119" t="s">
        <v>69</v>
      </c>
      <c r="D311" s="119" t="s">
        <v>69</v>
      </c>
      <c r="E311" s="120" t="s">
        <v>101</v>
      </c>
      <c r="F311" s="117">
        <v>726</v>
      </c>
      <c r="G311" s="183">
        <f>300+84.8</f>
        <v>384.8</v>
      </c>
      <c r="H311" s="102"/>
      <c r="I311" s="102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</row>
    <row r="312" spans="1:41" s="5" customFormat="1" ht="22.5">
      <c r="A312" s="134" t="s">
        <v>105</v>
      </c>
      <c r="B312" s="118" t="s">
        <v>336</v>
      </c>
      <c r="C312" s="120" t="s">
        <v>69</v>
      </c>
      <c r="D312" s="120" t="s">
        <v>69</v>
      </c>
      <c r="E312" s="120" t="s">
        <v>106</v>
      </c>
      <c r="F312" s="117"/>
      <c r="G312" s="183">
        <f>G313</f>
        <v>85.7</v>
      </c>
      <c r="H312" s="102"/>
      <c r="I312" s="102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</row>
    <row r="313" spans="1:41" s="5" customFormat="1" ht="12.75">
      <c r="A313" s="134" t="s">
        <v>111</v>
      </c>
      <c r="B313" s="118" t="s">
        <v>336</v>
      </c>
      <c r="C313" s="119" t="s">
        <v>69</v>
      </c>
      <c r="D313" s="119" t="s">
        <v>69</v>
      </c>
      <c r="E313" s="120" t="s">
        <v>112</v>
      </c>
      <c r="F313" s="117"/>
      <c r="G313" s="183">
        <f>G314</f>
        <v>85.7</v>
      </c>
      <c r="H313" s="102"/>
      <c r="I313" s="102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</row>
    <row r="314" spans="1:41" s="5" customFormat="1" ht="12.75">
      <c r="A314" s="134" t="s">
        <v>115</v>
      </c>
      <c r="B314" s="118" t="s">
        <v>336</v>
      </c>
      <c r="C314" s="120" t="s">
        <v>69</v>
      </c>
      <c r="D314" s="120" t="s">
        <v>69</v>
      </c>
      <c r="E314" s="120" t="s">
        <v>116</v>
      </c>
      <c r="F314" s="117"/>
      <c r="G314" s="183">
        <f>G315</f>
        <v>85.7</v>
      </c>
      <c r="H314" s="102"/>
      <c r="I314" s="102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</row>
    <row r="315" spans="1:41" s="5" customFormat="1" ht="12" customHeight="1">
      <c r="A315" s="134" t="s">
        <v>156</v>
      </c>
      <c r="B315" s="118" t="s">
        <v>336</v>
      </c>
      <c r="C315" s="120" t="s">
        <v>69</v>
      </c>
      <c r="D315" s="120" t="s">
        <v>69</v>
      </c>
      <c r="E315" s="120" t="s">
        <v>116</v>
      </c>
      <c r="F315" s="117">
        <v>725</v>
      </c>
      <c r="G315" s="183">
        <v>85.7</v>
      </c>
      <c r="H315" s="102"/>
      <c r="I315" s="102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</row>
    <row r="316" spans="1:41" s="5" customFormat="1" ht="21.75">
      <c r="A316" s="131" t="s">
        <v>547</v>
      </c>
      <c r="B316" s="114" t="s">
        <v>194</v>
      </c>
      <c r="C316" s="116"/>
      <c r="D316" s="116"/>
      <c r="E316" s="117"/>
      <c r="F316" s="117"/>
      <c r="G316" s="182">
        <f>G317+G325</f>
        <v>300</v>
      </c>
      <c r="H316" s="102"/>
      <c r="I316" s="102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</row>
    <row r="317" spans="1:41" s="5" customFormat="1" ht="12.75">
      <c r="A317" s="131" t="s">
        <v>256</v>
      </c>
      <c r="B317" s="114" t="s">
        <v>343</v>
      </c>
      <c r="C317" s="116"/>
      <c r="D317" s="116"/>
      <c r="E317" s="117"/>
      <c r="F317" s="117"/>
      <c r="G317" s="182">
        <f aca="true" t="shared" si="11" ref="G317:G323">G318</f>
        <v>50</v>
      </c>
      <c r="H317" s="102"/>
      <c r="I317" s="102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</row>
    <row r="318" spans="1:41" s="5" customFormat="1" ht="12.75">
      <c r="A318" s="131" t="s">
        <v>178</v>
      </c>
      <c r="B318" s="114" t="s">
        <v>344</v>
      </c>
      <c r="C318" s="116"/>
      <c r="D318" s="116"/>
      <c r="E318" s="117"/>
      <c r="F318" s="117"/>
      <c r="G318" s="182">
        <f t="shared" si="11"/>
        <v>50</v>
      </c>
      <c r="H318" s="102"/>
      <c r="I318" s="102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</row>
    <row r="319" spans="1:41" s="5" customFormat="1" ht="12.75">
      <c r="A319" s="131" t="s">
        <v>8</v>
      </c>
      <c r="B319" s="114" t="s">
        <v>344</v>
      </c>
      <c r="C319" s="116" t="s">
        <v>69</v>
      </c>
      <c r="D319" s="116" t="s">
        <v>36</v>
      </c>
      <c r="E319" s="117"/>
      <c r="F319" s="117"/>
      <c r="G319" s="182">
        <f t="shared" si="11"/>
        <v>50</v>
      </c>
      <c r="H319" s="102"/>
      <c r="I319" s="102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</row>
    <row r="320" spans="1:41" s="5" customFormat="1" ht="12.75">
      <c r="A320" s="132" t="s">
        <v>613</v>
      </c>
      <c r="B320" s="118" t="s">
        <v>344</v>
      </c>
      <c r="C320" s="119" t="s">
        <v>69</v>
      </c>
      <c r="D320" s="119" t="s">
        <v>69</v>
      </c>
      <c r="E320" s="117"/>
      <c r="F320" s="117"/>
      <c r="G320" s="182">
        <f t="shared" si="11"/>
        <v>50</v>
      </c>
      <c r="H320" s="102"/>
      <c r="I320" s="102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</row>
    <row r="321" spans="1:41" s="5" customFormat="1" ht="22.5">
      <c r="A321" s="134" t="s">
        <v>610</v>
      </c>
      <c r="B321" s="118" t="s">
        <v>344</v>
      </c>
      <c r="C321" s="119" t="s">
        <v>69</v>
      </c>
      <c r="D321" s="119" t="s">
        <v>69</v>
      </c>
      <c r="E321" s="120" t="s">
        <v>104</v>
      </c>
      <c r="F321" s="117"/>
      <c r="G321" s="183">
        <f t="shared" si="11"/>
        <v>50</v>
      </c>
      <c r="H321" s="102"/>
      <c r="I321" s="102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</row>
    <row r="322" spans="1:41" s="5" customFormat="1" ht="24" customHeight="1">
      <c r="A322" s="134" t="s">
        <v>98</v>
      </c>
      <c r="B322" s="118" t="s">
        <v>344</v>
      </c>
      <c r="C322" s="119" t="s">
        <v>69</v>
      </c>
      <c r="D322" s="119" t="s">
        <v>69</v>
      </c>
      <c r="E322" s="120" t="s">
        <v>99</v>
      </c>
      <c r="F322" s="117"/>
      <c r="G322" s="183">
        <f t="shared" si="11"/>
        <v>50</v>
      </c>
      <c r="H322" s="102"/>
      <c r="I322" s="102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</row>
    <row r="323" spans="1:41" s="5" customFormat="1" ht="22.5">
      <c r="A323" s="134" t="s">
        <v>100</v>
      </c>
      <c r="B323" s="118" t="s">
        <v>344</v>
      </c>
      <c r="C323" s="119" t="s">
        <v>69</v>
      </c>
      <c r="D323" s="119" t="s">
        <v>69</v>
      </c>
      <c r="E323" s="120" t="s">
        <v>101</v>
      </c>
      <c r="F323" s="117"/>
      <c r="G323" s="183">
        <f t="shared" si="11"/>
        <v>50</v>
      </c>
      <c r="H323" s="102"/>
      <c r="I323" s="102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</row>
    <row r="324" spans="1:41" s="5" customFormat="1" ht="22.5">
      <c r="A324" s="132" t="s">
        <v>157</v>
      </c>
      <c r="B324" s="118" t="s">
        <v>344</v>
      </c>
      <c r="C324" s="119" t="s">
        <v>69</v>
      </c>
      <c r="D324" s="119" t="s">
        <v>69</v>
      </c>
      <c r="E324" s="120" t="s">
        <v>101</v>
      </c>
      <c r="F324" s="117">
        <v>726</v>
      </c>
      <c r="G324" s="183">
        <v>50</v>
      </c>
      <c r="H324" s="102"/>
      <c r="I324" s="102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</row>
    <row r="325" spans="1:41" s="5" customFormat="1" ht="12.75">
      <c r="A325" s="131" t="s">
        <v>257</v>
      </c>
      <c r="B325" s="114" t="s">
        <v>345</v>
      </c>
      <c r="C325" s="116"/>
      <c r="D325" s="116"/>
      <c r="E325" s="117"/>
      <c r="F325" s="117"/>
      <c r="G325" s="182">
        <f>G326+G333+G342+G349</f>
        <v>250</v>
      </c>
      <c r="H325" s="102"/>
      <c r="I325" s="102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</row>
    <row r="326" spans="1:41" s="5" customFormat="1" ht="12.75">
      <c r="A326" s="131" t="s">
        <v>195</v>
      </c>
      <c r="B326" s="114" t="s">
        <v>346</v>
      </c>
      <c r="C326" s="116"/>
      <c r="D326" s="116"/>
      <c r="E326" s="117"/>
      <c r="F326" s="117"/>
      <c r="G326" s="182">
        <f aca="true" t="shared" si="12" ref="G326:G331">G327</f>
        <v>95</v>
      </c>
      <c r="H326" s="102"/>
      <c r="I326" s="102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</row>
    <row r="327" spans="1:41" s="5" customFormat="1" ht="12.75">
      <c r="A327" s="131" t="s">
        <v>8</v>
      </c>
      <c r="B327" s="114" t="s">
        <v>346</v>
      </c>
      <c r="C327" s="116" t="s">
        <v>69</v>
      </c>
      <c r="D327" s="116" t="s">
        <v>36</v>
      </c>
      <c r="E327" s="117"/>
      <c r="F327" s="117"/>
      <c r="G327" s="182">
        <f t="shared" si="12"/>
        <v>95</v>
      </c>
      <c r="H327" s="102"/>
      <c r="I327" s="102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</row>
    <row r="328" spans="1:41" s="5" customFormat="1" ht="12.75">
      <c r="A328" s="132" t="s">
        <v>613</v>
      </c>
      <c r="B328" s="118" t="s">
        <v>346</v>
      </c>
      <c r="C328" s="119" t="s">
        <v>69</v>
      </c>
      <c r="D328" s="119" t="s">
        <v>69</v>
      </c>
      <c r="E328" s="117"/>
      <c r="F328" s="117"/>
      <c r="G328" s="182">
        <f t="shared" si="12"/>
        <v>95</v>
      </c>
      <c r="H328" s="102"/>
      <c r="I328" s="102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</row>
    <row r="329" spans="1:41" s="5" customFormat="1" ht="22.5">
      <c r="A329" s="134" t="s">
        <v>610</v>
      </c>
      <c r="B329" s="118" t="s">
        <v>346</v>
      </c>
      <c r="C329" s="119" t="s">
        <v>69</v>
      </c>
      <c r="D329" s="119" t="s">
        <v>69</v>
      </c>
      <c r="E329" s="120" t="s">
        <v>104</v>
      </c>
      <c r="F329" s="117"/>
      <c r="G329" s="183">
        <f t="shared" si="12"/>
        <v>95</v>
      </c>
      <c r="H329" s="102"/>
      <c r="I329" s="102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</row>
    <row r="330" spans="1:41" s="5" customFormat="1" ht="22.5">
      <c r="A330" s="134" t="s">
        <v>98</v>
      </c>
      <c r="B330" s="118" t="s">
        <v>346</v>
      </c>
      <c r="C330" s="119" t="s">
        <v>69</v>
      </c>
      <c r="D330" s="119" t="s">
        <v>69</v>
      </c>
      <c r="E330" s="120" t="s">
        <v>99</v>
      </c>
      <c r="F330" s="117"/>
      <c r="G330" s="183">
        <f t="shared" si="12"/>
        <v>95</v>
      </c>
      <c r="H330" s="102"/>
      <c r="I330" s="102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</row>
    <row r="331" spans="1:41" s="5" customFormat="1" ht="22.5">
      <c r="A331" s="134" t="s">
        <v>100</v>
      </c>
      <c r="B331" s="118" t="s">
        <v>346</v>
      </c>
      <c r="C331" s="119" t="s">
        <v>69</v>
      </c>
      <c r="D331" s="119" t="s">
        <v>69</v>
      </c>
      <c r="E331" s="120" t="s">
        <v>101</v>
      </c>
      <c r="F331" s="117"/>
      <c r="G331" s="183">
        <f t="shared" si="12"/>
        <v>95</v>
      </c>
      <c r="H331" s="102"/>
      <c r="I331" s="102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</row>
    <row r="332" spans="1:41" s="5" customFormat="1" ht="22.5">
      <c r="A332" s="132" t="s">
        <v>157</v>
      </c>
      <c r="B332" s="118" t="s">
        <v>346</v>
      </c>
      <c r="C332" s="119" t="s">
        <v>69</v>
      </c>
      <c r="D332" s="119" t="s">
        <v>69</v>
      </c>
      <c r="E332" s="120" t="s">
        <v>101</v>
      </c>
      <c r="F332" s="117">
        <v>726</v>
      </c>
      <c r="G332" s="183">
        <v>95</v>
      </c>
      <c r="H332" s="102"/>
      <c r="I332" s="102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</row>
    <row r="333" spans="1:41" s="5" customFormat="1" ht="21.75">
      <c r="A333" s="131" t="s">
        <v>196</v>
      </c>
      <c r="B333" s="114" t="s">
        <v>347</v>
      </c>
      <c r="C333" s="116"/>
      <c r="D333" s="116"/>
      <c r="E333" s="121"/>
      <c r="F333" s="113"/>
      <c r="G333" s="182">
        <f>G334</f>
        <v>100</v>
      </c>
      <c r="H333" s="102"/>
      <c r="I333" s="102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</row>
    <row r="334" spans="1:41" s="5" customFormat="1" ht="12.75">
      <c r="A334" s="131" t="s">
        <v>8</v>
      </c>
      <c r="B334" s="114" t="s">
        <v>347</v>
      </c>
      <c r="C334" s="116" t="s">
        <v>69</v>
      </c>
      <c r="D334" s="116" t="s">
        <v>36</v>
      </c>
      <c r="E334" s="117"/>
      <c r="F334" s="117"/>
      <c r="G334" s="182">
        <f>G335</f>
        <v>100</v>
      </c>
      <c r="H334" s="102"/>
      <c r="I334" s="102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</row>
    <row r="335" spans="1:41" s="5" customFormat="1" ht="12.75">
      <c r="A335" s="132" t="s">
        <v>613</v>
      </c>
      <c r="B335" s="118" t="s">
        <v>347</v>
      </c>
      <c r="C335" s="119" t="s">
        <v>69</v>
      </c>
      <c r="D335" s="119" t="s">
        <v>69</v>
      </c>
      <c r="E335" s="117"/>
      <c r="F335" s="117"/>
      <c r="G335" s="183">
        <f>G336</f>
        <v>100</v>
      </c>
      <c r="H335" s="102"/>
      <c r="I335" s="102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</row>
    <row r="336" spans="1:41" s="5" customFormat="1" ht="45">
      <c r="A336" s="132" t="s">
        <v>102</v>
      </c>
      <c r="B336" s="118" t="s">
        <v>347</v>
      </c>
      <c r="C336" s="120" t="s">
        <v>69</v>
      </c>
      <c r="D336" s="120" t="s">
        <v>69</v>
      </c>
      <c r="E336" s="120" t="s">
        <v>103</v>
      </c>
      <c r="F336" s="117"/>
      <c r="G336" s="183">
        <f>G337</f>
        <v>100</v>
      </c>
      <c r="H336" s="102"/>
      <c r="I336" s="102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</row>
    <row r="337" spans="1:41" s="11" customFormat="1" ht="12.75">
      <c r="A337" s="134" t="s">
        <v>295</v>
      </c>
      <c r="B337" s="118" t="s">
        <v>347</v>
      </c>
      <c r="C337" s="120" t="s">
        <v>69</v>
      </c>
      <c r="D337" s="120" t="s">
        <v>69</v>
      </c>
      <c r="E337" s="120" t="s">
        <v>297</v>
      </c>
      <c r="F337" s="117"/>
      <c r="G337" s="183">
        <f>G338+G340</f>
        <v>100</v>
      </c>
      <c r="H337" s="102"/>
      <c r="I337" s="102"/>
      <c r="J337" s="102"/>
      <c r="K337" s="102"/>
      <c r="L337" s="102"/>
      <c r="M337" s="102"/>
      <c r="N337" s="102"/>
      <c r="O337" s="102"/>
      <c r="P337" s="102"/>
      <c r="Q337" s="102"/>
      <c r="R337" s="102"/>
      <c r="S337" s="102"/>
      <c r="T337" s="102"/>
      <c r="U337" s="102"/>
      <c r="V337" s="102"/>
      <c r="W337" s="102"/>
      <c r="X337" s="102"/>
      <c r="Y337" s="102"/>
      <c r="Z337" s="102"/>
      <c r="AA337" s="102"/>
      <c r="AB337" s="102"/>
      <c r="AC337" s="102"/>
      <c r="AD337" s="102"/>
      <c r="AE337" s="102"/>
      <c r="AF337" s="102"/>
      <c r="AG337" s="102"/>
      <c r="AH337" s="102"/>
      <c r="AI337" s="102"/>
      <c r="AJ337" s="102"/>
      <c r="AK337" s="102"/>
      <c r="AL337" s="102"/>
      <c r="AM337" s="102"/>
      <c r="AN337" s="102"/>
      <c r="AO337" s="102"/>
    </row>
    <row r="338" spans="1:41" s="5" customFormat="1" ht="22.5">
      <c r="A338" s="134" t="s">
        <v>434</v>
      </c>
      <c r="B338" s="118" t="s">
        <v>347</v>
      </c>
      <c r="C338" s="120" t="s">
        <v>69</v>
      </c>
      <c r="D338" s="120" t="s">
        <v>69</v>
      </c>
      <c r="E338" s="120" t="s">
        <v>296</v>
      </c>
      <c r="F338" s="117"/>
      <c r="G338" s="183">
        <f>G339</f>
        <v>20</v>
      </c>
      <c r="H338" s="102"/>
      <c r="I338" s="102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</row>
    <row r="339" spans="1:41" s="5" customFormat="1" ht="22.5" customHeight="1">
      <c r="A339" s="132" t="s">
        <v>157</v>
      </c>
      <c r="B339" s="118" t="s">
        <v>347</v>
      </c>
      <c r="C339" s="120" t="s">
        <v>69</v>
      </c>
      <c r="D339" s="120" t="s">
        <v>69</v>
      </c>
      <c r="E339" s="120" t="s">
        <v>296</v>
      </c>
      <c r="F339" s="117">
        <v>726</v>
      </c>
      <c r="G339" s="183">
        <v>20</v>
      </c>
      <c r="H339" s="102"/>
      <c r="I339" s="102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</row>
    <row r="340" spans="1:41" s="5" customFormat="1" ht="33.75" customHeight="1">
      <c r="A340" s="134" t="s">
        <v>548</v>
      </c>
      <c r="B340" s="118" t="s">
        <v>347</v>
      </c>
      <c r="C340" s="119" t="s">
        <v>69</v>
      </c>
      <c r="D340" s="119" t="s">
        <v>69</v>
      </c>
      <c r="E340" s="120" t="s">
        <v>549</v>
      </c>
      <c r="F340" s="117"/>
      <c r="G340" s="183">
        <f>G341</f>
        <v>80</v>
      </c>
      <c r="H340" s="102"/>
      <c r="I340" s="102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</row>
    <row r="341" spans="1:41" s="5" customFormat="1" ht="21.75" customHeight="1">
      <c r="A341" s="132" t="s">
        <v>157</v>
      </c>
      <c r="B341" s="118" t="s">
        <v>347</v>
      </c>
      <c r="C341" s="119" t="s">
        <v>69</v>
      </c>
      <c r="D341" s="119" t="s">
        <v>69</v>
      </c>
      <c r="E341" s="120" t="s">
        <v>549</v>
      </c>
      <c r="F341" s="117">
        <v>726</v>
      </c>
      <c r="G341" s="183">
        <v>80</v>
      </c>
      <c r="H341" s="102"/>
      <c r="I341" s="102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</row>
    <row r="342" spans="1:41" s="5" customFormat="1" ht="12.75">
      <c r="A342" s="131" t="s">
        <v>197</v>
      </c>
      <c r="B342" s="114" t="s">
        <v>348</v>
      </c>
      <c r="C342" s="116"/>
      <c r="D342" s="116"/>
      <c r="E342" s="121"/>
      <c r="F342" s="113"/>
      <c r="G342" s="182">
        <f aca="true" t="shared" si="13" ref="G342:G347">G343</f>
        <v>35</v>
      </c>
      <c r="H342" s="102"/>
      <c r="I342" s="102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</row>
    <row r="343" spans="1:41" s="5" customFormat="1" ht="12.75">
      <c r="A343" s="131" t="s">
        <v>8</v>
      </c>
      <c r="B343" s="114" t="s">
        <v>348</v>
      </c>
      <c r="C343" s="116" t="s">
        <v>69</v>
      </c>
      <c r="D343" s="116" t="s">
        <v>36</v>
      </c>
      <c r="E343" s="120"/>
      <c r="F343" s="117"/>
      <c r="G343" s="182">
        <f t="shared" si="13"/>
        <v>35</v>
      </c>
      <c r="H343" s="102"/>
      <c r="I343" s="102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</row>
    <row r="344" spans="1:41" s="5" customFormat="1" ht="12.75">
      <c r="A344" s="132" t="s">
        <v>613</v>
      </c>
      <c r="B344" s="118" t="s">
        <v>348</v>
      </c>
      <c r="C344" s="119" t="s">
        <v>69</v>
      </c>
      <c r="D344" s="119" t="s">
        <v>69</v>
      </c>
      <c r="E344" s="120"/>
      <c r="F344" s="117"/>
      <c r="G344" s="183">
        <f t="shared" si="13"/>
        <v>35</v>
      </c>
      <c r="H344" s="102"/>
      <c r="I344" s="102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</row>
    <row r="345" spans="1:41" s="5" customFormat="1" ht="23.25" customHeight="1">
      <c r="A345" s="134" t="s">
        <v>610</v>
      </c>
      <c r="B345" s="118" t="s">
        <v>348</v>
      </c>
      <c r="C345" s="119" t="s">
        <v>69</v>
      </c>
      <c r="D345" s="119" t="s">
        <v>69</v>
      </c>
      <c r="E345" s="120" t="s">
        <v>104</v>
      </c>
      <c r="F345" s="117"/>
      <c r="G345" s="183">
        <f t="shared" si="13"/>
        <v>35</v>
      </c>
      <c r="H345" s="102"/>
      <c r="I345" s="102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</row>
    <row r="346" spans="1:41" s="5" customFormat="1" ht="25.5" customHeight="1">
      <c r="A346" s="134" t="s">
        <v>98</v>
      </c>
      <c r="B346" s="118" t="s">
        <v>348</v>
      </c>
      <c r="C346" s="119" t="s">
        <v>69</v>
      </c>
      <c r="D346" s="119" t="s">
        <v>69</v>
      </c>
      <c r="E346" s="120" t="s">
        <v>99</v>
      </c>
      <c r="F346" s="117"/>
      <c r="G346" s="183">
        <f t="shared" si="13"/>
        <v>35</v>
      </c>
      <c r="H346" s="102"/>
      <c r="I346" s="102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</row>
    <row r="347" spans="1:41" s="5" customFormat="1" ht="22.5">
      <c r="A347" s="134" t="s">
        <v>100</v>
      </c>
      <c r="B347" s="118" t="s">
        <v>348</v>
      </c>
      <c r="C347" s="119" t="s">
        <v>69</v>
      </c>
      <c r="D347" s="119" t="s">
        <v>69</v>
      </c>
      <c r="E347" s="120" t="s">
        <v>101</v>
      </c>
      <c r="F347" s="117"/>
      <c r="G347" s="183">
        <f t="shared" si="13"/>
        <v>35</v>
      </c>
      <c r="H347" s="102"/>
      <c r="I347" s="102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</row>
    <row r="348" spans="1:41" s="5" customFormat="1" ht="22.5">
      <c r="A348" s="132" t="s">
        <v>157</v>
      </c>
      <c r="B348" s="118" t="s">
        <v>348</v>
      </c>
      <c r="C348" s="119" t="s">
        <v>69</v>
      </c>
      <c r="D348" s="119" t="s">
        <v>69</v>
      </c>
      <c r="E348" s="120" t="s">
        <v>101</v>
      </c>
      <c r="F348" s="117">
        <v>726</v>
      </c>
      <c r="G348" s="183">
        <v>35</v>
      </c>
      <c r="H348" s="102"/>
      <c r="I348" s="102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</row>
    <row r="349" spans="1:41" s="5" customFormat="1" ht="21.75">
      <c r="A349" s="131" t="s">
        <v>198</v>
      </c>
      <c r="B349" s="114" t="s">
        <v>349</v>
      </c>
      <c r="C349" s="116"/>
      <c r="D349" s="116"/>
      <c r="E349" s="121"/>
      <c r="F349" s="113"/>
      <c r="G349" s="182">
        <f aca="true" t="shared" si="14" ref="G349:G354">G350</f>
        <v>20</v>
      </c>
      <c r="H349" s="102"/>
      <c r="I349" s="102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</row>
    <row r="350" spans="1:41" s="5" customFormat="1" ht="12.75">
      <c r="A350" s="131" t="s">
        <v>8</v>
      </c>
      <c r="B350" s="114" t="s">
        <v>349</v>
      </c>
      <c r="C350" s="116" t="s">
        <v>69</v>
      </c>
      <c r="D350" s="116" t="s">
        <v>36</v>
      </c>
      <c r="E350" s="120"/>
      <c r="F350" s="117"/>
      <c r="G350" s="182">
        <f t="shared" si="14"/>
        <v>20</v>
      </c>
      <c r="H350" s="102"/>
      <c r="I350" s="102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</row>
    <row r="351" spans="1:41" s="5" customFormat="1" ht="12.75">
      <c r="A351" s="132" t="s">
        <v>613</v>
      </c>
      <c r="B351" s="118" t="s">
        <v>349</v>
      </c>
      <c r="C351" s="119" t="s">
        <v>69</v>
      </c>
      <c r="D351" s="119" t="s">
        <v>69</v>
      </c>
      <c r="E351" s="120"/>
      <c r="F351" s="117"/>
      <c r="G351" s="183">
        <f t="shared" si="14"/>
        <v>20</v>
      </c>
      <c r="H351" s="102"/>
      <c r="I351" s="102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</row>
    <row r="352" spans="1:41" s="5" customFormat="1" ht="22.5" customHeight="1">
      <c r="A352" s="134" t="s">
        <v>610</v>
      </c>
      <c r="B352" s="118" t="s">
        <v>349</v>
      </c>
      <c r="C352" s="119" t="s">
        <v>69</v>
      </c>
      <c r="D352" s="119" t="s">
        <v>69</v>
      </c>
      <c r="E352" s="120" t="s">
        <v>104</v>
      </c>
      <c r="F352" s="117"/>
      <c r="G352" s="183">
        <f t="shared" si="14"/>
        <v>20</v>
      </c>
      <c r="H352" s="102"/>
      <c r="I352" s="102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</row>
    <row r="353" spans="1:41" s="5" customFormat="1" ht="22.5">
      <c r="A353" s="134" t="s">
        <v>98</v>
      </c>
      <c r="B353" s="118" t="s">
        <v>349</v>
      </c>
      <c r="C353" s="119" t="s">
        <v>69</v>
      </c>
      <c r="D353" s="119" t="s">
        <v>69</v>
      </c>
      <c r="E353" s="120" t="s">
        <v>99</v>
      </c>
      <c r="F353" s="117"/>
      <c r="G353" s="183">
        <f t="shared" si="14"/>
        <v>20</v>
      </c>
      <c r="H353" s="102"/>
      <c r="I353" s="102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</row>
    <row r="354" spans="1:41" s="5" customFormat="1" ht="22.5">
      <c r="A354" s="134" t="s">
        <v>100</v>
      </c>
      <c r="B354" s="118" t="s">
        <v>349</v>
      </c>
      <c r="C354" s="119" t="s">
        <v>69</v>
      </c>
      <c r="D354" s="119" t="s">
        <v>69</v>
      </c>
      <c r="E354" s="120" t="s">
        <v>101</v>
      </c>
      <c r="F354" s="117"/>
      <c r="G354" s="183">
        <f t="shared" si="14"/>
        <v>20</v>
      </c>
      <c r="H354" s="102"/>
      <c r="I354" s="102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</row>
    <row r="355" spans="1:41" s="5" customFormat="1" ht="22.5">
      <c r="A355" s="132" t="s">
        <v>157</v>
      </c>
      <c r="B355" s="118" t="s">
        <v>349</v>
      </c>
      <c r="C355" s="119" t="s">
        <v>69</v>
      </c>
      <c r="D355" s="119" t="s">
        <v>69</v>
      </c>
      <c r="E355" s="120" t="s">
        <v>101</v>
      </c>
      <c r="F355" s="117">
        <v>726</v>
      </c>
      <c r="G355" s="183">
        <v>20</v>
      </c>
      <c r="H355" s="102"/>
      <c r="I355" s="102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</row>
    <row r="356" spans="1:41" s="5" customFormat="1" ht="21.75">
      <c r="A356" s="131" t="s">
        <v>653</v>
      </c>
      <c r="B356" s="114" t="s">
        <v>202</v>
      </c>
      <c r="C356" s="116"/>
      <c r="D356" s="116"/>
      <c r="E356" s="117"/>
      <c r="F356" s="117"/>
      <c r="G356" s="182">
        <f>G357</f>
        <v>2139.9</v>
      </c>
      <c r="H356" s="102"/>
      <c r="I356" s="102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</row>
    <row r="357" spans="1:41" s="5" customFormat="1" ht="23.25" customHeight="1">
      <c r="A357" s="131" t="s">
        <v>261</v>
      </c>
      <c r="B357" s="114" t="s">
        <v>352</v>
      </c>
      <c r="C357" s="116"/>
      <c r="D357" s="116"/>
      <c r="E357" s="117"/>
      <c r="F357" s="117"/>
      <c r="G357" s="182">
        <f>G358+G365+G372+G379+G386</f>
        <v>2139.9</v>
      </c>
      <c r="H357" s="102"/>
      <c r="I357" s="102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</row>
    <row r="358" spans="1:41" s="5" customFormat="1" ht="21.75">
      <c r="A358" s="131" t="s">
        <v>565</v>
      </c>
      <c r="B358" s="114" t="s">
        <v>353</v>
      </c>
      <c r="C358" s="116"/>
      <c r="D358" s="116"/>
      <c r="E358" s="117"/>
      <c r="F358" s="117"/>
      <c r="G358" s="182">
        <f aca="true" t="shared" si="15" ref="G358:G363">G359</f>
        <v>756</v>
      </c>
      <c r="H358" s="102"/>
      <c r="I358" s="102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</row>
    <row r="359" spans="1:41" s="5" customFormat="1" ht="12.75">
      <c r="A359" s="131" t="s">
        <v>83</v>
      </c>
      <c r="B359" s="114" t="s">
        <v>353</v>
      </c>
      <c r="C359" s="116" t="s">
        <v>74</v>
      </c>
      <c r="D359" s="116" t="s">
        <v>36</v>
      </c>
      <c r="E359" s="117"/>
      <c r="F359" s="117"/>
      <c r="G359" s="182">
        <f t="shared" si="15"/>
        <v>756</v>
      </c>
      <c r="H359" s="102"/>
      <c r="I359" s="102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</row>
    <row r="360" spans="1:41" s="5" customFormat="1" ht="12.75">
      <c r="A360" s="132" t="s">
        <v>84</v>
      </c>
      <c r="B360" s="118" t="s">
        <v>353</v>
      </c>
      <c r="C360" s="119" t="s">
        <v>74</v>
      </c>
      <c r="D360" s="119" t="s">
        <v>66</v>
      </c>
      <c r="E360" s="117"/>
      <c r="F360" s="117"/>
      <c r="G360" s="183">
        <f t="shared" si="15"/>
        <v>756</v>
      </c>
      <c r="H360" s="102"/>
      <c r="I360" s="102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</row>
    <row r="361" spans="1:41" s="5" customFormat="1" ht="22.5">
      <c r="A361" s="134" t="s">
        <v>105</v>
      </c>
      <c r="B361" s="118" t="s">
        <v>353</v>
      </c>
      <c r="C361" s="119" t="s">
        <v>74</v>
      </c>
      <c r="D361" s="119" t="s">
        <v>66</v>
      </c>
      <c r="E361" s="120" t="s">
        <v>106</v>
      </c>
      <c r="F361" s="117"/>
      <c r="G361" s="183">
        <f t="shared" si="15"/>
        <v>756</v>
      </c>
      <c r="H361" s="102"/>
      <c r="I361" s="102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</row>
    <row r="362" spans="1:41" s="5" customFormat="1" ht="12.75">
      <c r="A362" s="134" t="s">
        <v>111</v>
      </c>
      <c r="B362" s="118" t="s">
        <v>353</v>
      </c>
      <c r="C362" s="119" t="s">
        <v>74</v>
      </c>
      <c r="D362" s="119" t="s">
        <v>66</v>
      </c>
      <c r="E362" s="120" t="s">
        <v>112</v>
      </c>
      <c r="F362" s="117"/>
      <c r="G362" s="183">
        <f t="shared" si="15"/>
        <v>756</v>
      </c>
      <c r="H362" s="102"/>
      <c r="I362" s="102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</row>
    <row r="363" spans="1:41" s="5" customFormat="1" ht="12.75">
      <c r="A363" s="134" t="s">
        <v>115</v>
      </c>
      <c r="B363" s="118" t="s">
        <v>353</v>
      </c>
      <c r="C363" s="119" t="s">
        <v>74</v>
      </c>
      <c r="D363" s="119" t="s">
        <v>66</v>
      </c>
      <c r="E363" s="120" t="s">
        <v>116</v>
      </c>
      <c r="F363" s="117"/>
      <c r="G363" s="183">
        <f t="shared" si="15"/>
        <v>756</v>
      </c>
      <c r="H363" s="102"/>
      <c r="I363" s="102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</row>
    <row r="364" spans="1:41" s="5" customFormat="1" ht="22.5">
      <c r="A364" s="132" t="s">
        <v>157</v>
      </c>
      <c r="B364" s="118" t="s">
        <v>353</v>
      </c>
      <c r="C364" s="119" t="s">
        <v>74</v>
      </c>
      <c r="D364" s="119" t="s">
        <v>66</v>
      </c>
      <c r="E364" s="120" t="s">
        <v>116</v>
      </c>
      <c r="F364" s="117">
        <v>726</v>
      </c>
      <c r="G364" s="183">
        <f>576.8+38.2+141</f>
        <v>756</v>
      </c>
      <c r="H364" s="102"/>
      <c r="I364" s="102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</row>
    <row r="365" spans="1:41" s="5" customFormat="1" ht="12.75">
      <c r="A365" s="131" t="s">
        <v>178</v>
      </c>
      <c r="B365" s="114" t="s">
        <v>354</v>
      </c>
      <c r="C365" s="119"/>
      <c r="D365" s="119"/>
      <c r="E365" s="120"/>
      <c r="F365" s="117"/>
      <c r="G365" s="182">
        <f aca="true" t="shared" si="16" ref="G365:G370">G366</f>
        <v>173.89999999999998</v>
      </c>
      <c r="H365" s="102"/>
      <c r="I365" s="102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</row>
    <row r="366" spans="1:41" s="5" customFormat="1" ht="12.75">
      <c r="A366" s="131" t="s">
        <v>83</v>
      </c>
      <c r="B366" s="114" t="s">
        <v>354</v>
      </c>
      <c r="C366" s="116" t="s">
        <v>74</v>
      </c>
      <c r="D366" s="116" t="s">
        <v>36</v>
      </c>
      <c r="E366" s="117"/>
      <c r="F366" s="117"/>
      <c r="G366" s="182">
        <f t="shared" si="16"/>
        <v>173.89999999999998</v>
      </c>
      <c r="H366" s="102"/>
      <c r="I366" s="102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</row>
    <row r="367" spans="1:41" s="5" customFormat="1" ht="12.75">
      <c r="A367" s="132" t="s">
        <v>84</v>
      </c>
      <c r="B367" s="118" t="s">
        <v>354</v>
      </c>
      <c r="C367" s="119" t="s">
        <v>74</v>
      </c>
      <c r="D367" s="119" t="s">
        <v>66</v>
      </c>
      <c r="E367" s="117"/>
      <c r="F367" s="117"/>
      <c r="G367" s="183">
        <f t="shared" si="16"/>
        <v>173.89999999999998</v>
      </c>
      <c r="H367" s="102"/>
      <c r="I367" s="102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</row>
    <row r="368" spans="1:41" s="5" customFormat="1" ht="22.5">
      <c r="A368" s="134" t="s">
        <v>105</v>
      </c>
      <c r="B368" s="118" t="s">
        <v>354</v>
      </c>
      <c r="C368" s="119" t="s">
        <v>74</v>
      </c>
      <c r="D368" s="119" t="s">
        <v>66</v>
      </c>
      <c r="E368" s="120" t="s">
        <v>106</v>
      </c>
      <c r="F368" s="117"/>
      <c r="G368" s="183">
        <f t="shared" si="16"/>
        <v>173.89999999999998</v>
      </c>
      <c r="H368" s="102"/>
      <c r="I368" s="102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</row>
    <row r="369" spans="1:41" s="5" customFormat="1" ht="12.75">
      <c r="A369" s="134" t="s">
        <v>111</v>
      </c>
      <c r="B369" s="118" t="s">
        <v>354</v>
      </c>
      <c r="C369" s="119" t="s">
        <v>74</v>
      </c>
      <c r="D369" s="119" t="s">
        <v>66</v>
      </c>
      <c r="E369" s="120" t="s">
        <v>112</v>
      </c>
      <c r="F369" s="117"/>
      <c r="G369" s="183">
        <f t="shared" si="16"/>
        <v>173.89999999999998</v>
      </c>
      <c r="H369" s="102"/>
      <c r="I369" s="102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</row>
    <row r="370" spans="1:41" s="5" customFormat="1" ht="12.75">
      <c r="A370" s="134" t="s">
        <v>115</v>
      </c>
      <c r="B370" s="118" t="s">
        <v>354</v>
      </c>
      <c r="C370" s="119" t="s">
        <v>74</v>
      </c>
      <c r="D370" s="119" t="s">
        <v>66</v>
      </c>
      <c r="E370" s="120" t="s">
        <v>116</v>
      </c>
      <c r="F370" s="117"/>
      <c r="G370" s="183">
        <f t="shared" si="16"/>
        <v>173.89999999999998</v>
      </c>
      <c r="H370" s="102"/>
      <c r="I370" s="102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</row>
    <row r="371" spans="1:41" s="5" customFormat="1" ht="22.5">
      <c r="A371" s="132" t="s">
        <v>157</v>
      </c>
      <c r="B371" s="118" t="s">
        <v>354</v>
      </c>
      <c r="C371" s="119" t="s">
        <v>74</v>
      </c>
      <c r="D371" s="119" t="s">
        <v>66</v>
      </c>
      <c r="E371" s="120" t="s">
        <v>116</v>
      </c>
      <c r="F371" s="117">
        <v>726</v>
      </c>
      <c r="G371" s="183">
        <f>173.2+0.7</f>
        <v>173.89999999999998</v>
      </c>
      <c r="H371" s="102"/>
      <c r="I371" s="102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</row>
    <row r="372" spans="1:41" s="5" customFormat="1" ht="12.75">
      <c r="A372" s="131" t="s">
        <v>201</v>
      </c>
      <c r="B372" s="114" t="s">
        <v>355</v>
      </c>
      <c r="C372" s="116"/>
      <c r="D372" s="116"/>
      <c r="E372" s="121"/>
      <c r="F372" s="113"/>
      <c r="G372" s="182">
        <f aca="true" t="shared" si="17" ref="G372:G377">G373</f>
        <v>0</v>
      </c>
      <c r="H372" s="102"/>
      <c r="I372" s="102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</row>
    <row r="373" spans="1:41" s="5" customFormat="1" ht="12.75">
      <c r="A373" s="131" t="s">
        <v>83</v>
      </c>
      <c r="B373" s="114" t="s">
        <v>355</v>
      </c>
      <c r="C373" s="116" t="s">
        <v>74</v>
      </c>
      <c r="D373" s="116" t="s">
        <v>36</v>
      </c>
      <c r="E373" s="117"/>
      <c r="F373" s="117"/>
      <c r="G373" s="182">
        <f t="shared" si="17"/>
        <v>0</v>
      </c>
      <c r="H373" s="102"/>
      <c r="I373" s="102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</row>
    <row r="374" spans="1:41" s="5" customFormat="1" ht="12.75">
      <c r="A374" s="132" t="s">
        <v>84</v>
      </c>
      <c r="B374" s="118" t="s">
        <v>355</v>
      </c>
      <c r="C374" s="119" t="s">
        <v>74</v>
      </c>
      <c r="D374" s="119" t="s">
        <v>66</v>
      </c>
      <c r="E374" s="117"/>
      <c r="F374" s="117"/>
      <c r="G374" s="183">
        <f t="shared" si="17"/>
        <v>0</v>
      </c>
      <c r="H374" s="102"/>
      <c r="I374" s="102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</row>
    <row r="375" spans="1:41" s="5" customFormat="1" ht="22.5">
      <c r="A375" s="134" t="s">
        <v>105</v>
      </c>
      <c r="B375" s="118" t="s">
        <v>355</v>
      </c>
      <c r="C375" s="119" t="s">
        <v>74</v>
      </c>
      <c r="D375" s="119" t="s">
        <v>66</v>
      </c>
      <c r="E375" s="120" t="s">
        <v>106</v>
      </c>
      <c r="F375" s="117"/>
      <c r="G375" s="183">
        <f t="shared" si="17"/>
        <v>0</v>
      </c>
      <c r="H375" s="102"/>
      <c r="I375" s="102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</row>
    <row r="376" spans="1:41" s="5" customFormat="1" ht="12.75">
      <c r="A376" s="134" t="s">
        <v>111</v>
      </c>
      <c r="B376" s="118" t="s">
        <v>355</v>
      </c>
      <c r="C376" s="119" t="s">
        <v>74</v>
      </c>
      <c r="D376" s="119" t="s">
        <v>66</v>
      </c>
      <c r="E376" s="120" t="s">
        <v>112</v>
      </c>
      <c r="F376" s="117"/>
      <c r="G376" s="183">
        <f t="shared" si="17"/>
        <v>0</v>
      </c>
      <c r="H376" s="102"/>
      <c r="I376" s="102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</row>
    <row r="377" spans="1:41" s="5" customFormat="1" ht="12.75">
      <c r="A377" s="134" t="s">
        <v>115</v>
      </c>
      <c r="B377" s="118" t="s">
        <v>355</v>
      </c>
      <c r="C377" s="119" t="s">
        <v>74</v>
      </c>
      <c r="D377" s="119" t="s">
        <v>66</v>
      </c>
      <c r="E377" s="120" t="s">
        <v>116</v>
      </c>
      <c r="F377" s="117"/>
      <c r="G377" s="183">
        <f t="shared" si="17"/>
        <v>0</v>
      </c>
      <c r="H377" s="102"/>
      <c r="I377" s="102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</row>
    <row r="378" spans="1:41" s="5" customFormat="1" ht="22.5">
      <c r="A378" s="132" t="s">
        <v>157</v>
      </c>
      <c r="B378" s="118" t="s">
        <v>355</v>
      </c>
      <c r="C378" s="119" t="s">
        <v>74</v>
      </c>
      <c r="D378" s="119" t="s">
        <v>66</v>
      </c>
      <c r="E378" s="120" t="s">
        <v>116</v>
      </c>
      <c r="F378" s="117">
        <v>726</v>
      </c>
      <c r="G378" s="183">
        <f>615.9-48.9-567</f>
        <v>0</v>
      </c>
      <c r="H378" s="102"/>
      <c r="I378" s="102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</row>
    <row r="379" spans="1:41" s="5" customFormat="1" ht="21.75">
      <c r="A379" s="131" t="s">
        <v>833</v>
      </c>
      <c r="B379" s="114" t="s">
        <v>834</v>
      </c>
      <c r="C379" s="119"/>
      <c r="D379" s="119"/>
      <c r="E379" s="120"/>
      <c r="F379" s="117"/>
      <c r="G379" s="182">
        <f>G380</f>
        <v>1200</v>
      </c>
      <c r="H379" s="102"/>
      <c r="I379" s="102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</row>
    <row r="380" spans="1:41" s="5" customFormat="1" ht="12.75">
      <c r="A380" s="131" t="s">
        <v>83</v>
      </c>
      <c r="B380" s="114" t="s">
        <v>834</v>
      </c>
      <c r="C380" s="116" t="s">
        <v>74</v>
      </c>
      <c r="D380" s="116" t="s">
        <v>36</v>
      </c>
      <c r="E380" s="117"/>
      <c r="F380" s="117"/>
      <c r="G380" s="182">
        <f>G381</f>
        <v>1200</v>
      </c>
      <c r="H380" s="102"/>
      <c r="I380" s="102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</row>
    <row r="381" spans="1:41" s="5" customFormat="1" ht="12.75">
      <c r="A381" s="132" t="s">
        <v>84</v>
      </c>
      <c r="B381" s="118" t="s">
        <v>834</v>
      </c>
      <c r="C381" s="119" t="s">
        <v>74</v>
      </c>
      <c r="D381" s="119" t="s">
        <v>66</v>
      </c>
      <c r="E381" s="117"/>
      <c r="F381" s="117"/>
      <c r="G381" s="183">
        <f>G382</f>
        <v>1200</v>
      </c>
      <c r="H381" s="102"/>
      <c r="I381" s="102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</row>
    <row r="382" spans="1:41" s="5" customFormat="1" ht="22.5">
      <c r="A382" s="134" t="s">
        <v>105</v>
      </c>
      <c r="B382" s="118" t="s">
        <v>834</v>
      </c>
      <c r="C382" s="119" t="s">
        <v>74</v>
      </c>
      <c r="D382" s="119" t="s">
        <v>66</v>
      </c>
      <c r="E382" s="120" t="s">
        <v>106</v>
      </c>
      <c r="F382" s="117"/>
      <c r="G382" s="183">
        <f>G383</f>
        <v>1200</v>
      </c>
      <c r="H382" s="102"/>
      <c r="I382" s="102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</row>
    <row r="383" spans="1:41" s="5" customFormat="1" ht="12.75">
      <c r="A383" s="134" t="s">
        <v>111</v>
      </c>
      <c r="B383" s="118" t="s">
        <v>834</v>
      </c>
      <c r="C383" s="119" t="s">
        <v>74</v>
      </c>
      <c r="D383" s="119" t="s">
        <v>66</v>
      </c>
      <c r="E383" s="120" t="s">
        <v>112</v>
      </c>
      <c r="F383" s="117"/>
      <c r="G383" s="183">
        <f>G384</f>
        <v>1200</v>
      </c>
      <c r="H383" s="102"/>
      <c r="I383" s="102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</row>
    <row r="384" spans="1:41" s="5" customFormat="1" ht="12.75">
      <c r="A384" s="134" t="s">
        <v>115</v>
      </c>
      <c r="B384" s="118" t="s">
        <v>834</v>
      </c>
      <c r="C384" s="119" t="s">
        <v>74</v>
      </c>
      <c r="D384" s="119" t="s">
        <v>66</v>
      </c>
      <c r="E384" s="120" t="s">
        <v>116</v>
      </c>
      <c r="F384" s="117"/>
      <c r="G384" s="183">
        <v>1200</v>
      </c>
      <c r="H384" s="102"/>
      <c r="I384" s="102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</row>
    <row r="385" spans="1:41" s="5" customFormat="1" ht="22.5">
      <c r="A385" s="132" t="s">
        <v>157</v>
      </c>
      <c r="B385" s="118" t="s">
        <v>834</v>
      </c>
      <c r="C385" s="119" t="s">
        <v>74</v>
      </c>
      <c r="D385" s="119" t="s">
        <v>66</v>
      </c>
      <c r="E385" s="120" t="s">
        <v>116</v>
      </c>
      <c r="F385" s="117">
        <v>726</v>
      </c>
      <c r="G385" s="183">
        <v>1200</v>
      </c>
      <c r="H385" s="102"/>
      <c r="I385" s="102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</row>
    <row r="386" spans="1:41" s="5" customFormat="1" ht="21.75">
      <c r="A386" s="131" t="s">
        <v>833</v>
      </c>
      <c r="B386" s="114" t="s">
        <v>835</v>
      </c>
      <c r="C386" s="119"/>
      <c r="D386" s="119"/>
      <c r="E386" s="120"/>
      <c r="F386" s="117"/>
      <c r="G386" s="182">
        <f>G387</f>
        <v>10</v>
      </c>
      <c r="H386" s="102"/>
      <c r="I386" s="102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</row>
    <row r="387" spans="1:41" s="5" customFormat="1" ht="12.75">
      <c r="A387" s="131" t="s">
        <v>83</v>
      </c>
      <c r="B387" s="118" t="s">
        <v>835</v>
      </c>
      <c r="C387" s="116" t="s">
        <v>74</v>
      </c>
      <c r="D387" s="116" t="s">
        <v>36</v>
      </c>
      <c r="E387" s="117"/>
      <c r="F387" s="117"/>
      <c r="G387" s="182">
        <f>G388</f>
        <v>10</v>
      </c>
      <c r="H387" s="102"/>
      <c r="I387" s="102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</row>
    <row r="388" spans="1:41" s="5" customFormat="1" ht="12.75">
      <c r="A388" s="132" t="s">
        <v>84</v>
      </c>
      <c r="B388" s="118" t="s">
        <v>835</v>
      </c>
      <c r="C388" s="119" t="s">
        <v>74</v>
      </c>
      <c r="D388" s="119" t="s">
        <v>66</v>
      </c>
      <c r="E388" s="117"/>
      <c r="F388" s="117"/>
      <c r="G388" s="183">
        <f>G389</f>
        <v>10</v>
      </c>
      <c r="H388" s="102"/>
      <c r="I388" s="102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</row>
    <row r="389" spans="1:41" s="5" customFormat="1" ht="22.5">
      <c r="A389" s="134" t="s">
        <v>105</v>
      </c>
      <c r="B389" s="118" t="s">
        <v>835</v>
      </c>
      <c r="C389" s="119" t="s">
        <v>74</v>
      </c>
      <c r="D389" s="119" t="s">
        <v>66</v>
      </c>
      <c r="E389" s="120" t="s">
        <v>106</v>
      </c>
      <c r="F389" s="117"/>
      <c r="G389" s="183">
        <f>G390</f>
        <v>10</v>
      </c>
      <c r="H389" s="102"/>
      <c r="I389" s="102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</row>
    <row r="390" spans="1:41" s="5" customFormat="1" ht="12.75">
      <c r="A390" s="134" t="s">
        <v>111</v>
      </c>
      <c r="B390" s="118" t="s">
        <v>835</v>
      </c>
      <c r="C390" s="119" t="s">
        <v>74</v>
      </c>
      <c r="D390" s="119" t="s">
        <v>66</v>
      </c>
      <c r="E390" s="120" t="s">
        <v>112</v>
      </c>
      <c r="F390" s="117"/>
      <c r="G390" s="183">
        <f>G391</f>
        <v>10</v>
      </c>
      <c r="H390" s="102"/>
      <c r="I390" s="102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</row>
    <row r="391" spans="1:41" s="5" customFormat="1" ht="12.75">
      <c r="A391" s="134" t="s">
        <v>115</v>
      </c>
      <c r="B391" s="118" t="s">
        <v>835</v>
      </c>
      <c r="C391" s="119" t="s">
        <v>74</v>
      </c>
      <c r="D391" s="119" t="s">
        <v>66</v>
      </c>
      <c r="E391" s="120" t="s">
        <v>116</v>
      </c>
      <c r="F391" s="117"/>
      <c r="G391" s="183">
        <v>10</v>
      </c>
      <c r="H391" s="102"/>
      <c r="I391" s="102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</row>
    <row r="392" spans="1:41" s="5" customFormat="1" ht="22.5">
      <c r="A392" s="132" t="s">
        <v>157</v>
      </c>
      <c r="B392" s="118" t="s">
        <v>835</v>
      </c>
      <c r="C392" s="119" t="s">
        <v>74</v>
      </c>
      <c r="D392" s="119" t="s">
        <v>66</v>
      </c>
      <c r="E392" s="120" t="s">
        <v>116</v>
      </c>
      <c r="F392" s="117">
        <v>726</v>
      </c>
      <c r="G392" s="183">
        <v>10</v>
      </c>
      <c r="H392" s="102"/>
      <c r="I392" s="102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</row>
    <row r="393" spans="1:41" s="5" customFormat="1" ht="21.75">
      <c r="A393" s="131" t="s">
        <v>560</v>
      </c>
      <c r="B393" s="114" t="s">
        <v>203</v>
      </c>
      <c r="C393" s="119"/>
      <c r="D393" s="119"/>
      <c r="E393" s="117"/>
      <c r="F393" s="117"/>
      <c r="G393" s="182">
        <f>G394</f>
        <v>1336.3</v>
      </c>
      <c r="H393" s="102"/>
      <c r="I393" s="102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</row>
    <row r="394" spans="1:41" s="5" customFormat="1" ht="21.75">
      <c r="A394" s="131" t="s">
        <v>260</v>
      </c>
      <c r="B394" s="114" t="s">
        <v>351</v>
      </c>
      <c r="C394" s="119"/>
      <c r="D394" s="119"/>
      <c r="E394" s="117"/>
      <c r="F394" s="117"/>
      <c r="G394" s="182">
        <f>G403+G395</f>
        <v>1336.3</v>
      </c>
      <c r="H394" s="102"/>
      <c r="I394" s="102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</row>
    <row r="395" spans="1:41" s="68" customFormat="1" ht="24.75" customHeight="1">
      <c r="A395" s="131" t="s">
        <v>802</v>
      </c>
      <c r="B395" s="114" t="s">
        <v>801</v>
      </c>
      <c r="C395" s="116"/>
      <c r="D395" s="116"/>
      <c r="E395" s="113"/>
      <c r="F395" s="113"/>
      <c r="G395" s="182">
        <f aca="true" t="shared" si="18" ref="G395:G400">G396</f>
        <v>1131.8</v>
      </c>
      <c r="H395" s="102"/>
      <c r="I395" s="106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0"/>
      <c r="AL395" s="100"/>
      <c r="AM395" s="100"/>
      <c r="AN395" s="100"/>
      <c r="AO395" s="100"/>
    </row>
    <row r="396" spans="1:41" s="5" customFormat="1" ht="12.75">
      <c r="A396" s="131" t="s">
        <v>62</v>
      </c>
      <c r="B396" s="114" t="s">
        <v>801</v>
      </c>
      <c r="C396" s="116" t="s">
        <v>71</v>
      </c>
      <c r="D396" s="116" t="s">
        <v>36</v>
      </c>
      <c r="E396" s="113"/>
      <c r="F396" s="113"/>
      <c r="G396" s="182">
        <f t="shared" si="18"/>
        <v>1131.8</v>
      </c>
      <c r="H396" s="102"/>
      <c r="I396" s="102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</row>
    <row r="397" spans="1:41" s="5" customFormat="1" ht="12.75">
      <c r="A397" s="132" t="s">
        <v>61</v>
      </c>
      <c r="B397" s="118" t="s">
        <v>801</v>
      </c>
      <c r="C397" s="119" t="s">
        <v>71</v>
      </c>
      <c r="D397" s="119" t="s">
        <v>70</v>
      </c>
      <c r="E397" s="117"/>
      <c r="F397" s="117"/>
      <c r="G397" s="183">
        <f t="shared" si="18"/>
        <v>1131.8</v>
      </c>
      <c r="H397" s="102"/>
      <c r="I397" s="102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</row>
    <row r="398" spans="1:41" s="5" customFormat="1" ht="12.75">
      <c r="A398" s="134" t="s">
        <v>117</v>
      </c>
      <c r="B398" s="118" t="s">
        <v>801</v>
      </c>
      <c r="C398" s="119" t="s">
        <v>71</v>
      </c>
      <c r="D398" s="119" t="s">
        <v>70</v>
      </c>
      <c r="E398" s="120" t="s">
        <v>118</v>
      </c>
      <c r="F398" s="117"/>
      <c r="G398" s="183">
        <f t="shared" si="18"/>
        <v>1131.8</v>
      </c>
      <c r="H398" s="102"/>
      <c r="I398" s="102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</row>
    <row r="399" spans="1:41" s="5" customFormat="1" ht="22.5">
      <c r="A399" s="134" t="s">
        <v>137</v>
      </c>
      <c r="B399" s="118" t="s">
        <v>801</v>
      </c>
      <c r="C399" s="119" t="s">
        <v>71</v>
      </c>
      <c r="D399" s="119" t="s">
        <v>70</v>
      </c>
      <c r="E399" s="120" t="s">
        <v>136</v>
      </c>
      <c r="F399" s="117"/>
      <c r="G399" s="183">
        <f t="shared" si="18"/>
        <v>1131.8</v>
      </c>
      <c r="H399" s="102"/>
      <c r="I399" s="102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</row>
    <row r="400" spans="1:41" s="5" customFormat="1" ht="12.75">
      <c r="A400" s="134" t="s">
        <v>562</v>
      </c>
      <c r="B400" s="118" t="s">
        <v>801</v>
      </c>
      <c r="C400" s="119" t="s">
        <v>71</v>
      </c>
      <c r="D400" s="119" t="s">
        <v>70</v>
      </c>
      <c r="E400" s="120" t="s">
        <v>563</v>
      </c>
      <c r="F400" s="117"/>
      <c r="G400" s="183">
        <f t="shared" si="18"/>
        <v>1131.8</v>
      </c>
      <c r="H400" s="102"/>
      <c r="I400" s="102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</row>
    <row r="401" spans="1:41" s="5" customFormat="1" ht="22.5">
      <c r="A401" s="132" t="s">
        <v>157</v>
      </c>
      <c r="B401" s="118" t="s">
        <v>801</v>
      </c>
      <c r="C401" s="119" t="s">
        <v>71</v>
      </c>
      <c r="D401" s="119" t="s">
        <v>70</v>
      </c>
      <c r="E401" s="120" t="s">
        <v>563</v>
      </c>
      <c r="F401" s="117">
        <v>726</v>
      </c>
      <c r="G401" s="183">
        <v>1131.8</v>
      </c>
      <c r="H401" s="102"/>
      <c r="I401" s="102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</row>
    <row r="402" spans="1:41" s="5" customFormat="1" ht="12.75" hidden="1">
      <c r="A402" s="131"/>
      <c r="B402" s="114"/>
      <c r="C402" s="119"/>
      <c r="D402" s="119"/>
      <c r="E402" s="117"/>
      <c r="F402" s="117"/>
      <c r="G402" s="182"/>
      <c r="H402" s="102"/>
      <c r="I402" s="102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</row>
    <row r="403" spans="1:41" s="68" customFormat="1" ht="21.75">
      <c r="A403" s="131" t="s">
        <v>806</v>
      </c>
      <c r="B403" s="114" t="s">
        <v>561</v>
      </c>
      <c r="C403" s="116"/>
      <c r="D403" s="116"/>
      <c r="E403" s="113"/>
      <c r="F403" s="113"/>
      <c r="G403" s="182">
        <f aca="true" t="shared" si="19" ref="G403:G408">G404</f>
        <v>204.5</v>
      </c>
      <c r="H403" s="106"/>
      <c r="I403" s="106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100"/>
      <c r="AM403" s="100"/>
      <c r="AN403" s="100"/>
      <c r="AO403" s="100"/>
    </row>
    <row r="404" spans="1:41" s="5" customFormat="1" ht="12.75">
      <c r="A404" s="131" t="s">
        <v>62</v>
      </c>
      <c r="B404" s="114" t="s">
        <v>561</v>
      </c>
      <c r="C404" s="116" t="s">
        <v>71</v>
      </c>
      <c r="D404" s="116" t="s">
        <v>36</v>
      </c>
      <c r="E404" s="113"/>
      <c r="F404" s="113"/>
      <c r="G404" s="182">
        <f t="shared" si="19"/>
        <v>204.5</v>
      </c>
      <c r="H404" s="102"/>
      <c r="I404" s="102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</row>
    <row r="405" spans="1:41" s="5" customFormat="1" ht="12.75">
      <c r="A405" s="132" t="s">
        <v>61</v>
      </c>
      <c r="B405" s="118" t="s">
        <v>561</v>
      </c>
      <c r="C405" s="119" t="s">
        <v>71</v>
      </c>
      <c r="D405" s="119" t="s">
        <v>70</v>
      </c>
      <c r="E405" s="117"/>
      <c r="F405" s="117"/>
      <c r="G405" s="183">
        <f t="shared" si="19"/>
        <v>204.5</v>
      </c>
      <c r="H405" s="102"/>
      <c r="I405" s="102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</row>
    <row r="406" spans="1:41" s="5" customFormat="1" ht="12.75">
      <c r="A406" s="134" t="s">
        <v>117</v>
      </c>
      <c r="B406" s="118" t="s">
        <v>561</v>
      </c>
      <c r="C406" s="119" t="s">
        <v>71</v>
      </c>
      <c r="D406" s="119" t="s">
        <v>70</v>
      </c>
      <c r="E406" s="120" t="s">
        <v>118</v>
      </c>
      <c r="F406" s="117"/>
      <c r="G406" s="183">
        <f t="shared" si="19"/>
        <v>204.5</v>
      </c>
      <c r="H406" s="102"/>
      <c r="I406" s="102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</row>
    <row r="407" spans="1:41" s="5" customFormat="1" ht="22.5">
      <c r="A407" s="134" t="s">
        <v>137</v>
      </c>
      <c r="B407" s="118" t="s">
        <v>561</v>
      </c>
      <c r="C407" s="119" t="s">
        <v>71</v>
      </c>
      <c r="D407" s="119" t="s">
        <v>70</v>
      </c>
      <c r="E407" s="120" t="s">
        <v>136</v>
      </c>
      <c r="F407" s="117"/>
      <c r="G407" s="183">
        <f t="shared" si="19"/>
        <v>204.5</v>
      </c>
      <c r="H407" s="102"/>
      <c r="I407" s="102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</row>
    <row r="408" spans="1:41" s="5" customFormat="1" ht="12.75">
      <c r="A408" s="134" t="str">
        <f>'пр.4 вед.стр.'!A1149</f>
        <v>Субсидии гражданам на приобретение жилья</v>
      </c>
      <c r="B408" s="118" t="s">
        <v>561</v>
      </c>
      <c r="C408" s="119" t="s">
        <v>71</v>
      </c>
      <c r="D408" s="119" t="s">
        <v>70</v>
      </c>
      <c r="E408" s="120" t="s">
        <v>563</v>
      </c>
      <c r="F408" s="117"/>
      <c r="G408" s="183">
        <f t="shared" si="19"/>
        <v>204.5</v>
      </c>
      <c r="H408" s="102"/>
      <c r="I408" s="102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</row>
    <row r="409" spans="1:41" s="5" customFormat="1" ht="22.5">
      <c r="A409" s="132" t="s">
        <v>157</v>
      </c>
      <c r="B409" s="118" t="s">
        <v>561</v>
      </c>
      <c r="C409" s="119" t="s">
        <v>71</v>
      </c>
      <c r="D409" s="119" t="s">
        <v>70</v>
      </c>
      <c r="E409" s="120" t="s">
        <v>563</v>
      </c>
      <c r="F409" s="117">
        <v>726</v>
      </c>
      <c r="G409" s="183">
        <v>204.5</v>
      </c>
      <c r="H409" s="102"/>
      <c r="I409" s="102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</row>
    <row r="410" spans="1:41" s="5" customFormat="1" ht="12.75">
      <c r="A410" s="131" t="s">
        <v>537</v>
      </c>
      <c r="B410" s="114" t="s">
        <v>181</v>
      </c>
      <c r="C410" s="118"/>
      <c r="D410" s="118"/>
      <c r="E410" s="117"/>
      <c r="F410" s="117"/>
      <c r="G410" s="182">
        <f>G411</f>
        <v>6193.2</v>
      </c>
      <c r="H410" s="102"/>
      <c r="I410" s="102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</row>
    <row r="411" spans="1:41" s="5" customFormat="1" ht="24.75" customHeight="1">
      <c r="A411" s="131" t="s">
        <v>252</v>
      </c>
      <c r="B411" s="114" t="s">
        <v>337</v>
      </c>
      <c r="C411" s="118"/>
      <c r="D411" s="118"/>
      <c r="E411" s="117"/>
      <c r="F411" s="117"/>
      <c r="G411" s="182">
        <f>G419+G412</f>
        <v>6193.2</v>
      </c>
      <c r="H411" s="102"/>
      <c r="I411" s="102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</row>
    <row r="412" spans="1:41" s="70" customFormat="1" ht="30.75" customHeight="1">
      <c r="A412" s="136" t="s">
        <v>538</v>
      </c>
      <c r="B412" s="114" t="s">
        <v>539</v>
      </c>
      <c r="C412" s="114"/>
      <c r="D412" s="114"/>
      <c r="E412" s="113"/>
      <c r="F412" s="113"/>
      <c r="G412" s="182">
        <f aca="true" t="shared" si="20" ref="G412:G417">G413</f>
        <v>2736.1</v>
      </c>
      <c r="H412" s="210"/>
      <c r="I412" s="210"/>
      <c r="J412" s="211"/>
      <c r="K412" s="211"/>
      <c r="L412" s="211"/>
      <c r="M412" s="211"/>
      <c r="N412" s="211"/>
      <c r="O412" s="211"/>
      <c r="P412" s="211"/>
      <c r="Q412" s="211"/>
      <c r="R412" s="211"/>
      <c r="S412" s="211"/>
      <c r="T412" s="211"/>
      <c r="U412" s="211"/>
      <c r="V412" s="211"/>
      <c r="W412" s="211"/>
      <c r="X412" s="211"/>
      <c r="Y412" s="211"/>
      <c r="Z412" s="211"/>
      <c r="AA412" s="211"/>
      <c r="AB412" s="211"/>
      <c r="AC412" s="211"/>
      <c r="AD412" s="211"/>
      <c r="AE412" s="211"/>
      <c r="AF412" s="211"/>
      <c r="AG412" s="211"/>
      <c r="AH412" s="211"/>
      <c r="AI412" s="211"/>
      <c r="AJ412" s="211"/>
      <c r="AK412" s="211"/>
      <c r="AL412" s="211"/>
      <c r="AM412" s="211"/>
      <c r="AN412" s="211"/>
      <c r="AO412" s="211"/>
    </row>
    <row r="413" spans="1:41" s="73" customFormat="1" ht="15" customHeight="1">
      <c r="A413" s="131" t="s">
        <v>8</v>
      </c>
      <c r="B413" s="114" t="s">
        <v>539</v>
      </c>
      <c r="C413" s="116" t="s">
        <v>69</v>
      </c>
      <c r="D413" s="116" t="s">
        <v>36</v>
      </c>
      <c r="E413" s="117"/>
      <c r="F413" s="117"/>
      <c r="G413" s="182">
        <f t="shared" si="20"/>
        <v>2736.1</v>
      </c>
      <c r="H413" s="212"/>
      <c r="I413" s="212"/>
      <c r="J413" s="213"/>
      <c r="K413" s="213"/>
      <c r="L413" s="213"/>
      <c r="M413" s="213"/>
      <c r="N413" s="213"/>
      <c r="O413" s="213"/>
      <c r="P413" s="213"/>
      <c r="Q413" s="213"/>
      <c r="R413" s="213"/>
      <c r="S413" s="213"/>
      <c r="T413" s="213"/>
      <c r="U413" s="213"/>
      <c r="V413" s="213"/>
      <c r="W413" s="213"/>
      <c r="X413" s="213"/>
      <c r="Y413" s="213"/>
      <c r="Z413" s="213"/>
      <c r="AA413" s="213"/>
      <c r="AB413" s="213"/>
      <c r="AC413" s="213"/>
      <c r="AD413" s="213"/>
      <c r="AE413" s="213"/>
      <c r="AF413" s="213"/>
      <c r="AG413" s="213"/>
      <c r="AH413" s="213"/>
      <c r="AI413" s="213"/>
      <c r="AJ413" s="213"/>
      <c r="AK413" s="213"/>
      <c r="AL413" s="213"/>
      <c r="AM413" s="213"/>
      <c r="AN413" s="213"/>
      <c r="AO413" s="213"/>
    </row>
    <row r="414" spans="1:41" s="73" customFormat="1" ht="12" customHeight="1">
      <c r="A414" s="132" t="s">
        <v>613</v>
      </c>
      <c r="B414" s="118" t="s">
        <v>539</v>
      </c>
      <c r="C414" s="119" t="s">
        <v>69</v>
      </c>
      <c r="D414" s="119" t="s">
        <v>69</v>
      </c>
      <c r="E414" s="117"/>
      <c r="F414" s="117"/>
      <c r="G414" s="183">
        <f t="shared" si="20"/>
        <v>2736.1</v>
      </c>
      <c r="H414" s="212"/>
      <c r="I414" s="212"/>
      <c r="J414" s="213"/>
      <c r="K414" s="213"/>
      <c r="L414" s="213"/>
      <c r="M414" s="213"/>
      <c r="N414" s="213"/>
      <c r="O414" s="213"/>
      <c r="P414" s="213"/>
      <c r="Q414" s="213"/>
      <c r="R414" s="213"/>
      <c r="S414" s="213"/>
      <c r="T414" s="213"/>
      <c r="U414" s="213"/>
      <c r="V414" s="213"/>
      <c r="W414" s="213"/>
      <c r="X414" s="213"/>
      <c r="Y414" s="213"/>
      <c r="Z414" s="213"/>
      <c r="AA414" s="213"/>
      <c r="AB414" s="213"/>
      <c r="AC414" s="213"/>
      <c r="AD414" s="213"/>
      <c r="AE414" s="213"/>
      <c r="AF414" s="213"/>
      <c r="AG414" s="213"/>
      <c r="AH414" s="213"/>
      <c r="AI414" s="213"/>
      <c r="AJ414" s="213"/>
      <c r="AK414" s="213"/>
      <c r="AL414" s="213"/>
      <c r="AM414" s="213"/>
      <c r="AN414" s="213"/>
      <c r="AO414" s="213"/>
    </row>
    <row r="415" spans="1:41" s="73" customFormat="1" ht="24.75" customHeight="1">
      <c r="A415" s="134" t="s">
        <v>105</v>
      </c>
      <c r="B415" s="118" t="s">
        <v>539</v>
      </c>
      <c r="C415" s="119" t="s">
        <v>69</v>
      </c>
      <c r="D415" s="119" t="s">
        <v>69</v>
      </c>
      <c r="E415" s="117">
        <v>600</v>
      </c>
      <c r="F415" s="117"/>
      <c r="G415" s="183">
        <f t="shared" si="20"/>
        <v>2736.1</v>
      </c>
      <c r="H415" s="212"/>
      <c r="I415" s="212"/>
      <c r="J415" s="213"/>
      <c r="K415" s="213"/>
      <c r="L415" s="213"/>
      <c r="M415" s="213"/>
      <c r="N415" s="213"/>
      <c r="O415" s="213"/>
      <c r="P415" s="213"/>
      <c r="Q415" s="213"/>
      <c r="R415" s="213"/>
      <c r="S415" s="213"/>
      <c r="T415" s="213"/>
      <c r="U415" s="213"/>
      <c r="V415" s="213"/>
      <c r="W415" s="213"/>
      <c r="X415" s="213"/>
      <c r="Y415" s="213"/>
      <c r="Z415" s="213"/>
      <c r="AA415" s="213"/>
      <c r="AB415" s="213"/>
      <c r="AC415" s="213"/>
      <c r="AD415" s="213"/>
      <c r="AE415" s="213"/>
      <c r="AF415" s="213"/>
      <c r="AG415" s="213"/>
      <c r="AH415" s="213"/>
      <c r="AI415" s="213"/>
      <c r="AJ415" s="213"/>
      <c r="AK415" s="213"/>
      <c r="AL415" s="213"/>
      <c r="AM415" s="213"/>
      <c r="AN415" s="213"/>
      <c r="AO415" s="213"/>
    </row>
    <row r="416" spans="1:41" s="73" customFormat="1" ht="16.5" customHeight="1">
      <c r="A416" s="134" t="s">
        <v>111</v>
      </c>
      <c r="B416" s="118" t="s">
        <v>539</v>
      </c>
      <c r="C416" s="119" t="s">
        <v>69</v>
      </c>
      <c r="D416" s="119" t="s">
        <v>69</v>
      </c>
      <c r="E416" s="117">
        <v>610</v>
      </c>
      <c r="F416" s="117"/>
      <c r="G416" s="183">
        <f t="shared" si="20"/>
        <v>2736.1</v>
      </c>
      <c r="H416" s="212"/>
      <c r="I416" s="212"/>
      <c r="J416" s="213"/>
      <c r="K416" s="213"/>
      <c r="L416" s="213"/>
      <c r="M416" s="213"/>
      <c r="N416" s="213"/>
      <c r="O416" s="213"/>
      <c r="P416" s="213"/>
      <c r="Q416" s="213"/>
      <c r="R416" s="213"/>
      <c r="S416" s="213"/>
      <c r="T416" s="213"/>
      <c r="U416" s="213"/>
      <c r="V416" s="213"/>
      <c r="W416" s="213"/>
      <c r="X416" s="213"/>
      <c r="Y416" s="213"/>
      <c r="Z416" s="213"/>
      <c r="AA416" s="213"/>
      <c r="AB416" s="213"/>
      <c r="AC416" s="213"/>
      <c r="AD416" s="213"/>
      <c r="AE416" s="213"/>
      <c r="AF416" s="213"/>
      <c r="AG416" s="213"/>
      <c r="AH416" s="213"/>
      <c r="AI416" s="213"/>
      <c r="AJ416" s="213"/>
      <c r="AK416" s="213"/>
      <c r="AL416" s="213"/>
      <c r="AM416" s="213"/>
      <c r="AN416" s="213"/>
      <c r="AO416" s="213"/>
    </row>
    <row r="417" spans="1:41" s="73" customFormat="1" ht="13.5" customHeight="1">
      <c r="A417" s="134" t="s">
        <v>115</v>
      </c>
      <c r="B417" s="118" t="s">
        <v>539</v>
      </c>
      <c r="C417" s="119" t="s">
        <v>69</v>
      </c>
      <c r="D417" s="119" t="s">
        <v>69</v>
      </c>
      <c r="E417" s="117">
        <v>612</v>
      </c>
      <c r="F417" s="117"/>
      <c r="G417" s="183">
        <f t="shared" si="20"/>
        <v>2736.1</v>
      </c>
      <c r="H417" s="212"/>
      <c r="I417" s="212"/>
      <c r="J417" s="213"/>
      <c r="K417" s="213"/>
      <c r="L417" s="213"/>
      <c r="M417" s="213"/>
      <c r="N417" s="213"/>
      <c r="O417" s="213"/>
      <c r="P417" s="213"/>
      <c r="Q417" s="213"/>
      <c r="R417" s="213"/>
      <c r="S417" s="213"/>
      <c r="T417" s="213"/>
      <c r="U417" s="213"/>
      <c r="V417" s="213"/>
      <c r="W417" s="213"/>
      <c r="X417" s="213"/>
      <c r="Y417" s="213"/>
      <c r="Z417" s="213"/>
      <c r="AA417" s="213"/>
      <c r="AB417" s="213"/>
      <c r="AC417" s="213"/>
      <c r="AD417" s="213"/>
      <c r="AE417" s="213"/>
      <c r="AF417" s="213"/>
      <c r="AG417" s="213"/>
      <c r="AH417" s="213"/>
      <c r="AI417" s="213"/>
      <c r="AJ417" s="213"/>
      <c r="AK417" s="213"/>
      <c r="AL417" s="213"/>
      <c r="AM417" s="213"/>
      <c r="AN417" s="213"/>
      <c r="AO417" s="213"/>
    </row>
    <row r="418" spans="1:41" s="73" customFormat="1" ht="15" customHeight="1">
      <c r="A418" s="132" t="s">
        <v>156</v>
      </c>
      <c r="B418" s="118" t="s">
        <v>539</v>
      </c>
      <c r="C418" s="119" t="s">
        <v>69</v>
      </c>
      <c r="D418" s="119" t="s">
        <v>69</v>
      </c>
      <c r="E418" s="117">
        <v>612</v>
      </c>
      <c r="F418" s="117">
        <v>725</v>
      </c>
      <c r="G418" s="183">
        <v>2736.1</v>
      </c>
      <c r="H418" s="212"/>
      <c r="I418" s="212"/>
      <c r="J418" s="213"/>
      <c r="K418" s="213"/>
      <c r="L418" s="213"/>
      <c r="M418" s="213"/>
      <c r="N418" s="213"/>
      <c r="O418" s="213"/>
      <c r="P418" s="213"/>
      <c r="Q418" s="213"/>
      <c r="R418" s="213"/>
      <c r="S418" s="213"/>
      <c r="T418" s="213"/>
      <c r="U418" s="213"/>
      <c r="V418" s="213"/>
      <c r="W418" s="213"/>
      <c r="X418" s="213"/>
      <c r="Y418" s="213"/>
      <c r="Z418" s="213"/>
      <c r="AA418" s="213"/>
      <c r="AB418" s="213"/>
      <c r="AC418" s="213"/>
      <c r="AD418" s="213"/>
      <c r="AE418" s="213"/>
      <c r="AF418" s="213"/>
      <c r="AG418" s="213"/>
      <c r="AH418" s="213"/>
      <c r="AI418" s="213"/>
      <c r="AJ418" s="213"/>
      <c r="AK418" s="213"/>
      <c r="AL418" s="213"/>
      <c r="AM418" s="213"/>
      <c r="AN418" s="213"/>
      <c r="AO418" s="213"/>
    </row>
    <row r="419" spans="1:41" s="11" customFormat="1" ht="21.75">
      <c r="A419" s="136" t="s">
        <v>540</v>
      </c>
      <c r="B419" s="114" t="s">
        <v>541</v>
      </c>
      <c r="C419" s="118"/>
      <c r="D419" s="118"/>
      <c r="E419" s="117"/>
      <c r="F419" s="117"/>
      <c r="G419" s="182">
        <f aca="true" t="shared" si="21" ref="G419:G424">G420</f>
        <v>3457.1</v>
      </c>
      <c r="H419" s="102"/>
      <c r="I419" s="102"/>
      <c r="J419" s="102"/>
      <c r="K419" s="102"/>
      <c r="L419" s="102"/>
      <c r="M419" s="102"/>
      <c r="N419" s="102"/>
      <c r="O419" s="102"/>
      <c r="P419" s="102"/>
      <c r="Q419" s="102"/>
      <c r="R419" s="102"/>
      <c r="S419" s="102"/>
      <c r="T419" s="102"/>
      <c r="U419" s="102"/>
      <c r="V419" s="102"/>
      <c r="W419" s="102"/>
      <c r="X419" s="102"/>
      <c r="Y419" s="102"/>
      <c r="Z419" s="102"/>
      <c r="AA419" s="102"/>
      <c r="AB419" s="102"/>
      <c r="AC419" s="102"/>
      <c r="AD419" s="102"/>
      <c r="AE419" s="102"/>
      <c r="AF419" s="102"/>
      <c r="AG419" s="102"/>
      <c r="AH419" s="102"/>
      <c r="AI419" s="102"/>
      <c r="AJ419" s="102"/>
      <c r="AK419" s="102"/>
      <c r="AL419" s="102"/>
      <c r="AM419" s="102"/>
      <c r="AN419" s="102"/>
      <c r="AO419" s="102"/>
    </row>
    <row r="420" spans="1:41" s="5" customFormat="1" ht="12.75">
      <c r="A420" s="131" t="s">
        <v>8</v>
      </c>
      <c r="B420" s="114" t="s">
        <v>541</v>
      </c>
      <c r="C420" s="116" t="s">
        <v>69</v>
      </c>
      <c r="D420" s="116" t="s">
        <v>36</v>
      </c>
      <c r="E420" s="117"/>
      <c r="F420" s="117"/>
      <c r="G420" s="182">
        <f t="shared" si="21"/>
        <v>3457.1</v>
      </c>
      <c r="H420" s="102"/>
      <c r="I420" s="102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</row>
    <row r="421" spans="1:41" s="5" customFormat="1" ht="12.75">
      <c r="A421" s="132" t="s">
        <v>613</v>
      </c>
      <c r="B421" s="118" t="s">
        <v>541</v>
      </c>
      <c r="C421" s="119" t="s">
        <v>69</v>
      </c>
      <c r="D421" s="119" t="s">
        <v>69</v>
      </c>
      <c r="E421" s="117"/>
      <c r="F421" s="117"/>
      <c r="G421" s="183">
        <f t="shared" si="21"/>
        <v>3457.1</v>
      </c>
      <c r="H421" s="102"/>
      <c r="I421" s="102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</row>
    <row r="422" spans="1:41" s="5" customFormat="1" ht="22.5">
      <c r="A422" s="134" t="s">
        <v>105</v>
      </c>
      <c r="B422" s="118" t="s">
        <v>541</v>
      </c>
      <c r="C422" s="119" t="s">
        <v>69</v>
      </c>
      <c r="D422" s="119" t="s">
        <v>69</v>
      </c>
      <c r="E422" s="120" t="s">
        <v>106</v>
      </c>
      <c r="F422" s="117"/>
      <c r="G422" s="183">
        <f t="shared" si="21"/>
        <v>3457.1</v>
      </c>
      <c r="H422" s="102"/>
      <c r="I422" s="102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</row>
    <row r="423" spans="1:41" s="5" customFormat="1" ht="12.75">
      <c r="A423" s="134" t="s">
        <v>111</v>
      </c>
      <c r="B423" s="118" t="s">
        <v>541</v>
      </c>
      <c r="C423" s="119" t="s">
        <v>69</v>
      </c>
      <c r="D423" s="119" t="s">
        <v>69</v>
      </c>
      <c r="E423" s="120" t="s">
        <v>112</v>
      </c>
      <c r="F423" s="117"/>
      <c r="G423" s="183">
        <f t="shared" si="21"/>
        <v>3457.1</v>
      </c>
      <c r="H423" s="102"/>
      <c r="I423" s="102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</row>
    <row r="424" spans="1:41" s="5" customFormat="1" ht="12.75">
      <c r="A424" s="134" t="s">
        <v>115</v>
      </c>
      <c r="B424" s="118" t="s">
        <v>541</v>
      </c>
      <c r="C424" s="119" t="s">
        <v>69</v>
      </c>
      <c r="D424" s="119" t="s">
        <v>69</v>
      </c>
      <c r="E424" s="120" t="s">
        <v>116</v>
      </c>
      <c r="F424" s="117"/>
      <c r="G424" s="183">
        <f t="shared" si="21"/>
        <v>3457.1</v>
      </c>
      <c r="H424" s="102"/>
      <c r="I424" s="102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</row>
    <row r="425" spans="1:41" s="5" customFormat="1" ht="12.75" customHeight="1">
      <c r="A425" s="132" t="s">
        <v>156</v>
      </c>
      <c r="B425" s="118" t="s">
        <v>541</v>
      </c>
      <c r="C425" s="119" t="s">
        <v>69</v>
      </c>
      <c r="D425" s="119" t="s">
        <v>69</v>
      </c>
      <c r="E425" s="120" t="s">
        <v>116</v>
      </c>
      <c r="F425" s="117">
        <v>725</v>
      </c>
      <c r="G425" s="183">
        <v>3457.1</v>
      </c>
      <c r="H425" s="102"/>
      <c r="I425" s="102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</row>
    <row r="426" spans="1:41" s="74" customFormat="1" ht="32.25">
      <c r="A426" s="131" t="s">
        <v>448</v>
      </c>
      <c r="B426" s="114" t="s">
        <v>169</v>
      </c>
      <c r="C426" s="119"/>
      <c r="D426" s="119"/>
      <c r="E426" s="117"/>
      <c r="F426" s="117"/>
      <c r="G426" s="182">
        <f>G427</f>
        <v>4512.4</v>
      </c>
      <c r="H426" s="105"/>
      <c r="I426" s="105"/>
      <c r="J426" s="215"/>
      <c r="K426" s="215"/>
      <c r="L426" s="215"/>
      <c r="M426" s="215"/>
      <c r="N426" s="215"/>
      <c r="O426" s="215"/>
      <c r="P426" s="215"/>
      <c r="Q426" s="215"/>
      <c r="R426" s="215"/>
      <c r="S426" s="215"/>
      <c r="T426" s="215"/>
      <c r="U426" s="215"/>
      <c r="V426" s="215"/>
      <c r="W426" s="215"/>
      <c r="X426" s="215"/>
      <c r="Y426" s="215"/>
      <c r="Z426" s="215"/>
      <c r="AA426" s="215"/>
      <c r="AB426" s="215"/>
      <c r="AC426" s="215"/>
      <c r="AD426" s="215"/>
      <c r="AE426" s="215"/>
      <c r="AF426" s="215"/>
      <c r="AG426" s="215"/>
      <c r="AH426" s="215"/>
      <c r="AI426" s="215"/>
      <c r="AJ426" s="215"/>
      <c r="AK426" s="215"/>
      <c r="AL426" s="215"/>
      <c r="AM426" s="215"/>
      <c r="AN426" s="215"/>
      <c r="AO426" s="215"/>
    </row>
    <row r="427" spans="1:41" s="74" customFormat="1" ht="21.75">
      <c r="A427" s="131" t="s">
        <v>274</v>
      </c>
      <c r="B427" s="114" t="s">
        <v>321</v>
      </c>
      <c r="C427" s="119"/>
      <c r="D427" s="119"/>
      <c r="E427" s="117"/>
      <c r="F427" s="117"/>
      <c r="G427" s="182">
        <f>G428+G435+G442</f>
        <v>4512.4</v>
      </c>
      <c r="H427" s="105"/>
      <c r="I427" s="105"/>
      <c r="J427" s="215"/>
      <c r="K427" s="215"/>
      <c r="L427" s="215"/>
      <c r="M427" s="215"/>
      <c r="N427" s="215"/>
      <c r="O427" s="215"/>
      <c r="P427" s="215"/>
      <c r="Q427" s="215"/>
      <c r="R427" s="215"/>
      <c r="S427" s="215"/>
      <c r="T427" s="215"/>
      <c r="U427" s="215"/>
      <c r="V427" s="215"/>
      <c r="W427" s="215"/>
      <c r="X427" s="215"/>
      <c r="Y427" s="215"/>
      <c r="Z427" s="215"/>
      <c r="AA427" s="215"/>
      <c r="AB427" s="215"/>
      <c r="AC427" s="215"/>
      <c r="AD427" s="215"/>
      <c r="AE427" s="215"/>
      <c r="AF427" s="215"/>
      <c r="AG427" s="215"/>
      <c r="AH427" s="215"/>
      <c r="AI427" s="215"/>
      <c r="AJ427" s="215"/>
      <c r="AK427" s="215"/>
      <c r="AL427" s="215"/>
      <c r="AM427" s="215"/>
      <c r="AN427" s="215"/>
      <c r="AO427" s="215"/>
    </row>
    <row r="428" spans="1:41" s="75" customFormat="1" ht="12.75">
      <c r="A428" s="136" t="s">
        <v>607</v>
      </c>
      <c r="B428" s="114" t="s">
        <v>583</v>
      </c>
      <c r="C428" s="116"/>
      <c r="D428" s="116"/>
      <c r="E428" s="121"/>
      <c r="F428" s="113"/>
      <c r="G428" s="182">
        <f aca="true" t="shared" si="22" ref="G428:G433">G429</f>
        <v>2550</v>
      </c>
      <c r="H428" s="107"/>
      <c r="I428" s="107"/>
      <c r="J428" s="216"/>
      <c r="K428" s="216"/>
      <c r="L428" s="216"/>
      <c r="M428" s="216"/>
      <c r="N428" s="216"/>
      <c r="O428" s="216"/>
      <c r="P428" s="216"/>
      <c r="Q428" s="216"/>
      <c r="R428" s="216"/>
      <c r="S428" s="216"/>
      <c r="T428" s="216"/>
      <c r="U428" s="216"/>
      <c r="V428" s="216"/>
      <c r="W428" s="216"/>
      <c r="X428" s="216"/>
      <c r="Y428" s="216"/>
      <c r="Z428" s="216"/>
      <c r="AA428" s="216"/>
      <c r="AB428" s="216"/>
      <c r="AC428" s="216"/>
      <c r="AD428" s="216"/>
      <c r="AE428" s="216"/>
      <c r="AF428" s="216"/>
      <c r="AG428" s="216"/>
      <c r="AH428" s="216"/>
      <c r="AI428" s="216"/>
      <c r="AJ428" s="216"/>
      <c r="AK428" s="216"/>
      <c r="AL428" s="216"/>
      <c r="AM428" s="216"/>
      <c r="AN428" s="216"/>
      <c r="AO428" s="216"/>
    </row>
    <row r="429" spans="1:41" s="75" customFormat="1" ht="12.75">
      <c r="A429" s="137" t="s">
        <v>151</v>
      </c>
      <c r="B429" s="114" t="s">
        <v>583</v>
      </c>
      <c r="C429" s="116" t="s">
        <v>72</v>
      </c>
      <c r="D429" s="116" t="s">
        <v>36</v>
      </c>
      <c r="E429" s="121"/>
      <c r="F429" s="113"/>
      <c r="G429" s="182">
        <f>G430</f>
        <v>2550</v>
      </c>
      <c r="H429" s="107"/>
      <c r="I429" s="107"/>
      <c r="J429" s="216"/>
      <c r="K429" s="216"/>
      <c r="L429" s="216"/>
      <c r="M429" s="216"/>
      <c r="N429" s="216"/>
      <c r="O429" s="216"/>
      <c r="P429" s="216"/>
      <c r="Q429" s="216"/>
      <c r="R429" s="216"/>
      <c r="S429" s="216"/>
      <c r="T429" s="216"/>
      <c r="U429" s="216"/>
      <c r="V429" s="216"/>
      <c r="W429" s="216"/>
      <c r="X429" s="216"/>
      <c r="Y429" s="216"/>
      <c r="Z429" s="216"/>
      <c r="AA429" s="216"/>
      <c r="AB429" s="216"/>
      <c r="AC429" s="216"/>
      <c r="AD429" s="216"/>
      <c r="AE429" s="216"/>
      <c r="AF429" s="216"/>
      <c r="AG429" s="216"/>
      <c r="AH429" s="216"/>
      <c r="AI429" s="216"/>
      <c r="AJ429" s="216"/>
      <c r="AK429" s="216"/>
      <c r="AL429" s="216"/>
      <c r="AM429" s="216"/>
      <c r="AN429" s="216"/>
      <c r="AO429" s="216"/>
    </row>
    <row r="430" spans="1:41" s="74" customFormat="1" ht="12.75">
      <c r="A430" s="135" t="s">
        <v>150</v>
      </c>
      <c r="B430" s="118" t="s">
        <v>583</v>
      </c>
      <c r="C430" s="119" t="s">
        <v>72</v>
      </c>
      <c r="D430" s="119" t="s">
        <v>66</v>
      </c>
      <c r="E430" s="120"/>
      <c r="F430" s="117"/>
      <c r="G430" s="183">
        <f t="shared" si="22"/>
        <v>2550</v>
      </c>
      <c r="H430" s="105"/>
      <c r="I430" s="105"/>
      <c r="J430" s="215"/>
      <c r="K430" s="215"/>
      <c r="L430" s="215"/>
      <c r="M430" s="215"/>
      <c r="N430" s="215"/>
      <c r="O430" s="215"/>
      <c r="P430" s="215"/>
      <c r="Q430" s="215"/>
      <c r="R430" s="215"/>
      <c r="S430" s="215"/>
      <c r="T430" s="215"/>
      <c r="U430" s="215"/>
      <c r="V430" s="215"/>
      <c r="W430" s="215"/>
      <c r="X430" s="215"/>
      <c r="Y430" s="215"/>
      <c r="Z430" s="215"/>
      <c r="AA430" s="215"/>
      <c r="AB430" s="215"/>
      <c r="AC430" s="215"/>
      <c r="AD430" s="215"/>
      <c r="AE430" s="215"/>
      <c r="AF430" s="215"/>
      <c r="AG430" s="215"/>
      <c r="AH430" s="215"/>
      <c r="AI430" s="215"/>
      <c r="AJ430" s="215"/>
      <c r="AK430" s="215"/>
      <c r="AL430" s="215"/>
      <c r="AM430" s="215"/>
      <c r="AN430" s="215"/>
      <c r="AO430" s="215"/>
    </row>
    <row r="431" spans="1:41" s="74" customFormat="1" ht="22.5">
      <c r="A431" s="134" t="s">
        <v>610</v>
      </c>
      <c r="B431" s="118" t="s">
        <v>583</v>
      </c>
      <c r="C431" s="119" t="s">
        <v>72</v>
      </c>
      <c r="D431" s="119" t="s">
        <v>66</v>
      </c>
      <c r="E431" s="120" t="s">
        <v>104</v>
      </c>
      <c r="F431" s="117"/>
      <c r="G431" s="183">
        <f t="shared" si="22"/>
        <v>2550</v>
      </c>
      <c r="H431" s="105"/>
      <c r="I431" s="105"/>
      <c r="J431" s="215"/>
      <c r="K431" s="215"/>
      <c r="L431" s="215"/>
      <c r="M431" s="215"/>
      <c r="N431" s="215"/>
      <c r="O431" s="215"/>
      <c r="P431" s="215"/>
      <c r="Q431" s="215"/>
      <c r="R431" s="215"/>
      <c r="S431" s="215"/>
      <c r="T431" s="215"/>
      <c r="U431" s="215"/>
      <c r="V431" s="215"/>
      <c r="W431" s="215"/>
      <c r="X431" s="215"/>
      <c r="Y431" s="215"/>
      <c r="Z431" s="215"/>
      <c r="AA431" s="215"/>
      <c r="AB431" s="215"/>
      <c r="AC431" s="215"/>
      <c r="AD431" s="215"/>
      <c r="AE431" s="215"/>
      <c r="AF431" s="215"/>
      <c r="AG431" s="215"/>
      <c r="AH431" s="215"/>
      <c r="AI431" s="215"/>
      <c r="AJ431" s="215"/>
      <c r="AK431" s="215"/>
      <c r="AL431" s="215"/>
      <c r="AM431" s="215"/>
      <c r="AN431" s="215"/>
      <c r="AO431" s="215"/>
    </row>
    <row r="432" spans="1:41" s="74" customFormat="1" ht="22.5">
      <c r="A432" s="134" t="s">
        <v>98</v>
      </c>
      <c r="B432" s="118" t="s">
        <v>583</v>
      </c>
      <c r="C432" s="119" t="s">
        <v>72</v>
      </c>
      <c r="D432" s="119" t="s">
        <v>66</v>
      </c>
      <c r="E432" s="120" t="s">
        <v>99</v>
      </c>
      <c r="F432" s="117"/>
      <c r="G432" s="183">
        <f t="shared" si="22"/>
        <v>2550</v>
      </c>
      <c r="H432" s="105"/>
      <c r="I432" s="105"/>
      <c r="J432" s="215"/>
      <c r="K432" s="215"/>
      <c r="L432" s="215"/>
      <c r="M432" s="215"/>
      <c r="N432" s="215"/>
      <c r="O432" s="215"/>
      <c r="P432" s="215"/>
      <c r="Q432" s="215"/>
      <c r="R432" s="215"/>
      <c r="S432" s="215"/>
      <c r="T432" s="215"/>
      <c r="U432" s="215"/>
      <c r="V432" s="215"/>
      <c r="W432" s="215"/>
      <c r="X432" s="215"/>
      <c r="Y432" s="215"/>
      <c r="Z432" s="215"/>
      <c r="AA432" s="215"/>
      <c r="AB432" s="215"/>
      <c r="AC432" s="215"/>
      <c r="AD432" s="215"/>
      <c r="AE432" s="215"/>
      <c r="AF432" s="215"/>
      <c r="AG432" s="215"/>
      <c r="AH432" s="215"/>
      <c r="AI432" s="215"/>
      <c r="AJ432" s="215"/>
      <c r="AK432" s="215"/>
      <c r="AL432" s="215"/>
      <c r="AM432" s="215"/>
      <c r="AN432" s="215"/>
      <c r="AO432" s="215"/>
    </row>
    <row r="433" spans="1:41" s="74" customFormat="1" ht="22.5">
      <c r="A433" s="134" t="s">
        <v>100</v>
      </c>
      <c r="B433" s="118" t="s">
        <v>583</v>
      </c>
      <c r="C433" s="119" t="s">
        <v>72</v>
      </c>
      <c r="D433" s="119" t="s">
        <v>66</v>
      </c>
      <c r="E433" s="120" t="s">
        <v>101</v>
      </c>
      <c r="F433" s="117"/>
      <c r="G433" s="183">
        <f t="shared" si="22"/>
        <v>2550</v>
      </c>
      <c r="H433" s="105"/>
      <c r="I433" s="105"/>
      <c r="J433" s="215"/>
      <c r="K433" s="215"/>
      <c r="L433" s="215"/>
      <c r="M433" s="215"/>
      <c r="N433" s="215"/>
      <c r="O433" s="215"/>
      <c r="P433" s="215"/>
      <c r="Q433" s="215"/>
      <c r="R433" s="215"/>
      <c r="S433" s="215"/>
      <c r="T433" s="215"/>
      <c r="U433" s="215"/>
      <c r="V433" s="215"/>
      <c r="W433" s="215"/>
      <c r="X433" s="215"/>
      <c r="Y433" s="215"/>
      <c r="Z433" s="215"/>
      <c r="AA433" s="215"/>
      <c r="AB433" s="215"/>
      <c r="AC433" s="215"/>
      <c r="AD433" s="215"/>
      <c r="AE433" s="215"/>
      <c r="AF433" s="215"/>
      <c r="AG433" s="215"/>
      <c r="AH433" s="215"/>
      <c r="AI433" s="215"/>
      <c r="AJ433" s="215"/>
      <c r="AK433" s="215"/>
      <c r="AL433" s="215"/>
      <c r="AM433" s="215"/>
      <c r="AN433" s="215"/>
      <c r="AO433" s="215"/>
    </row>
    <row r="434" spans="1:41" s="74" customFormat="1" ht="22.5">
      <c r="A434" s="134" t="s">
        <v>566</v>
      </c>
      <c r="B434" s="118" t="s">
        <v>583</v>
      </c>
      <c r="C434" s="119" t="s">
        <v>72</v>
      </c>
      <c r="D434" s="119" t="s">
        <v>66</v>
      </c>
      <c r="E434" s="120" t="s">
        <v>101</v>
      </c>
      <c r="F434" s="117">
        <v>727</v>
      </c>
      <c r="G434" s="183">
        <f>1000+500+50+950+50</f>
        <v>2550</v>
      </c>
      <c r="H434" s="105"/>
      <c r="I434" s="105"/>
      <c r="J434" s="215"/>
      <c r="K434" s="215"/>
      <c r="L434" s="215"/>
      <c r="M434" s="215"/>
      <c r="N434" s="215"/>
      <c r="O434" s="215"/>
      <c r="P434" s="215"/>
      <c r="Q434" s="215"/>
      <c r="R434" s="215"/>
      <c r="S434" s="215"/>
      <c r="T434" s="215"/>
      <c r="U434" s="215"/>
      <c r="V434" s="215"/>
      <c r="W434" s="215"/>
      <c r="X434" s="215"/>
      <c r="Y434" s="215"/>
      <c r="Z434" s="215"/>
      <c r="AA434" s="215"/>
      <c r="AB434" s="215"/>
      <c r="AC434" s="215"/>
      <c r="AD434" s="215"/>
      <c r="AE434" s="215"/>
      <c r="AF434" s="215"/>
      <c r="AG434" s="215"/>
      <c r="AH434" s="215"/>
      <c r="AI434" s="215"/>
      <c r="AJ434" s="215"/>
      <c r="AK434" s="215"/>
      <c r="AL434" s="215"/>
      <c r="AM434" s="215"/>
      <c r="AN434" s="215"/>
      <c r="AO434" s="215"/>
    </row>
    <row r="435" spans="1:41" s="75" customFormat="1" ht="21.75">
      <c r="A435" s="207" t="s">
        <v>838</v>
      </c>
      <c r="B435" s="114" t="s">
        <v>840</v>
      </c>
      <c r="C435" s="116"/>
      <c r="D435" s="116"/>
      <c r="E435" s="121"/>
      <c r="F435" s="113"/>
      <c r="G435" s="182">
        <f aca="true" t="shared" si="23" ref="G435:G440">G436</f>
        <v>1912.4</v>
      </c>
      <c r="H435" s="107"/>
      <c r="I435" s="107"/>
      <c r="J435" s="216"/>
      <c r="K435" s="216"/>
      <c r="L435" s="216"/>
      <c r="M435" s="216"/>
      <c r="N435" s="216"/>
      <c r="O435" s="216"/>
      <c r="P435" s="216"/>
      <c r="Q435" s="216"/>
      <c r="R435" s="216"/>
      <c r="S435" s="216"/>
      <c r="T435" s="216"/>
      <c r="U435" s="216"/>
      <c r="V435" s="216"/>
      <c r="W435" s="216"/>
      <c r="X435" s="216"/>
      <c r="Y435" s="216"/>
      <c r="Z435" s="216"/>
      <c r="AA435" s="216"/>
      <c r="AB435" s="216"/>
      <c r="AC435" s="216"/>
      <c r="AD435" s="216"/>
      <c r="AE435" s="216"/>
      <c r="AF435" s="216"/>
      <c r="AG435" s="216"/>
      <c r="AH435" s="216"/>
      <c r="AI435" s="216"/>
      <c r="AJ435" s="216"/>
      <c r="AK435" s="216"/>
      <c r="AL435" s="216"/>
      <c r="AM435" s="216"/>
      <c r="AN435" s="216"/>
      <c r="AO435" s="216"/>
    </row>
    <row r="436" spans="1:41" s="75" customFormat="1" ht="12.75">
      <c r="A436" s="137" t="s">
        <v>151</v>
      </c>
      <c r="B436" s="118" t="s">
        <v>840</v>
      </c>
      <c r="C436" s="116" t="s">
        <v>72</v>
      </c>
      <c r="D436" s="116" t="s">
        <v>36</v>
      </c>
      <c r="E436" s="121"/>
      <c r="F436" s="113"/>
      <c r="G436" s="182">
        <f t="shared" si="23"/>
        <v>1912.4</v>
      </c>
      <c r="H436" s="107"/>
      <c r="I436" s="107"/>
      <c r="J436" s="216"/>
      <c r="K436" s="216"/>
      <c r="L436" s="216"/>
      <c r="M436" s="216"/>
      <c r="N436" s="216"/>
      <c r="O436" s="216"/>
      <c r="P436" s="216"/>
      <c r="Q436" s="216"/>
      <c r="R436" s="216"/>
      <c r="S436" s="216"/>
      <c r="T436" s="216"/>
      <c r="U436" s="216"/>
      <c r="V436" s="216"/>
      <c r="W436" s="216"/>
      <c r="X436" s="216"/>
      <c r="Y436" s="216"/>
      <c r="Z436" s="216"/>
      <c r="AA436" s="216"/>
      <c r="AB436" s="216"/>
      <c r="AC436" s="216"/>
      <c r="AD436" s="216"/>
      <c r="AE436" s="216"/>
      <c r="AF436" s="216"/>
      <c r="AG436" s="216"/>
      <c r="AH436" s="216"/>
      <c r="AI436" s="216"/>
      <c r="AJ436" s="216"/>
      <c r="AK436" s="216"/>
      <c r="AL436" s="216"/>
      <c r="AM436" s="216"/>
      <c r="AN436" s="216"/>
      <c r="AO436" s="216"/>
    </row>
    <row r="437" spans="1:41" s="75" customFormat="1" ht="12.75">
      <c r="A437" s="135" t="s">
        <v>150</v>
      </c>
      <c r="B437" s="118" t="s">
        <v>840</v>
      </c>
      <c r="C437" s="119" t="s">
        <v>72</v>
      </c>
      <c r="D437" s="119" t="s">
        <v>66</v>
      </c>
      <c r="E437" s="121"/>
      <c r="F437" s="113"/>
      <c r="G437" s="183">
        <f t="shared" si="23"/>
        <v>1912.4</v>
      </c>
      <c r="H437" s="107"/>
      <c r="I437" s="107"/>
      <c r="J437" s="216"/>
      <c r="K437" s="216"/>
      <c r="L437" s="216"/>
      <c r="M437" s="216"/>
      <c r="N437" s="216"/>
      <c r="O437" s="216"/>
      <c r="P437" s="216"/>
      <c r="Q437" s="216"/>
      <c r="R437" s="216"/>
      <c r="S437" s="216"/>
      <c r="T437" s="216"/>
      <c r="U437" s="216"/>
      <c r="V437" s="216"/>
      <c r="W437" s="216"/>
      <c r="X437" s="216"/>
      <c r="Y437" s="216"/>
      <c r="Z437" s="216"/>
      <c r="AA437" s="216"/>
      <c r="AB437" s="216"/>
      <c r="AC437" s="216"/>
      <c r="AD437" s="216"/>
      <c r="AE437" s="216"/>
      <c r="AF437" s="216"/>
      <c r="AG437" s="216"/>
      <c r="AH437" s="216"/>
      <c r="AI437" s="216"/>
      <c r="AJ437" s="216"/>
      <c r="AK437" s="216"/>
      <c r="AL437" s="216"/>
      <c r="AM437" s="216"/>
      <c r="AN437" s="216"/>
      <c r="AO437" s="216"/>
    </row>
    <row r="438" spans="1:41" s="5" customFormat="1" ht="22.5">
      <c r="A438" s="179" t="s">
        <v>610</v>
      </c>
      <c r="B438" s="118" t="s">
        <v>840</v>
      </c>
      <c r="C438" s="119" t="s">
        <v>72</v>
      </c>
      <c r="D438" s="119" t="s">
        <v>66</v>
      </c>
      <c r="E438" s="119" t="s">
        <v>104</v>
      </c>
      <c r="F438" s="117"/>
      <c r="G438" s="183">
        <f t="shared" si="23"/>
        <v>1912.4</v>
      </c>
      <c r="H438" s="102"/>
      <c r="I438" s="102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</row>
    <row r="439" spans="1:41" s="5" customFormat="1" ht="22.5">
      <c r="A439" s="179" t="s">
        <v>98</v>
      </c>
      <c r="B439" s="118" t="s">
        <v>840</v>
      </c>
      <c r="C439" s="119" t="s">
        <v>72</v>
      </c>
      <c r="D439" s="119" t="s">
        <v>66</v>
      </c>
      <c r="E439" s="119" t="s">
        <v>99</v>
      </c>
      <c r="F439" s="117"/>
      <c r="G439" s="183">
        <f t="shared" si="23"/>
        <v>1912.4</v>
      </c>
      <c r="H439" s="102"/>
      <c r="I439" s="102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</row>
    <row r="440" spans="1:41" s="5" customFormat="1" ht="22.5">
      <c r="A440" s="179" t="s">
        <v>100</v>
      </c>
      <c r="B440" s="118" t="s">
        <v>840</v>
      </c>
      <c r="C440" s="119" t="s">
        <v>72</v>
      </c>
      <c r="D440" s="119" t="s">
        <v>66</v>
      </c>
      <c r="E440" s="119" t="s">
        <v>101</v>
      </c>
      <c r="F440" s="117"/>
      <c r="G440" s="183">
        <f t="shared" si="23"/>
        <v>1912.4</v>
      </c>
      <c r="H440" s="102"/>
      <c r="I440" s="102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</row>
    <row r="441" spans="1:41" s="5" customFormat="1" ht="22.5">
      <c r="A441" s="134" t="s">
        <v>566</v>
      </c>
      <c r="B441" s="118" t="s">
        <v>840</v>
      </c>
      <c r="C441" s="119" t="s">
        <v>72</v>
      </c>
      <c r="D441" s="119" t="s">
        <v>66</v>
      </c>
      <c r="E441" s="120" t="s">
        <v>101</v>
      </c>
      <c r="F441" s="117">
        <v>727</v>
      </c>
      <c r="G441" s="183">
        <v>1912.4</v>
      </c>
      <c r="H441" s="102"/>
      <c r="I441" s="102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</row>
    <row r="442" spans="1:41" s="75" customFormat="1" ht="32.25">
      <c r="A442" s="207" t="s">
        <v>839</v>
      </c>
      <c r="B442" s="114" t="s">
        <v>841</v>
      </c>
      <c r="C442" s="116"/>
      <c r="D442" s="116"/>
      <c r="E442" s="121"/>
      <c r="F442" s="113"/>
      <c r="G442" s="182">
        <f aca="true" t="shared" si="24" ref="G442:G447">G443</f>
        <v>50</v>
      </c>
      <c r="H442" s="107"/>
      <c r="I442" s="107"/>
      <c r="J442" s="216"/>
      <c r="K442" s="216"/>
      <c r="L442" s="216"/>
      <c r="M442" s="216"/>
      <c r="N442" s="216"/>
      <c r="O442" s="216"/>
      <c r="P442" s="216"/>
      <c r="Q442" s="216"/>
      <c r="R442" s="216"/>
      <c r="S442" s="216"/>
      <c r="T442" s="216"/>
      <c r="U442" s="216"/>
      <c r="V442" s="216"/>
      <c r="W442" s="216"/>
      <c r="X442" s="216"/>
      <c r="Y442" s="216"/>
      <c r="Z442" s="216"/>
      <c r="AA442" s="216"/>
      <c r="AB442" s="216"/>
      <c r="AC442" s="216"/>
      <c r="AD442" s="216"/>
      <c r="AE442" s="216"/>
      <c r="AF442" s="216"/>
      <c r="AG442" s="216"/>
      <c r="AH442" s="216"/>
      <c r="AI442" s="216"/>
      <c r="AJ442" s="216"/>
      <c r="AK442" s="216"/>
      <c r="AL442" s="216"/>
      <c r="AM442" s="216"/>
      <c r="AN442" s="216"/>
      <c r="AO442" s="216"/>
    </row>
    <row r="443" spans="1:41" s="75" customFormat="1" ht="12.75">
      <c r="A443" s="137" t="s">
        <v>151</v>
      </c>
      <c r="B443" s="118" t="s">
        <v>841</v>
      </c>
      <c r="C443" s="116" t="s">
        <v>72</v>
      </c>
      <c r="D443" s="116" t="s">
        <v>36</v>
      </c>
      <c r="E443" s="121"/>
      <c r="F443" s="113"/>
      <c r="G443" s="182">
        <f t="shared" si="24"/>
        <v>50</v>
      </c>
      <c r="H443" s="107"/>
      <c r="I443" s="107"/>
      <c r="J443" s="216"/>
      <c r="K443" s="216"/>
      <c r="L443" s="216"/>
      <c r="M443" s="216"/>
      <c r="N443" s="216"/>
      <c r="O443" s="216"/>
      <c r="P443" s="216"/>
      <c r="Q443" s="216"/>
      <c r="R443" s="216"/>
      <c r="S443" s="216"/>
      <c r="T443" s="216"/>
      <c r="U443" s="216"/>
      <c r="V443" s="216"/>
      <c r="W443" s="216"/>
      <c r="X443" s="216"/>
      <c r="Y443" s="216"/>
      <c r="Z443" s="216"/>
      <c r="AA443" s="216"/>
      <c r="AB443" s="216"/>
      <c r="AC443" s="216"/>
      <c r="AD443" s="216"/>
      <c r="AE443" s="216"/>
      <c r="AF443" s="216"/>
      <c r="AG443" s="216"/>
      <c r="AH443" s="216"/>
      <c r="AI443" s="216"/>
      <c r="AJ443" s="216"/>
      <c r="AK443" s="216"/>
      <c r="AL443" s="216"/>
      <c r="AM443" s="216"/>
      <c r="AN443" s="216"/>
      <c r="AO443" s="216"/>
    </row>
    <row r="444" spans="1:41" s="75" customFormat="1" ht="12.75">
      <c r="A444" s="135" t="s">
        <v>150</v>
      </c>
      <c r="B444" s="118" t="s">
        <v>841</v>
      </c>
      <c r="C444" s="119" t="s">
        <v>72</v>
      </c>
      <c r="D444" s="119" t="s">
        <v>66</v>
      </c>
      <c r="E444" s="121"/>
      <c r="F444" s="113"/>
      <c r="G444" s="183">
        <f t="shared" si="24"/>
        <v>50</v>
      </c>
      <c r="H444" s="107"/>
      <c r="I444" s="107"/>
      <c r="J444" s="216"/>
      <c r="K444" s="216"/>
      <c r="L444" s="216"/>
      <c r="M444" s="216"/>
      <c r="N444" s="216"/>
      <c r="O444" s="216"/>
      <c r="P444" s="216"/>
      <c r="Q444" s="216"/>
      <c r="R444" s="216"/>
      <c r="S444" s="216"/>
      <c r="T444" s="216"/>
      <c r="U444" s="216"/>
      <c r="V444" s="216"/>
      <c r="W444" s="216"/>
      <c r="X444" s="216"/>
      <c r="Y444" s="216"/>
      <c r="Z444" s="216"/>
      <c r="AA444" s="216"/>
      <c r="AB444" s="216"/>
      <c r="AC444" s="216"/>
      <c r="AD444" s="216"/>
      <c r="AE444" s="216"/>
      <c r="AF444" s="216"/>
      <c r="AG444" s="216"/>
      <c r="AH444" s="216"/>
      <c r="AI444" s="216"/>
      <c r="AJ444" s="216"/>
      <c r="AK444" s="216"/>
      <c r="AL444" s="216"/>
      <c r="AM444" s="216"/>
      <c r="AN444" s="216"/>
      <c r="AO444" s="216"/>
    </row>
    <row r="445" spans="1:41" s="74" customFormat="1" ht="22.5">
      <c r="A445" s="179" t="s">
        <v>610</v>
      </c>
      <c r="B445" s="118" t="s">
        <v>841</v>
      </c>
      <c r="C445" s="119" t="s">
        <v>72</v>
      </c>
      <c r="D445" s="119" t="s">
        <v>66</v>
      </c>
      <c r="E445" s="119" t="s">
        <v>104</v>
      </c>
      <c r="F445" s="117"/>
      <c r="G445" s="183">
        <f t="shared" si="24"/>
        <v>50</v>
      </c>
      <c r="H445" s="105"/>
      <c r="I445" s="105"/>
      <c r="J445" s="215"/>
      <c r="K445" s="215"/>
      <c r="L445" s="215"/>
      <c r="M445" s="215"/>
      <c r="N445" s="215"/>
      <c r="O445" s="215"/>
      <c r="P445" s="215"/>
      <c r="Q445" s="215"/>
      <c r="R445" s="215"/>
      <c r="S445" s="215"/>
      <c r="T445" s="215"/>
      <c r="U445" s="215"/>
      <c r="V445" s="215"/>
      <c r="W445" s="215"/>
      <c r="X445" s="215"/>
      <c r="Y445" s="215"/>
      <c r="Z445" s="215"/>
      <c r="AA445" s="215"/>
      <c r="AB445" s="215"/>
      <c r="AC445" s="215"/>
      <c r="AD445" s="215"/>
      <c r="AE445" s="215"/>
      <c r="AF445" s="215"/>
      <c r="AG445" s="215"/>
      <c r="AH445" s="215"/>
      <c r="AI445" s="215"/>
      <c r="AJ445" s="215"/>
      <c r="AK445" s="215"/>
      <c r="AL445" s="215"/>
      <c r="AM445" s="215"/>
      <c r="AN445" s="215"/>
      <c r="AO445" s="215"/>
    </row>
    <row r="446" spans="1:41" s="74" customFormat="1" ht="22.5">
      <c r="A446" s="179" t="s">
        <v>98</v>
      </c>
      <c r="B446" s="118" t="s">
        <v>841</v>
      </c>
      <c r="C446" s="119" t="s">
        <v>72</v>
      </c>
      <c r="D446" s="119" t="s">
        <v>66</v>
      </c>
      <c r="E446" s="119" t="s">
        <v>99</v>
      </c>
      <c r="F446" s="117"/>
      <c r="G446" s="183">
        <f t="shared" si="24"/>
        <v>50</v>
      </c>
      <c r="H446" s="105"/>
      <c r="I446" s="105"/>
      <c r="J446" s="215"/>
      <c r="K446" s="215"/>
      <c r="L446" s="215"/>
      <c r="M446" s="215"/>
      <c r="N446" s="215"/>
      <c r="O446" s="215"/>
      <c r="P446" s="215"/>
      <c r="Q446" s="215"/>
      <c r="R446" s="215"/>
      <c r="S446" s="215"/>
      <c r="T446" s="215"/>
      <c r="U446" s="215"/>
      <c r="V446" s="215"/>
      <c r="W446" s="215"/>
      <c r="X446" s="215"/>
      <c r="Y446" s="215"/>
      <c r="Z446" s="215"/>
      <c r="AA446" s="215"/>
      <c r="AB446" s="215"/>
      <c r="AC446" s="215"/>
      <c r="AD446" s="215"/>
      <c r="AE446" s="215"/>
      <c r="AF446" s="215"/>
      <c r="AG446" s="215"/>
      <c r="AH446" s="215"/>
      <c r="AI446" s="215"/>
      <c r="AJ446" s="215"/>
      <c r="AK446" s="215"/>
      <c r="AL446" s="215"/>
      <c r="AM446" s="215"/>
      <c r="AN446" s="215"/>
      <c r="AO446" s="215"/>
    </row>
    <row r="447" spans="1:41" s="74" customFormat="1" ht="22.5">
      <c r="A447" s="179" t="s">
        <v>100</v>
      </c>
      <c r="B447" s="118" t="s">
        <v>841</v>
      </c>
      <c r="C447" s="119" t="s">
        <v>72</v>
      </c>
      <c r="D447" s="119" t="s">
        <v>66</v>
      </c>
      <c r="E447" s="119" t="s">
        <v>101</v>
      </c>
      <c r="F447" s="117"/>
      <c r="G447" s="183">
        <f t="shared" si="24"/>
        <v>50</v>
      </c>
      <c r="H447" s="105"/>
      <c r="I447" s="105"/>
      <c r="J447" s="215"/>
      <c r="K447" s="215"/>
      <c r="L447" s="215"/>
      <c r="M447" s="215"/>
      <c r="N447" s="215"/>
      <c r="O447" s="215"/>
      <c r="P447" s="215"/>
      <c r="Q447" s="215"/>
      <c r="R447" s="215"/>
      <c r="S447" s="215"/>
      <c r="T447" s="215"/>
      <c r="U447" s="215"/>
      <c r="V447" s="215"/>
      <c r="W447" s="215"/>
      <c r="X447" s="215"/>
      <c r="Y447" s="215"/>
      <c r="Z447" s="215"/>
      <c r="AA447" s="215"/>
      <c r="AB447" s="215"/>
      <c r="AC447" s="215"/>
      <c r="AD447" s="215"/>
      <c r="AE447" s="215"/>
      <c r="AF447" s="215"/>
      <c r="AG447" s="215"/>
      <c r="AH447" s="215"/>
      <c r="AI447" s="215"/>
      <c r="AJ447" s="215"/>
      <c r="AK447" s="215"/>
      <c r="AL447" s="215"/>
      <c r="AM447" s="215"/>
      <c r="AN447" s="215"/>
      <c r="AO447" s="215"/>
    </row>
    <row r="448" spans="1:41" s="74" customFormat="1" ht="22.5">
      <c r="A448" s="134" t="s">
        <v>566</v>
      </c>
      <c r="B448" s="118" t="s">
        <v>841</v>
      </c>
      <c r="C448" s="119" t="s">
        <v>72</v>
      </c>
      <c r="D448" s="119" t="s">
        <v>66</v>
      </c>
      <c r="E448" s="120" t="s">
        <v>101</v>
      </c>
      <c r="F448" s="117">
        <v>727</v>
      </c>
      <c r="G448" s="183">
        <v>50</v>
      </c>
      <c r="H448" s="105"/>
      <c r="I448" s="105"/>
      <c r="J448" s="215"/>
      <c r="K448" s="215"/>
      <c r="L448" s="215"/>
      <c r="M448" s="215"/>
      <c r="N448" s="215"/>
      <c r="O448" s="215"/>
      <c r="P448" s="215"/>
      <c r="Q448" s="215"/>
      <c r="R448" s="215"/>
      <c r="S448" s="215"/>
      <c r="T448" s="215"/>
      <c r="U448" s="215"/>
      <c r="V448" s="215"/>
      <c r="W448" s="215"/>
      <c r="X448" s="215"/>
      <c r="Y448" s="215"/>
      <c r="Z448" s="215"/>
      <c r="AA448" s="215"/>
      <c r="AB448" s="215"/>
      <c r="AC448" s="215"/>
      <c r="AD448" s="215"/>
      <c r="AE448" s="215"/>
      <c r="AF448" s="215"/>
      <c r="AG448" s="215"/>
      <c r="AH448" s="215"/>
      <c r="AI448" s="215"/>
      <c r="AJ448" s="215"/>
      <c r="AK448" s="215"/>
      <c r="AL448" s="215"/>
      <c r="AM448" s="215"/>
      <c r="AN448" s="215"/>
      <c r="AO448" s="215"/>
    </row>
    <row r="449" spans="1:41" s="5" customFormat="1" ht="21.75">
      <c r="A449" s="131" t="s">
        <v>510</v>
      </c>
      <c r="B449" s="114" t="s">
        <v>177</v>
      </c>
      <c r="C449" s="119"/>
      <c r="D449" s="119"/>
      <c r="E449" s="117"/>
      <c r="F449" s="117"/>
      <c r="G449" s="182">
        <f>G450</f>
        <v>4639.099999999999</v>
      </c>
      <c r="H449" s="102"/>
      <c r="I449" s="102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</row>
    <row r="450" spans="1:41" s="5" customFormat="1" ht="23.25" customHeight="1">
      <c r="A450" s="131" t="s">
        <v>280</v>
      </c>
      <c r="B450" s="114" t="s">
        <v>324</v>
      </c>
      <c r="C450" s="119"/>
      <c r="D450" s="119"/>
      <c r="E450" s="117"/>
      <c r="F450" s="117"/>
      <c r="G450" s="182">
        <f>G451+G470+G491+G484+G463+G477</f>
        <v>4639.099999999999</v>
      </c>
      <c r="H450" s="102"/>
      <c r="I450" s="102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</row>
    <row r="451" spans="1:41" s="5" customFormat="1" ht="21.75">
      <c r="A451" s="131" t="s">
        <v>511</v>
      </c>
      <c r="B451" s="114" t="s">
        <v>512</v>
      </c>
      <c r="C451" s="119"/>
      <c r="D451" s="119"/>
      <c r="E451" s="117"/>
      <c r="F451" s="117"/>
      <c r="G451" s="182">
        <f>G452</f>
        <v>363.2</v>
      </c>
      <c r="H451" s="102"/>
      <c r="I451" s="102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</row>
    <row r="452" spans="1:41" s="5" customFormat="1" ht="12.75">
      <c r="A452" s="131" t="s">
        <v>8</v>
      </c>
      <c r="B452" s="114" t="s">
        <v>512</v>
      </c>
      <c r="C452" s="116" t="s">
        <v>69</v>
      </c>
      <c r="D452" s="116" t="s">
        <v>36</v>
      </c>
      <c r="E452" s="117"/>
      <c r="F452" s="117"/>
      <c r="G452" s="182">
        <f>G453+G458</f>
        <v>363.2</v>
      </c>
      <c r="H452" s="102"/>
      <c r="I452" s="102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</row>
    <row r="453" spans="1:41" s="5" customFormat="1" ht="12.75">
      <c r="A453" s="132" t="s">
        <v>9</v>
      </c>
      <c r="B453" s="118" t="s">
        <v>512</v>
      </c>
      <c r="C453" s="119" t="s">
        <v>69</v>
      </c>
      <c r="D453" s="119" t="s">
        <v>66</v>
      </c>
      <c r="E453" s="117"/>
      <c r="F453" s="117"/>
      <c r="G453" s="183">
        <f>G454</f>
        <v>144.2</v>
      </c>
      <c r="H453" s="102"/>
      <c r="I453" s="102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</row>
    <row r="454" spans="1:41" s="5" customFormat="1" ht="22.5">
      <c r="A454" s="134" t="s">
        <v>105</v>
      </c>
      <c r="B454" s="118" t="s">
        <v>512</v>
      </c>
      <c r="C454" s="119" t="s">
        <v>69</v>
      </c>
      <c r="D454" s="119" t="s">
        <v>66</v>
      </c>
      <c r="E454" s="120" t="s">
        <v>106</v>
      </c>
      <c r="F454" s="117"/>
      <c r="G454" s="183">
        <f>G455</f>
        <v>144.2</v>
      </c>
      <c r="H454" s="102"/>
      <c r="I454" s="102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</row>
    <row r="455" spans="1:41" s="5" customFormat="1" ht="12.75">
      <c r="A455" s="134" t="s">
        <v>111</v>
      </c>
      <c r="B455" s="118" t="s">
        <v>512</v>
      </c>
      <c r="C455" s="119" t="s">
        <v>69</v>
      </c>
      <c r="D455" s="119" t="s">
        <v>66</v>
      </c>
      <c r="E455" s="120" t="s">
        <v>112</v>
      </c>
      <c r="F455" s="117"/>
      <c r="G455" s="183">
        <f>G456</f>
        <v>144.2</v>
      </c>
      <c r="H455" s="102"/>
      <c r="I455" s="102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</row>
    <row r="456" spans="1:41" s="5" customFormat="1" ht="12.75">
      <c r="A456" s="134" t="s">
        <v>115</v>
      </c>
      <c r="B456" s="118" t="s">
        <v>512</v>
      </c>
      <c r="C456" s="119" t="s">
        <v>69</v>
      </c>
      <c r="D456" s="119" t="s">
        <v>66</v>
      </c>
      <c r="E456" s="120" t="s">
        <v>116</v>
      </c>
      <c r="F456" s="117"/>
      <c r="G456" s="183">
        <f>G457</f>
        <v>144.2</v>
      </c>
      <c r="H456" s="102"/>
      <c r="I456" s="102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</row>
    <row r="457" spans="1:41" s="25" customFormat="1" ht="13.5" customHeight="1">
      <c r="A457" s="132" t="s">
        <v>156</v>
      </c>
      <c r="B457" s="118" t="s">
        <v>512</v>
      </c>
      <c r="C457" s="119" t="s">
        <v>69</v>
      </c>
      <c r="D457" s="119" t="s">
        <v>66</v>
      </c>
      <c r="E457" s="120" t="s">
        <v>116</v>
      </c>
      <c r="F457" s="117">
        <v>725</v>
      </c>
      <c r="G457" s="183">
        <f>180-35.8</f>
        <v>144.2</v>
      </c>
      <c r="H457" s="102"/>
      <c r="I457" s="102"/>
      <c r="J457" s="208"/>
      <c r="K457" s="208"/>
      <c r="L457" s="208"/>
      <c r="M457" s="208"/>
      <c r="N457" s="208"/>
      <c r="O457" s="208"/>
      <c r="P457" s="208"/>
      <c r="Q457" s="208"/>
      <c r="R457" s="208"/>
      <c r="S457" s="208"/>
      <c r="T457" s="208"/>
      <c r="U457" s="208"/>
      <c r="V457" s="208"/>
      <c r="W457" s="208"/>
      <c r="X457" s="208"/>
      <c r="Y457" s="208"/>
      <c r="Z457" s="208"/>
      <c r="AA457" s="208"/>
      <c r="AB457" s="208"/>
      <c r="AC457" s="208"/>
      <c r="AD457" s="208"/>
      <c r="AE457" s="208"/>
      <c r="AF457" s="208"/>
      <c r="AG457" s="208"/>
      <c r="AH457" s="208"/>
      <c r="AI457" s="208"/>
      <c r="AJ457" s="208"/>
      <c r="AK457" s="208"/>
      <c r="AL457" s="208"/>
      <c r="AM457" s="208"/>
      <c r="AN457" s="208"/>
      <c r="AO457" s="208"/>
    </row>
    <row r="458" spans="1:41" s="25" customFormat="1" ht="12.75">
      <c r="A458" s="132" t="s">
        <v>651</v>
      </c>
      <c r="B458" s="118" t="s">
        <v>512</v>
      </c>
      <c r="C458" s="119" t="s">
        <v>69</v>
      </c>
      <c r="D458" s="119" t="s">
        <v>67</v>
      </c>
      <c r="E458" s="117"/>
      <c r="F458" s="117"/>
      <c r="G458" s="183">
        <f>G459</f>
        <v>219</v>
      </c>
      <c r="H458" s="102"/>
      <c r="I458" s="102"/>
      <c r="J458" s="208"/>
      <c r="K458" s="208"/>
      <c r="L458" s="208"/>
      <c r="M458" s="208"/>
      <c r="N458" s="208"/>
      <c r="O458" s="208"/>
      <c r="P458" s="208"/>
      <c r="Q458" s="208"/>
      <c r="R458" s="208"/>
      <c r="S458" s="208"/>
      <c r="T458" s="208"/>
      <c r="U458" s="208"/>
      <c r="V458" s="208"/>
      <c r="W458" s="208"/>
      <c r="X458" s="208"/>
      <c r="Y458" s="208"/>
      <c r="Z458" s="208"/>
      <c r="AA458" s="208"/>
      <c r="AB458" s="208"/>
      <c r="AC458" s="208"/>
      <c r="AD458" s="208"/>
      <c r="AE458" s="208"/>
      <c r="AF458" s="208"/>
      <c r="AG458" s="208"/>
      <c r="AH458" s="208"/>
      <c r="AI458" s="208"/>
      <c r="AJ458" s="208"/>
      <c r="AK458" s="208"/>
      <c r="AL458" s="208"/>
      <c r="AM458" s="208"/>
      <c r="AN458" s="208"/>
      <c r="AO458" s="208"/>
    </row>
    <row r="459" spans="1:41" s="25" customFormat="1" ht="22.5">
      <c r="A459" s="134" t="s">
        <v>105</v>
      </c>
      <c r="B459" s="118" t="s">
        <v>512</v>
      </c>
      <c r="C459" s="119" t="s">
        <v>69</v>
      </c>
      <c r="D459" s="119" t="s">
        <v>67</v>
      </c>
      <c r="E459" s="120" t="s">
        <v>106</v>
      </c>
      <c r="F459" s="117"/>
      <c r="G459" s="183">
        <f>G460</f>
        <v>219</v>
      </c>
      <c r="H459" s="102"/>
      <c r="I459" s="102"/>
      <c r="J459" s="208"/>
      <c r="K459" s="208"/>
      <c r="L459" s="208"/>
      <c r="M459" s="208"/>
      <c r="N459" s="208"/>
      <c r="O459" s="208"/>
      <c r="P459" s="208"/>
      <c r="Q459" s="208"/>
      <c r="R459" s="208"/>
      <c r="S459" s="208"/>
      <c r="T459" s="208"/>
      <c r="U459" s="208"/>
      <c r="V459" s="208"/>
      <c r="W459" s="208"/>
      <c r="X459" s="208"/>
      <c r="Y459" s="208"/>
      <c r="Z459" s="208"/>
      <c r="AA459" s="208"/>
      <c r="AB459" s="208"/>
      <c r="AC459" s="208"/>
      <c r="AD459" s="208"/>
      <c r="AE459" s="208"/>
      <c r="AF459" s="208"/>
      <c r="AG459" s="208"/>
      <c r="AH459" s="208"/>
      <c r="AI459" s="208"/>
      <c r="AJ459" s="208"/>
      <c r="AK459" s="208"/>
      <c r="AL459" s="208"/>
      <c r="AM459" s="208"/>
      <c r="AN459" s="208"/>
      <c r="AO459" s="208"/>
    </row>
    <row r="460" spans="1:41" s="25" customFormat="1" ht="12.75">
      <c r="A460" s="134" t="s">
        <v>111</v>
      </c>
      <c r="B460" s="118" t="s">
        <v>512</v>
      </c>
      <c r="C460" s="119" t="s">
        <v>69</v>
      </c>
      <c r="D460" s="119" t="s">
        <v>67</v>
      </c>
      <c r="E460" s="120" t="s">
        <v>112</v>
      </c>
      <c r="F460" s="117"/>
      <c r="G460" s="183">
        <f>G461</f>
        <v>219</v>
      </c>
      <c r="H460" s="102"/>
      <c r="I460" s="102"/>
      <c r="J460" s="208"/>
      <c r="K460" s="208"/>
      <c r="L460" s="208"/>
      <c r="M460" s="208"/>
      <c r="N460" s="208"/>
      <c r="O460" s="208"/>
      <c r="P460" s="208"/>
      <c r="Q460" s="208"/>
      <c r="R460" s="208"/>
      <c r="S460" s="208"/>
      <c r="T460" s="208"/>
      <c r="U460" s="208"/>
      <c r="V460" s="208"/>
      <c r="W460" s="208"/>
      <c r="X460" s="208"/>
      <c r="Y460" s="208"/>
      <c r="Z460" s="208"/>
      <c r="AA460" s="208"/>
      <c r="AB460" s="208"/>
      <c r="AC460" s="208"/>
      <c r="AD460" s="208"/>
      <c r="AE460" s="208"/>
      <c r="AF460" s="208"/>
      <c r="AG460" s="208"/>
      <c r="AH460" s="208"/>
      <c r="AI460" s="208"/>
      <c r="AJ460" s="208"/>
      <c r="AK460" s="208"/>
      <c r="AL460" s="208"/>
      <c r="AM460" s="208"/>
      <c r="AN460" s="208"/>
      <c r="AO460" s="208"/>
    </row>
    <row r="461" spans="1:41" s="25" customFormat="1" ht="12.75">
      <c r="A461" s="134" t="s">
        <v>115</v>
      </c>
      <c r="B461" s="118" t="s">
        <v>512</v>
      </c>
      <c r="C461" s="119" t="s">
        <v>69</v>
      </c>
      <c r="D461" s="119" t="s">
        <v>67</v>
      </c>
      <c r="E461" s="120" t="s">
        <v>116</v>
      </c>
      <c r="F461" s="117"/>
      <c r="G461" s="183">
        <f>G462</f>
        <v>219</v>
      </c>
      <c r="H461" s="102"/>
      <c r="I461" s="102"/>
      <c r="J461" s="208"/>
      <c r="K461" s="208"/>
      <c r="L461" s="208"/>
      <c r="M461" s="208"/>
      <c r="N461" s="208"/>
      <c r="O461" s="208"/>
      <c r="P461" s="208"/>
      <c r="Q461" s="208"/>
      <c r="R461" s="208"/>
      <c r="S461" s="208"/>
      <c r="T461" s="208"/>
      <c r="U461" s="208"/>
      <c r="V461" s="208"/>
      <c r="W461" s="208"/>
      <c r="X461" s="208"/>
      <c r="Y461" s="208"/>
      <c r="Z461" s="208"/>
      <c r="AA461" s="208"/>
      <c r="AB461" s="208"/>
      <c r="AC461" s="208"/>
      <c r="AD461" s="208"/>
      <c r="AE461" s="208"/>
      <c r="AF461" s="208"/>
      <c r="AG461" s="208"/>
      <c r="AH461" s="208"/>
      <c r="AI461" s="208"/>
      <c r="AJ461" s="208"/>
      <c r="AK461" s="208"/>
      <c r="AL461" s="208"/>
      <c r="AM461" s="208"/>
      <c r="AN461" s="208"/>
      <c r="AO461" s="208"/>
    </row>
    <row r="462" spans="1:41" s="5" customFormat="1" ht="11.25" customHeight="1">
      <c r="A462" s="132" t="s">
        <v>156</v>
      </c>
      <c r="B462" s="118" t="s">
        <v>512</v>
      </c>
      <c r="C462" s="119" t="s">
        <v>69</v>
      </c>
      <c r="D462" s="119" t="s">
        <v>67</v>
      </c>
      <c r="E462" s="120" t="s">
        <v>116</v>
      </c>
      <c r="F462" s="117">
        <v>725</v>
      </c>
      <c r="G462" s="183">
        <f>220+35.8-36.8</f>
        <v>219</v>
      </c>
      <c r="H462" s="102"/>
      <c r="I462" s="102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</row>
    <row r="463" spans="1:41" s="70" customFormat="1" ht="32.25">
      <c r="A463" s="136" t="s">
        <v>522</v>
      </c>
      <c r="B463" s="121" t="s">
        <v>523</v>
      </c>
      <c r="C463" s="116"/>
      <c r="D463" s="116"/>
      <c r="E463" s="121"/>
      <c r="F463" s="113"/>
      <c r="G463" s="182">
        <f aca="true" t="shared" si="25" ref="G463:G468">G464</f>
        <v>1474.2</v>
      </c>
      <c r="H463" s="210"/>
      <c r="I463" s="210"/>
      <c r="J463" s="211"/>
      <c r="K463" s="211"/>
      <c r="L463" s="211"/>
      <c r="M463" s="211"/>
      <c r="N463" s="211"/>
      <c r="O463" s="211"/>
      <c r="P463" s="211"/>
      <c r="Q463" s="211"/>
      <c r="R463" s="211"/>
      <c r="S463" s="211"/>
      <c r="T463" s="211"/>
      <c r="U463" s="211"/>
      <c r="V463" s="211"/>
      <c r="W463" s="211"/>
      <c r="X463" s="211"/>
      <c r="Y463" s="211"/>
      <c r="Z463" s="211"/>
      <c r="AA463" s="211"/>
      <c r="AB463" s="211"/>
      <c r="AC463" s="211"/>
      <c r="AD463" s="211"/>
      <c r="AE463" s="211"/>
      <c r="AF463" s="211"/>
      <c r="AG463" s="211"/>
      <c r="AH463" s="211"/>
      <c r="AI463" s="211"/>
      <c r="AJ463" s="211"/>
      <c r="AK463" s="211"/>
      <c r="AL463" s="211"/>
      <c r="AM463" s="211"/>
      <c r="AN463" s="211"/>
      <c r="AO463" s="211"/>
    </row>
    <row r="464" spans="1:41" s="70" customFormat="1" ht="12.75">
      <c r="A464" s="131" t="s">
        <v>8</v>
      </c>
      <c r="B464" s="121" t="s">
        <v>523</v>
      </c>
      <c r="C464" s="116" t="s">
        <v>69</v>
      </c>
      <c r="D464" s="116" t="s">
        <v>36</v>
      </c>
      <c r="E464" s="121"/>
      <c r="F464" s="113"/>
      <c r="G464" s="182">
        <f t="shared" si="25"/>
        <v>1474.2</v>
      </c>
      <c r="H464" s="210"/>
      <c r="I464" s="210"/>
      <c r="J464" s="211"/>
      <c r="K464" s="211"/>
      <c r="L464" s="211"/>
      <c r="M464" s="211"/>
      <c r="N464" s="211"/>
      <c r="O464" s="211"/>
      <c r="P464" s="211"/>
      <c r="Q464" s="211"/>
      <c r="R464" s="211"/>
      <c r="S464" s="211"/>
      <c r="T464" s="211"/>
      <c r="U464" s="211"/>
      <c r="V464" s="211"/>
      <c r="W464" s="211"/>
      <c r="X464" s="211"/>
      <c r="Y464" s="211"/>
      <c r="Z464" s="211"/>
      <c r="AA464" s="211"/>
      <c r="AB464" s="211"/>
      <c r="AC464" s="211"/>
      <c r="AD464" s="211"/>
      <c r="AE464" s="211"/>
      <c r="AF464" s="211"/>
      <c r="AG464" s="211"/>
      <c r="AH464" s="211"/>
      <c r="AI464" s="211"/>
      <c r="AJ464" s="211"/>
      <c r="AK464" s="211"/>
      <c r="AL464" s="211"/>
      <c r="AM464" s="211"/>
      <c r="AN464" s="211"/>
      <c r="AO464" s="211"/>
    </row>
    <row r="465" spans="1:41" s="73" customFormat="1" ht="12.75">
      <c r="A465" s="132" t="s">
        <v>651</v>
      </c>
      <c r="B465" s="120" t="s">
        <v>523</v>
      </c>
      <c r="C465" s="119" t="s">
        <v>69</v>
      </c>
      <c r="D465" s="119" t="s">
        <v>67</v>
      </c>
      <c r="E465" s="120"/>
      <c r="F465" s="117"/>
      <c r="G465" s="183">
        <f t="shared" si="25"/>
        <v>1474.2</v>
      </c>
      <c r="H465" s="212"/>
      <c r="I465" s="212"/>
      <c r="J465" s="213"/>
      <c r="K465" s="213"/>
      <c r="L465" s="213"/>
      <c r="M465" s="213"/>
      <c r="N465" s="213"/>
      <c r="O465" s="213"/>
      <c r="P465" s="213"/>
      <c r="Q465" s="213"/>
      <c r="R465" s="213"/>
      <c r="S465" s="213"/>
      <c r="T465" s="213"/>
      <c r="U465" s="213"/>
      <c r="V465" s="213"/>
      <c r="W465" s="213"/>
      <c r="X465" s="213"/>
      <c r="Y465" s="213"/>
      <c r="Z465" s="213"/>
      <c r="AA465" s="213"/>
      <c r="AB465" s="213"/>
      <c r="AC465" s="213"/>
      <c r="AD465" s="213"/>
      <c r="AE465" s="213"/>
      <c r="AF465" s="213"/>
      <c r="AG465" s="213"/>
      <c r="AH465" s="213"/>
      <c r="AI465" s="213"/>
      <c r="AJ465" s="213"/>
      <c r="AK465" s="213"/>
      <c r="AL465" s="213"/>
      <c r="AM465" s="213"/>
      <c r="AN465" s="213"/>
      <c r="AO465" s="213"/>
    </row>
    <row r="466" spans="1:41" s="73" customFormat="1" ht="22.5">
      <c r="A466" s="134" t="s">
        <v>105</v>
      </c>
      <c r="B466" s="120" t="s">
        <v>523</v>
      </c>
      <c r="C466" s="119" t="s">
        <v>69</v>
      </c>
      <c r="D466" s="119" t="s">
        <v>67</v>
      </c>
      <c r="E466" s="120" t="s">
        <v>106</v>
      </c>
      <c r="F466" s="117"/>
      <c r="G466" s="183">
        <f t="shared" si="25"/>
        <v>1474.2</v>
      </c>
      <c r="H466" s="212"/>
      <c r="I466" s="212"/>
      <c r="J466" s="213"/>
      <c r="K466" s="213"/>
      <c r="L466" s="213"/>
      <c r="M466" s="213"/>
      <c r="N466" s="213"/>
      <c r="O466" s="213"/>
      <c r="P466" s="213"/>
      <c r="Q466" s="213"/>
      <c r="R466" s="213"/>
      <c r="S466" s="213"/>
      <c r="T466" s="213"/>
      <c r="U466" s="213"/>
      <c r="V466" s="213"/>
      <c r="W466" s="213"/>
      <c r="X466" s="213"/>
      <c r="Y466" s="213"/>
      <c r="Z466" s="213"/>
      <c r="AA466" s="213"/>
      <c r="AB466" s="213"/>
      <c r="AC466" s="213"/>
      <c r="AD466" s="213"/>
      <c r="AE466" s="213"/>
      <c r="AF466" s="213"/>
      <c r="AG466" s="213"/>
      <c r="AH466" s="213"/>
      <c r="AI466" s="213"/>
      <c r="AJ466" s="213"/>
      <c r="AK466" s="213"/>
      <c r="AL466" s="213"/>
      <c r="AM466" s="213"/>
      <c r="AN466" s="213"/>
      <c r="AO466" s="213"/>
    </row>
    <row r="467" spans="1:41" s="73" customFormat="1" ht="12.75">
      <c r="A467" s="134" t="s">
        <v>111</v>
      </c>
      <c r="B467" s="120" t="s">
        <v>523</v>
      </c>
      <c r="C467" s="119" t="s">
        <v>69</v>
      </c>
      <c r="D467" s="119" t="s">
        <v>67</v>
      </c>
      <c r="E467" s="120" t="s">
        <v>112</v>
      </c>
      <c r="F467" s="117"/>
      <c r="G467" s="183">
        <f t="shared" si="25"/>
        <v>1474.2</v>
      </c>
      <c r="H467" s="212"/>
      <c r="I467" s="212"/>
      <c r="J467" s="213"/>
      <c r="K467" s="213"/>
      <c r="L467" s="213"/>
      <c r="M467" s="213"/>
      <c r="N467" s="213"/>
      <c r="O467" s="213"/>
      <c r="P467" s="213"/>
      <c r="Q467" s="213"/>
      <c r="R467" s="213"/>
      <c r="S467" s="213"/>
      <c r="T467" s="213"/>
      <c r="U467" s="213"/>
      <c r="V467" s="213"/>
      <c r="W467" s="213"/>
      <c r="X467" s="213"/>
      <c r="Y467" s="213"/>
      <c r="Z467" s="213"/>
      <c r="AA467" s="213"/>
      <c r="AB467" s="213"/>
      <c r="AC467" s="213"/>
      <c r="AD467" s="213"/>
      <c r="AE467" s="213"/>
      <c r="AF467" s="213"/>
      <c r="AG467" s="213"/>
      <c r="AH467" s="213"/>
      <c r="AI467" s="213"/>
      <c r="AJ467" s="213"/>
      <c r="AK467" s="213"/>
      <c r="AL467" s="213"/>
      <c r="AM467" s="213"/>
      <c r="AN467" s="213"/>
      <c r="AO467" s="213"/>
    </row>
    <row r="468" spans="1:41" s="73" customFormat="1" ht="12.75">
      <c r="A468" s="134" t="s">
        <v>115</v>
      </c>
      <c r="B468" s="120" t="s">
        <v>523</v>
      </c>
      <c r="C468" s="119" t="s">
        <v>69</v>
      </c>
      <c r="D468" s="119" t="s">
        <v>67</v>
      </c>
      <c r="E468" s="120" t="s">
        <v>116</v>
      </c>
      <c r="F468" s="117"/>
      <c r="G468" s="183">
        <f t="shared" si="25"/>
        <v>1474.2</v>
      </c>
      <c r="H468" s="212"/>
      <c r="I468" s="212"/>
      <c r="J468" s="213"/>
      <c r="K468" s="213"/>
      <c r="L468" s="213"/>
      <c r="M468" s="213"/>
      <c r="N468" s="213"/>
      <c r="O468" s="213"/>
      <c r="P468" s="213"/>
      <c r="Q468" s="213"/>
      <c r="R468" s="213"/>
      <c r="S468" s="213"/>
      <c r="T468" s="213"/>
      <c r="U468" s="213"/>
      <c r="V468" s="213"/>
      <c r="W468" s="213"/>
      <c r="X468" s="213"/>
      <c r="Y468" s="213"/>
      <c r="Z468" s="213"/>
      <c r="AA468" s="213"/>
      <c r="AB468" s="213"/>
      <c r="AC468" s="213"/>
      <c r="AD468" s="213"/>
      <c r="AE468" s="213"/>
      <c r="AF468" s="213"/>
      <c r="AG468" s="213"/>
      <c r="AH468" s="213"/>
      <c r="AI468" s="213"/>
      <c r="AJ468" s="213"/>
      <c r="AK468" s="213"/>
      <c r="AL468" s="213"/>
      <c r="AM468" s="213"/>
      <c r="AN468" s="213"/>
      <c r="AO468" s="213"/>
    </row>
    <row r="469" spans="1:41" s="73" customFormat="1" ht="22.5">
      <c r="A469" s="134" t="s">
        <v>654</v>
      </c>
      <c r="B469" s="120" t="s">
        <v>523</v>
      </c>
      <c r="C469" s="119" t="s">
        <v>69</v>
      </c>
      <c r="D469" s="119" t="s">
        <v>67</v>
      </c>
      <c r="E469" s="120" t="s">
        <v>116</v>
      </c>
      <c r="F469" s="117">
        <v>725</v>
      </c>
      <c r="G469" s="183">
        <f>1324.3+149.9</f>
        <v>1474.2</v>
      </c>
      <c r="H469" s="212"/>
      <c r="I469" s="212"/>
      <c r="J469" s="213"/>
      <c r="K469" s="213"/>
      <c r="L469" s="213"/>
      <c r="M469" s="213"/>
      <c r="N469" s="213"/>
      <c r="O469" s="213"/>
      <c r="P469" s="213"/>
      <c r="Q469" s="213"/>
      <c r="R469" s="213"/>
      <c r="S469" s="213"/>
      <c r="T469" s="213"/>
      <c r="U469" s="213"/>
      <c r="V469" s="213"/>
      <c r="W469" s="213"/>
      <c r="X469" s="213"/>
      <c r="Y469" s="213"/>
      <c r="Z469" s="213"/>
      <c r="AA469" s="213"/>
      <c r="AB469" s="213"/>
      <c r="AC469" s="213"/>
      <c r="AD469" s="213"/>
      <c r="AE469" s="213"/>
      <c r="AF469" s="213"/>
      <c r="AG469" s="213"/>
      <c r="AH469" s="213"/>
      <c r="AI469" s="213"/>
      <c r="AJ469" s="213"/>
      <c r="AK469" s="213"/>
      <c r="AL469" s="213"/>
      <c r="AM469" s="213"/>
      <c r="AN469" s="213"/>
      <c r="AO469" s="213"/>
    </row>
    <row r="470" spans="1:41" s="5" customFormat="1" ht="24" customHeight="1">
      <c r="A470" s="137" t="s">
        <v>655</v>
      </c>
      <c r="B470" s="121" t="s">
        <v>525</v>
      </c>
      <c r="C470" s="119"/>
      <c r="D470" s="119"/>
      <c r="E470" s="120"/>
      <c r="F470" s="117"/>
      <c r="G470" s="182">
        <f aca="true" t="shared" si="26" ref="G470:G475">G471</f>
        <v>1671.2</v>
      </c>
      <c r="H470" s="102"/>
      <c r="I470" s="102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</row>
    <row r="471" spans="1:41" s="5" customFormat="1" ht="12.75">
      <c r="A471" s="131" t="s">
        <v>8</v>
      </c>
      <c r="B471" s="121" t="s">
        <v>525</v>
      </c>
      <c r="C471" s="116" t="s">
        <v>69</v>
      </c>
      <c r="D471" s="116" t="s">
        <v>36</v>
      </c>
      <c r="E471" s="120"/>
      <c r="F471" s="117"/>
      <c r="G471" s="182">
        <f t="shared" si="26"/>
        <v>1671.2</v>
      </c>
      <c r="H471" s="102"/>
      <c r="I471" s="102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</row>
    <row r="472" spans="1:41" s="5" customFormat="1" ht="12.75">
      <c r="A472" s="132" t="s">
        <v>651</v>
      </c>
      <c r="B472" s="120" t="s">
        <v>525</v>
      </c>
      <c r="C472" s="119" t="s">
        <v>69</v>
      </c>
      <c r="D472" s="119" t="s">
        <v>67</v>
      </c>
      <c r="E472" s="120"/>
      <c r="F472" s="117"/>
      <c r="G472" s="183">
        <f t="shared" si="26"/>
        <v>1671.2</v>
      </c>
      <c r="H472" s="102"/>
      <c r="I472" s="102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</row>
    <row r="473" spans="1:41" s="5" customFormat="1" ht="22.5">
      <c r="A473" s="134" t="s">
        <v>105</v>
      </c>
      <c r="B473" s="120" t="s">
        <v>525</v>
      </c>
      <c r="C473" s="119" t="s">
        <v>69</v>
      </c>
      <c r="D473" s="119" t="s">
        <v>67</v>
      </c>
      <c r="E473" s="120" t="s">
        <v>106</v>
      </c>
      <c r="F473" s="117"/>
      <c r="G473" s="183">
        <f>G474</f>
        <v>1671.2</v>
      </c>
      <c r="H473" s="102"/>
      <c r="I473" s="102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</row>
    <row r="474" spans="1:41" s="5" customFormat="1" ht="12.75">
      <c r="A474" s="134" t="s">
        <v>111</v>
      </c>
      <c r="B474" s="120" t="s">
        <v>525</v>
      </c>
      <c r="C474" s="119" t="s">
        <v>69</v>
      </c>
      <c r="D474" s="119" t="s">
        <v>67</v>
      </c>
      <c r="E474" s="120" t="s">
        <v>112</v>
      </c>
      <c r="F474" s="117"/>
      <c r="G474" s="183">
        <f t="shared" si="26"/>
        <v>1671.2</v>
      </c>
      <c r="H474" s="102"/>
      <c r="I474" s="102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</row>
    <row r="475" spans="1:41" s="5" customFormat="1" ht="12.75">
      <c r="A475" s="134" t="s">
        <v>115</v>
      </c>
      <c r="B475" s="120" t="s">
        <v>525</v>
      </c>
      <c r="C475" s="119" t="s">
        <v>69</v>
      </c>
      <c r="D475" s="119" t="s">
        <v>67</v>
      </c>
      <c r="E475" s="120" t="s">
        <v>116</v>
      </c>
      <c r="F475" s="117"/>
      <c r="G475" s="183">
        <f t="shared" si="26"/>
        <v>1671.2</v>
      </c>
      <c r="H475" s="102"/>
      <c r="I475" s="102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</row>
    <row r="476" spans="1:41" s="5" customFormat="1" ht="13.5" customHeight="1">
      <c r="A476" s="132" t="s">
        <v>156</v>
      </c>
      <c r="B476" s="120" t="s">
        <v>525</v>
      </c>
      <c r="C476" s="119" t="s">
        <v>69</v>
      </c>
      <c r="D476" s="119" t="s">
        <v>67</v>
      </c>
      <c r="E476" s="120" t="s">
        <v>116</v>
      </c>
      <c r="F476" s="117">
        <v>725</v>
      </c>
      <c r="G476" s="183">
        <f>2516-844.8</f>
        <v>1671.2</v>
      </c>
      <c r="H476" s="102"/>
      <c r="I476" s="102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</row>
    <row r="477" spans="1:41" s="70" customFormat="1" ht="32.25">
      <c r="A477" s="131" t="s">
        <v>526</v>
      </c>
      <c r="B477" s="114" t="s">
        <v>527</v>
      </c>
      <c r="C477" s="116"/>
      <c r="D477" s="116"/>
      <c r="E477" s="121"/>
      <c r="F477" s="113"/>
      <c r="G477" s="182">
        <f aca="true" t="shared" si="27" ref="G477:G482">G478</f>
        <v>796.9</v>
      </c>
      <c r="H477" s="210"/>
      <c r="I477" s="210"/>
      <c r="J477" s="211"/>
      <c r="K477" s="211"/>
      <c r="L477" s="211"/>
      <c r="M477" s="211"/>
      <c r="N477" s="211"/>
      <c r="O477" s="211"/>
      <c r="P477" s="211"/>
      <c r="Q477" s="211"/>
      <c r="R477" s="211"/>
      <c r="S477" s="211"/>
      <c r="T477" s="211"/>
      <c r="U477" s="211"/>
      <c r="V477" s="211"/>
      <c r="W477" s="211"/>
      <c r="X477" s="211"/>
      <c r="Y477" s="211"/>
      <c r="Z477" s="211"/>
      <c r="AA477" s="211"/>
      <c r="AB477" s="211"/>
      <c r="AC477" s="211"/>
      <c r="AD477" s="211"/>
      <c r="AE477" s="211"/>
      <c r="AF477" s="211"/>
      <c r="AG477" s="211"/>
      <c r="AH477" s="211"/>
      <c r="AI477" s="211"/>
      <c r="AJ477" s="211"/>
      <c r="AK477" s="211"/>
      <c r="AL477" s="211"/>
      <c r="AM477" s="211"/>
      <c r="AN477" s="211"/>
      <c r="AO477" s="211"/>
    </row>
    <row r="478" spans="1:41" s="70" customFormat="1" ht="12.75">
      <c r="A478" s="131" t="s">
        <v>8</v>
      </c>
      <c r="B478" s="114" t="s">
        <v>527</v>
      </c>
      <c r="C478" s="116" t="s">
        <v>69</v>
      </c>
      <c r="D478" s="116" t="s">
        <v>36</v>
      </c>
      <c r="E478" s="121"/>
      <c r="F478" s="113"/>
      <c r="G478" s="182">
        <f t="shared" si="27"/>
        <v>796.9</v>
      </c>
      <c r="H478" s="210"/>
      <c r="I478" s="210"/>
      <c r="J478" s="211"/>
      <c r="K478" s="211"/>
      <c r="L478" s="211"/>
      <c r="M478" s="211"/>
      <c r="N478" s="211"/>
      <c r="O478" s="211"/>
      <c r="P478" s="211"/>
      <c r="Q478" s="211"/>
      <c r="R478" s="211"/>
      <c r="S478" s="211"/>
      <c r="T478" s="211"/>
      <c r="U478" s="211"/>
      <c r="V478" s="211"/>
      <c r="W478" s="211"/>
      <c r="X478" s="211"/>
      <c r="Y478" s="211"/>
      <c r="Z478" s="211"/>
      <c r="AA478" s="211"/>
      <c r="AB478" s="211"/>
      <c r="AC478" s="211"/>
      <c r="AD478" s="211"/>
      <c r="AE478" s="211"/>
      <c r="AF478" s="211"/>
      <c r="AG478" s="211"/>
      <c r="AH478" s="211"/>
      <c r="AI478" s="211"/>
      <c r="AJ478" s="211"/>
      <c r="AK478" s="211"/>
      <c r="AL478" s="211"/>
      <c r="AM478" s="211"/>
      <c r="AN478" s="211"/>
      <c r="AO478" s="211"/>
    </row>
    <row r="479" spans="1:41" s="73" customFormat="1" ht="10.5" customHeight="1">
      <c r="A479" s="132" t="s">
        <v>651</v>
      </c>
      <c r="B479" s="118" t="s">
        <v>527</v>
      </c>
      <c r="C479" s="119" t="s">
        <v>69</v>
      </c>
      <c r="D479" s="119" t="s">
        <v>67</v>
      </c>
      <c r="E479" s="120"/>
      <c r="F479" s="117"/>
      <c r="G479" s="183">
        <f t="shared" si="27"/>
        <v>796.9</v>
      </c>
      <c r="H479" s="212"/>
      <c r="I479" s="212"/>
      <c r="J479" s="213"/>
      <c r="K479" s="213"/>
      <c r="L479" s="213"/>
      <c r="M479" s="213"/>
      <c r="N479" s="213"/>
      <c r="O479" s="213"/>
      <c r="P479" s="213"/>
      <c r="Q479" s="213"/>
      <c r="R479" s="213"/>
      <c r="S479" s="213"/>
      <c r="T479" s="213"/>
      <c r="U479" s="213"/>
      <c r="V479" s="213"/>
      <c r="W479" s="213"/>
      <c r="X479" s="213"/>
      <c r="Y479" s="213"/>
      <c r="Z479" s="213"/>
      <c r="AA479" s="213"/>
      <c r="AB479" s="213"/>
      <c r="AC479" s="213"/>
      <c r="AD479" s="213"/>
      <c r="AE479" s="213"/>
      <c r="AF479" s="213"/>
      <c r="AG479" s="213"/>
      <c r="AH479" s="213"/>
      <c r="AI479" s="213"/>
      <c r="AJ479" s="213"/>
      <c r="AK479" s="213"/>
      <c r="AL479" s="213"/>
      <c r="AM479" s="213"/>
      <c r="AN479" s="213"/>
      <c r="AO479" s="213"/>
    </row>
    <row r="480" spans="1:41" s="73" customFormat="1" ht="22.5">
      <c r="A480" s="134" t="s">
        <v>105</v>
      </c>
      <c r="B480" s="118" t="s">
        <v>527</v>
      </c>
      <c r="C480" s="119" t="s">
        <v>69</v>
      </c>
      <c r="D480" s="119" t="s">
        <v>67</v>
      </c>
      <c r="E480" s="120" t="s">
        <v>106</v>
      </c>
      <c r="F480" s="117"/>
      <c r="G480" s="183">
        <f t="shared" si="27"/>
        <v>796.9</v>
      </c>
      <c r="H480" s="212"/>
      <c r="I480" s="212"/>
      <c r="J480" s="213"/>
      <c r="K480" s="213"/>
      <c r="L480" s="213"/>
      <c r="M480" s="213"/>
      <c r="N480" s="213"/>
      <c r="O480" s="213"/>
      <c r="P480" s="213"/>
      <c r="Q480" s="213"/>
      <c r="R480" s="213"/>
      <c r="S480" s="213"/>
      <c r="T480" s="213"/>
      <c r="U480" s="213"/>
      <c r="V480" s="213"/>
      <c r="W480" s="213"/>
      <c r="X480" s="213"/>
      <c r="Y480" s="213"/>
      <c r="Z480" s="213"/>
      <c r="AA480" s="213"/>
      <c r="AB480" s="213"/>
      <c r="AC480" s="213"/>
      <c r="AD480" s="213"/>
      <c r="AE480" s="213"/>
      <c r="AF480" s="213"/>
      <c r="AG480" s="213"/>
      <c r="AH480" s="213"/>
      <c r="AI480" s="213"/>
      <c r="AJ480" s="213"/>
      <c r="AK480" s="213"/>
      <c r="AL480" s="213"/>
      <c r="AM480" s="213"/>
      <c r="AN480" s="213"/>
      <c r="AO480" s="213"/>
    </row>
    <row r="481" spans="1:41" s="73" customFormat="1" ht="12.75">
      <c r="A481" s="134" t="s">
        <v>111</v>
      </c>
      <c r="B481" s="118" t="s">
        <v>527</v>
      </c>
      <c r="C481" s="119" t="s">
        <v>69</v>
      </c>
      <c r="D481" s="119" t="s">
        <v>67</v>
      </c>
      <c r="E481" s="120" t="s">
        <v>112</v>
      </c>
      <c r="F481" s="117"/>
      <c r="G481" s="183">
        <f t="shared" si="27"/>
        <v>796.9</v>
      </c>
      <c r="H481" s="212"/>
      <c r="I481" s="212"/>
      <c r="J481" s="213"/>
      <c r="K481" s="213"/>
      <c r="L481" s="213"/>
      <c r="M481" s="213"/>
      <c r="N481" s="213"/>
      <c r="O481" s="213"/>
      <c r="P481" s="213"/>
      <c r="Q481" s="213"/>
      <c r="R481" s="213"/>
      <c r="S481" s="213"/>
      <c r="T481" s="213"/>
      <c r="U481" s="213"/>
      <c r="V481" s="213"/>
      <c r="W481" s="213"/>
      <c r="X481" s="213"/>
      <c r="Y481" s="213"/>
      <c r="Z481" s="213"/>
      <c r="AA481" s="213"/>
      <c r="AB481" s="213"/>
      <c r="AC481" s="213"/>
      <c r="AD481" s="213"/>
      <c r="AE481" s="213"/>
      <c r="AF481" s="213"/>
      <c r="AG481" s="213"/>
      <c r="AH481" s="213"/>
      <c r="AI481" s="213"/>
      <c r="AJ481" s="213"/>
      <c r="AK481" s="213"/>
      <c r="AL481" s="213"/>
      <c r="AM481" s="213"/>
      <c r="AN481" s="213"/>
      <c r="AO481" s="213"/>
    </row>
    <row r="482" spans="1:41" s="73" customFormat="1" ht="12.75">
      <c r="A482" s="134" t="s">
        <v>115</v>
      </c>
      <c r="B482" s="118" t="s">
        <v>527</v>
      </c>
      <c r="C482" s="119" t="s">
        <v>69</v>
      </c>
      <c r="D482" s="119" t="s">
        <v>67</v>
      </c>
      <c r="E482" s="120" t="s">
        <v>116</v>
      </c>
      <c r="F482" s="117"/>
      <c r="G482" s="183">
        <f t="shared" si="27"/>
        <v>796.9</v>
      </c>
      <c r="H482" s="212"/>
      <c r="I482" s="212"/>
      <c r="J482" s="213"/>
      <c r="K482" s="213"/>
      <c r="L482" s="213"/>
      <c r="M482" s="213"/>
      <c r="N482" s="213"/>
      <c r="O482" s="213"/>
      <c r="P482" s="213"/>
      <c r="Q482" s="213"/>
      <c r="R482" s="213"/>
      <c r="S482" s="213"/>
      <c r="T482" s="213"/>
      <c r="U482" s="213"/>
      <c r="V482" s="213"/>
      <c r="W482" s="213"/>
      <c r="X482" s="213"/>
      <c r="Y482" s="213"/>
      <c r="Z482" s="213"/>
      <c r="AA482" s="213"/>
      <c r="AB482" s="213"/>
      <c r="AC482" s="213"/>
      <c r="AD482" s="213"/>
      <c r="AE482" s="213"/>
      <c r="AF482" s="213"/>
      <c r="AG482" s="213"/>
      <c r="AH482" s="213"/>
      <c r="AI482" s="213"/>
      <c r="AJ482" s="213"/>
      <c r="AK482" s="213"/>
      <c r="AL482" s="213"/>
      <c r="AM482" s="213"/>
      <c r="AN482" s="213"/>
      <c r="AO482" s="213"/>
    </row>
    <row r="483" spans="1:41" s="73" customFormat="1" ht="22.5">
      <c r="A483" s="134" t="s">
        <v>654</v>
      </c>
      <c r="B483" s="118" t="s">
        <v>527</v>
      </c>
      <c r="C483" s="119" t="s">
        <v>69</v>
      </c>
      <c r="D483" s="119" t="s">
        <v>67</v>
      </c>
      <c r="E483" s="120" t="s">
        <v>116</v>
      </c>
      <c r="F483" s="117">
        <v>725</v>
      </c>
      <c r="G483" s="183">
        <f>510.9+286</f>
        <v>796.9</v>
      </c>
      <c r="H483" s="212"/>
      <c r="I483" s="212"/>
      <c r="J483" s="213"/>
      <c r="K483" s="213"/>
      <c r="L483" s="213"/>
      <c r="M483" s="213"/>
      <c r="N483" s="213"/>
      <c r="O483" s="213"/>
      <c r="P483" s="213"/>
      <c r="Q483" s="213"/>
      <c r="R483" s="213"/>
      <c r="S483" s="213"/>
      <c r="T483" s="213"/>
      <c r="U483" s="213"/>
      <c r="V483" s="213"/>
      <c r="W483" s="213"/>
      <c r="X483" s="213"/>
      <c r="Y483" s="213"/>
      <c r="Z483" s="213"/>
      <c r="AA483" s="213"/>
      <c r="AB483" s="213"/>
      <c r="AC483" s="213"/>
      <c r="AD483" s="213"/>
      <c r="AE483" s="213"/>
      <c r="AF483" s="213"/>
      <c r="AG483" s="213"/>
      <c r="AH483" s="213"/>
      <c r="AI483" s="213"/>
      <c r="AJ483" s="213"/>
      <c r="AK483" s="213"/>
      <c r="AL483" s="213"/>
      <c r="AM483" s="213"/>
      <c r="AN483" s="213"/>
      <c r="AO483" s="213"/>
    </row>
    <row r="484" spans="1:41" s="68" customFormat="1" ht="31.5">
      <c r="A484" s="137" t="s">
        <v>528</v>
      </c>
      <c r="B484" s="114" t="s">
        <v>529</v>
      </c>
      <c r="C484" s="116"/>
      <c r="D484" s="116"/>
      <c r="E484" s="121"/>
      <c r="F484" s="113"/>
      <c r="G484" s="182">
        <f aca="true" t="shared" si="28" ref="G484:G489">G485</f>
        <v>299.4</v>
      </c>
      <c r="H484" s="106"/>
      <c r="I484" s="106"/>
      <c r="J484" s="100"/>
      <c r="K484" s="100"/>
      <c r="L484" s="100"/>
      <c r="M484" s="100"/>
      <c r="N484" s="100"/>
      <c r="O484" s="100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  <c r="Z484" s="100"/>
      <c r="AA484" s="100"/>
      <c r="AB484" s="100"/>
      <c r="AC484" s="100"/>
      <c r="AD484" s="100"/>
      <c r="AE484" s="100"/>
      <c r="AF484" s="100"/>
      <c r="AG484" s="100"/>
      <c r="AH484" s="100"/>
      <c r="AI484" s="100"/>
      <c r="AJ484" s="100"/>
      <c r="AK484" s="100"/>
      <c r="AL484" s="100"/>
      <c r="AM484" s="100"/>
      <c r="AN484" s="100"/>
      <c r="AO484" s="100"/>
    </row>
    <row r="485" spans="1:41" s="68" customFormat="1" ht="12.75">
      <c r="A485" s="131" t="s">
        <v>8</v>
      </c>
      <c r="B485" s="114" t="s">
        <v>529</v>
      </c>
      <c r="C485" s="116" t="s">
        <v>69</v>
      </c>
      <c r="D485" s="116" t="s">
        <v>36</v>
      </c>
      <c r="E485" s="121"/>
      <c r="F485" s="113"/>
      <c r="G485" s="182">
        <f t="shared" si="28"/>
        <v>299.4</v>
      </c>
      <c r="H485" s="106"/>
      <c r="I485" s="106"/>
      <c r="J485" s="100"/>
      <c r="K485" s="100"/>
      <c r="L485" s="100"/>
      <c r="M485" s="100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/>
      <c r="AA485" s="100"/>
      <c r="AB485" s="100"/>
      <c r="AC485" s="100"/>
      <c r="AD485" s="100"/>
      <c r="AE485" s="100"/>
      <c r="AF485" s="100"/>
      <c r="AG485" s="100"/>
      <c r="AH485" s="100"/>
      <c r="AI485" s="100"/>
      <c r="AJ485" s="100"/>
      <c r="AK485" s="100"/>
      <c r="AL485" s="100"/>
      <c r="AM485" s="100"/>
      <c r="AN485" s="100"/>
      <c r="AO485" s="100"/>
    </row>
    <row r="486" spans="1:41" s="5" customFormat="1" ht="12.75">
      <c r="A486" s="132" t="s">
        <v>651</v>
      </c>
      <c r="B486" s="118" t="s">
        <v>529</v>
      </c>
      <c r="C486" s="119" t="s">
        <v>69</v>
      </c>
      <c r="D486" s="119" t="s">
        <v>67</v>
      </c>
      <c r="E486" s="120"/>
      <c r="F486" s="117"/>
      <c r="G486" s="183">
        <f t="shared" si="28"/>
        <v>299.4</v>
      </c>
      <c r="H486" s="102"/>
      <c r="I486" s="102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</row>
    <row r="487" spans="1:41" s="5" customFormat="1" ht="22.5">
      <c r="A487" s="134" t="s">
        <v>105</v>
      </c>
      <c r="B487" s="118" t="s">
        <v>529</v>
      </c>
      <c r="C487" s="119" t="s">
        <v>69</v>
      </c>
      <c r="D487" s="119" t="s">
        <v>67</v>
      </c>
      <c r="E487" s="120" t="s">
        <v>106</v>
      </c>
      <c r="F487" s="117"/>
      <c r="G487" s="183">
        <f t="shared" si="28"/>
        <v>299.4</v>
      </c>
      <c r="H487" s="102"/>
      <c r="I487" s="102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</row>
    <row r="488" spans="1:41" s="5" customFormat="1" ht="12.75">
      <c r="A488" s="134" t="s">
        <v>111</v>
      </c>
      <c r="B488" s="118" t="s">
        <v>529</v>
      </c>
      <c r="C488" s="119" t="s">
        <v>69</v>
      </c>
      <c r="D488" s="119" t="s">
        <v>67</v>
      </c>
      <c r="E488" s="120" t="s">
        <v>112</v>
      </c>
      <c r="F488" s="117"/>
      <c r="G488" s="183">
        <f t="shared" si="28"/>
        <v>299.4</v>
      </c>
      <c r="H488" s="102"/>
      <c r="I488" s="102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</row>
    <row r="489" spans="1:41" s="5" customFormat="1" ht="12.75">
      <c r="A489" s="134" t="s">
        <v>115</v>
      </c>
      <c r="B489" s="118" t="s">
        <v>529</v>
      </c>
      <c r="C489" s="119" t="s">
        <v>69</v>
      </c>
      <c r="D489" s="119" t="s">
        <v>67</v>
      </c>
      <c r="E489" s="120" t="s">
        <v>116</v>
      </c>
      <c r="F489" s="117"/>
      <c r="G489" s="183">
        <f t="shared" si="28"/>
        <v>299.4</v>
      </c>
      <c r="H489" s="102"/>
      <c r="I489" s="102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</row>
    <row r="490" spans="1:41" s="5" customFormat="1" ht="13.5" customHeight="1">
      <c r="A490" s="132" t="s">
        <v>156</v>
      </c>
      <c r="B490" s="118" t="s">
        <v>529</v>
      </c>
      <c r="C490" s="119" t="s">
        <v>69</v>
      </c>
      <c r="D490" s="119" t="s">
        <v>67</v>
      </c>
      <c r="E490" s="120" t="s">
        <v>116</v>
      </c>
      <c r="F490" s="117">
        <v>725</v>
      </c>
      <c r="G490" s="183">
        <f>348-48.6</f>
        <v>299.4</v>
      </c>
      <c r="H490" s="102"/>
      <c r="I490" s="102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</row>
    <row r="491" spans="1:41" s="5" customFormat="1" ht="21.75">
      <c r="A491" s="131" t="s">
        <v>292</v>
      </c>
      <c r="B491" s="114" t="s">
        <v>329</v>
      </c>
      <c r="C491" s="119"/>
      <c r="D491" s="119"/>
      <c r="E491" s="120"/>
      <c r="F491" s="117"/>
      <c r="G491" s="182">
        <f aca="true" t="shared" si="29" ref="G491:G496">G492</f>
        <v>34.2</v>
      </c>
      <c r="H491" s="102"/>
      <c r="I491" s="102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</row>
    <row r="492" spans="1:41" s="5" customFormat="1" ht="12.75">
      <c r="A492" s="131" t="s">
        <v>8</v>
      </c>
      <c r="B492" s="114" t="s">
        <v>329</v>
      </c>
      <c r="C492" s="116" t="s">
        <v>69</v>
      </c>
      <c r="D492" s="116" t="s">
        <v>36</v>
      </c>
      <c r="E492" s="120"/>
      <c r="F492" s="117"/>
      <c r="G492" s="183">
        <f t="shared" si="29"/>
        <v>34.2</v>
      </c>
      <c r="H492" s="102"/>
      <c r="I492" s="102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</row>
    <row r="493" spans="1:41" s="5" customFormat="1" ht="12.75">
      <c r="A493" s="132" t="s">
        <v>651</v>
      </c>
      <c r="B493" s="118" t="s">
        <v>329</v>
      </c>
      <c r="C493" s="119" t="s">
        <v>69</v>
      </c>
      <c r="D493" s="119" t="s">
        <v>67</v>
      </c>
      <c r="E493" s="120"/>
      <c r="F493" s="117"/>
      <c r="G493" s="183">
        <f t="shared" si="29"/>
        <v>34.2</v>
      </c>
      <c r="H493" s="102"/>
      <c r="I493" s="102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</row>
    <row r="494" spans="1:41" s="5" customFormat="1" ht="22.5">
      <c r="A494" s="134" t="s">
        <v>105</v>
      </c>
      <c r="B494" s="118" t="s">
        <v>329</v>
      </c>
      <c r="C494" s="119" t="s">
        <v>69</v>
      </c>
      <c r="D494" s="119" t="s">
        <v>67</v>
      </c>
      <c r="E494" s="120" t="s">
        <v>106</v>
      </c>
      <c r="F494" s="117"/>
      <c r="G494" s="183">
        <f t="shared" si="29"/>
        <v>34.2</v>
      </c>
      <c r="H494" s="102"/>
      <c r="I494" s="102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</row>
    <row r="495" spans="1:41" s="5" customFormat="1" ht="12.75">
      <c r="A495" s="134" t="s">
        <v>111</v>
      </c>
      <c r="B495" s="118" t="s">
        <v>329</v>
      </c>
      <c r="C495" s="119" t="s">
        <v>69</v>
      </c>
      <c r="D495" s="119" t="s">
        <v>67</v>
      </c>
      <c r="E495" s="120" t="s">
        <v>112</v>
      </c>
      <c r="F495" s="117"/>
      <c r="G495" s="183">
        <f t="shared" si="29"/>
        <v>34.2</v>
      </c>
      <c r="H495" s="102"/>
      <c r="I495" s="102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</row>
    <row r="496" spans="1:41" s="5" customFormat="1" ht="12.75">
      <c r="A496" s="134" t="s">
        <v>115</v>
      </c>
      <c r="B496" s="118" t="s">
        <v>329</v>
      </c>
      <c r="C496" s="119" t="s">
        <v>69</v>
      </c>
      <c r="D496" s="119" t="s">
        <v>67</v>
      </c>
      <c r="E496" s="120" t="s">
        <v>116</v>
      </c>
      <c r="F496" s="117"/>
      <c r="G496" s="183">
        <f t="shared" si="29"/>
        <v>34.2</v>
      </c>
      <c r="H496" s="102"/>
      <c r="I496" s="102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</row>
    <row r="497" spans="1:41" s="5" customFormat="1" ht="13.5" customHeight="1">
      <c r="A497" s="132" t="s">
        <v>156</v>
      </c>
      <c r="B497" s="118" t="s">
        <v>329</v>
      </c>
      <c r="C497" s="119" t="s">
        <v>69</v>
      </c>
      <c r="D497" s="119" t="s">
        <v>67</v>
      </c>
      <c r="E497" s="120" t="s">
        <v>116</v>
      </c>
      <c r="F497" s="117">
        <v>725</v>
      </c>
      <c r="G497" s="183">
        <v>34.2</v>
      </c>
      <c r="H497" s="102"/>
      <c r="I497" s="102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</row>
    <row r="498" spans="1:41" s="5" customFormat="1" ht="28.5" customHeight="1">
      <c r="A498" s="131" t="s">
        <v>439</v>
      </c>
      <c r="B498" s="114" t="s">
        <v>173</v>
      </c>
      <c r="C498" s="119"/>
      <c r="D498" s="119"/>
      <c r="E498" s="117"/>
      <c r="F498" s="117"/>
      <c r="G498" s="182">
        <f>G499</f>
        <v>173.4</v>
      </c>
      <c r="H498" s="102"/>
      <c r="I498" s="102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</row>
    <row r="499" spans="1:41" s="5" customFormat="1" ht="33" customHeight="1">
      <c r="A499" s="131" t="s">
        <v>262</v>
      </c>
      <c r="B499" s="114" t="s">
        <v>322</v>
      </c>
      <c r="C499" s="119"/>
      <c r="D499" s="119"/>
      <c r="E499" s="117"/>
      <c r="F499" s="117"/>
      <c r="G499" s="182">
        <f>G507+G500</f>
        <v>173.4</v>
      </c>
      <c r="H499" s="102"/>
      <c r="I499" s="102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</row>
    <row r="500" spans="1:41" s="5" customFormat="1" ht="12" customHeight="1">
      <c r="A500" s="172" t="s">
        <v>826</v>
      </c>
      <c r="B500" s="118" t="s">
        <v>827</v>
      </c>
      <c r="C500" s="119"/>
      <c r="D500" s="119"/>
      <c r="E500" s="117"/>
      <c r="F500" s="117"/>
      <c r="G500" s="182">
        <f aca="true" t="shared" si="30" ref="G500:G505">G501</f>
        <v>73.4</v>
      </c>
      <c r="H500" s="217"/>
      <c r="I500" s="102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</row>
    <row r="501" spans="1:41" s="5" customFormat="1" ht="12.75">
      <c r="A501" s="131" t="s">
        <v>5</v>
      </c>
      <c r="B501" s="118" t="s">
        <v>827</v>
      </c>
      <c r="C501" s="116" t="s">
        <v>68</v>
      </c>
      <c r="D501" s="116" t="s">
        <v>36</v>
      </c>
      <c r="E501" s="117"/>
      <c r="F501" s="117"/>
      <c r="G501" s="183">
        <f t="shared" si="30"/>
        <v>73.4</v>
      </c>
      <c r="H501" s="102"/>
      <c r="I501" s="102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</row>
    <row r="502" spans="1:41" s="5" customFormat="1" ht="12.75">
      <c r="A502" s="132" t="s">
        <v>7</v>
      </c>
      <c r="B502" s="118" t="s">
        <v>827</v>
      </c>
      <c r="C502" s="119" t="s">
        <v>68</v>
      </c>
      <c r="D502" s="119" t="s">
        <v>78</v>
      </c>
      <c r="E502" s="117"/>
      <c r="F502" s="117"/>
      <c r="G502" s="183">
        <f t="shared" si="30"/>
        <v>73.4</v>
      </c>
      <c r="H502" s="102"/>
      <c r="I502" s="102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</row>
    <row r="503" spans="1:41" s="5" customFormat="1" ht="12.75">
      <c r="A503" s="134" t="s">
        <v>128</v>
      </c>
      <c r="B503" s="118" t="s">
        <v>827</v>
      </c>
      <c r="C503" s="119" t="s">
        <v>68</v>
      </c>
      <c r="D503" s="119" t="s">
        <v>78</v>
      </c>
      <c r="E503" s="120" t="s">
        <v>129</v>
      </c>
      <c r="F503" s="117"/>
      <c r="G503" s="183">
        <f t="shared" si="30"/>
        <v>73.4</v>
      </c>
      <c r="H503" s="102"/>
      <c r="I503" s="102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</row>
    <row r="504" spans="1:41" s="5" customFormat="1" ht="33.75">
      <c r="A504" s="134" t="s">
        <v>164</v>
      </c>
      <c r="B504" s="118" t="s">
        <v>827</v>
      </c>
      <c r="C504" s="119" t="s">
        <v>68</v>
      </c>
      <c r="D504" s="119" t="s">
        <v>78</v>
      </c>
      <c r="E504" s="120" t="s">
        <v>130</v>
      </c>
      <c r="F504" s="117"/>
      <c r="G504" s="183">
        <f t="shared" si="30"/>
        <v>73.4</v>
      </c>
      <c r="H504" s="102"/>
      <c r="I504" s="102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</row>
    <row r="505" spans="1:41" s="74" customFormat="1" ht="33" customHeight="1">
      <c r="A505" s="134" t="s">
        <v>609</v>
      </c>
      <c r="B505" s="118" t="s">
        <v>827</v>
      </c>
      <c r="C505" s="119" t="s">
        <v>68</v>
      </c>
      <c r="D505" s="119" t="s">
        <v>78</v>
      </c>
      <c r="E505" s="120" t="s">
        <v>608</v>
      </c>
      <c r="F505" s="117"/>
      <c r="G505" s="183">
        <f t="shared" si="30"/>
        <v>73.4</v>
      </c>
      <c r="H505" s="105"/>
      <c r="I505" s="105"/>
      <c r="J505" s="215"/>
      <c r="K505" s="215"/>
      <c r="L505" s="215"/>
      <c r="M505" s="215"/>
      <c r="N505" s="215"/>
      <c r="O505" s="215"/>
      <c r="P505" s="215"/>
      <c r="Q505" s="215"/>
      <c r="R505" s="215"/>
      <c r="S505" s="215"/>
      <c r="T505" s="215"/>
      <c r="U505" s="215"/>
      <c r="V505" s="215"/>
      <c r="W505" s="215"/>
      <c r="X505" s="215"/>
      <c r="Y505" s="215"/>
      <c r="Z505" s="215"/>
      <c r="AA505" s="215"/>
      <c r="AB505" s="215"/>
      <c r="AC505" s="215"/>
      <c r="AD505" s="215"/>
      <c r="AE505" s="215"/>
      <c r="AF505" s="215"/>
      <c r="AG505" s="215"/>
      <c r="AH505" s="215"/>
      <c r="AI505" s="215"/>
      <c r="AJ505" s="215"/>
      <c r="AK505" s="215"/>
      <c r="AL505" s="215"/>
      <c r="AM505" s="215"/>
      <c r="AN505" s="215"/>
      <c r="AO505" s="215"/>
    </row>
    <row r="506" spans="1:41" s="5" customFormat="1" ht="12.75">
      <c r="A506" s="135" t="s">
        <v>153</v>
      </c>
      <c r="B506" s="118" t="s">
        <v>827</v>
      </c>
      <c r="C506" s="119" t="s">
        <v>68</v>
      </c>
      <c r="D506" s="119" t="s">
        <v>78</v>
      </c>
      <c r="E506" s="120" t="s">
        <v>608</v>
      </c>
      <c r="F506" s="117">
        <v>721</v>
      </c>
      <c r="G506" s="183">
        <v>73.4</v>
      </c>
      <c r="H506" s="102"/>
      <c r="I506" s="102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</row>
    <row r="507" spans="1:41" s="57" customFormat="1" ht="22.5" customHeight="1">
      <c r="A507" s="172" t="s">
        <v>828</v>
      </c>
      <c r="B507" s="114" t="s">
        <v>440</v>
      </c>
      <c r="C507" s="116"/>
      <c r="D507" s="116"/>
      <c r="E507" s="113"/>
      <c r="F507" s="113"/>
      <c r="G507" s="182">
        <f aca="true" t="shared" si="31" ref="G507:G512">G508</f>
        <v>100</v>
      </c>
      <c r="H507" s="217"/>
      <c r="I507" s="106"/>
      <c r="J507" s="106"/>
      <c r="K507" s="106"/>
      <c r="L507" s="106"/>
      <c r="M507" s="106"/>
      <c r="N507" s="106"/>
      <c r="O507" s="106"/>
      <c r="P507" s="106"/>
      <c r="Q507" s="106"/>
      <c r="R507" s="106"/>
      <c r="S507" s="106"/>
      <c r="T507" s="106"/>
      <c r="U507" s="106"/>
      <c r="V507" s="106"/>
      <c r="W507" s="106"/>
      <c r="X507" s="106"/>
      <c r="Y507" s="106"/>
      <c r="Z507" s="106"/>
      <c r="AA507" s="106"/>
      <c r="AB507" s="106"/>
      <c r="AC507" s="106"/>
      <c r="AD507" s="106"/>
      <c r="AE507" s="106"/>
      <c r="AF507" s="106"/>
      <c r="AG507" s="106"/>
      <c r="AH507" s="106"/>
      <c r="AI507" s="106"/>
      <c r="AJ507" s="106"/>
      <c r="AK507" s="106"/>
      <c r="AL507" s="106"/>
      <c r="AM507" s="106"/>
      <c r="AN507" s="106"/>
      <c r="AO507" s="106"/>
    </row>
    <row r="508" spans="1:41" s="5" customFormat="1" ht="12.75">
      <c r="A508" s="131" t="s">
        <v>5</v>
      </c>
      <c r="B508" s="114" t="s">
        <v>440</v>
      </c>
      <c r="C508" s="116" t="s">
        <v>68</v>
      </c>
      <c r="D508" s="116" t="s">
        <v>36</v>
      </c>
      <c r="E508" s="117"/>
      <c r="F508" s="117"/>
      <c r="G508" s="183">
        <f t="shared" si="31"/>
        <v>100</v>
      </c>
      <c r="H508" s="102"/>
      <c r="I508" s="102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</row>
    <row r="509" spans="1:41" s="5" customFormat="1" ht="12.75">
      <c r="A509" s="132" t="s">
        <v>7</v>
      </c>
      <c r="B509" s="118" t="s">
        <v>440</v>
      </c>
      <c r="C509" s="119" t="s">
        <v>68</v>
      </c>
      <c r="D509" s="119" t="s">
        <v>78</v>
      </c>
      <c r="E509" s="117"/>
      <c r="F509" s="117"/>
      <c r="G509" s="183">
        <f t="shared" si="31"/>
        <v>100</v>
      </c>
      <c r="H509" s="102"/>
      <c r="I509" s="102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</row>
    <row r="510" spans="1:41" s="5" customFormat="1" ht="12.75">
      <c r="A510" s="134" t="s">
        <v>128</v>
      </c>
      <c r="B510" s="118" t="s">
        <v>440</v>
      </c>
      <c r="C510" s="119" t="s">
        <v>68</v>
      </c>
      <c r="D510" s="119" t="s">
        <v>78</v>
      </c>
      <c r="E510" s="120" t="s">
        <v>129</v>
      </c>
      <c r="F510" s="117"/>
      <c r="G510" s="183">
        <f t="shared" si="31"/>
        <v>100</v>
      </c>
      <c r="H510" s="102"/>
      <c r="I510" s="102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</row>
    <row r="511" spans="1:41" s="5" customFormat="1" ht="33.75">
      <c r="A511" s="134" t="s">
        <v>164</v>
      </c>
      <c r="B511" s="118" t="s">
        <v>440</v>
      </c>
      <c r="C511" s="119" t="s">
        <v>68</v>
      </c>
      <c r="D511" s="119" t="s">
        <v>78</v>
      </c>
      <c r="E511" s="120" t="s">
        <v>130</v>
      </c>
      <c r="F511" s="117"/>
      <c r="G511" s="183">
        <f t="shared" si="31"/>
        <v>100</v>
      </c>
      <c r="H511" s="102"/>
      <c r="I511" s="102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</row>
    <row r="512" spans="1:41" s="74" customFormat="1" ht="33" customHeight="1">
      <c r="A512" s="134" t="s">
        <v>609</v>
      </c>
      <c r="B512" s="118" t="s">
        <v>440</v>
      </c>
      <c r="C512" s="119" t="s">
        <v>68</v>
      </c>
      <c r="D512" s="119" t="s">
        <v>78</v>
      </c>
      <c r="E512" s="120" t="s">
        <v>608</v>
      </c>
      <c r="F512" s="117"/>
      <c r="G512" s="183">
        <f t="shared" si="31"/>
        <v>100</v>
      </c>
      <c r="H512" s="105"/>
      <c r="I512" s="105"/>
      <c r="J512" s="215"/>
      <c r="K512" s="215"/>
      <c r="L512" s="215"/>
      <c r="M512" s="215"/>
      <c r="N512" s="215"/>
      <c r="O512" s="215"/>
      <c r="P512" s="215"/>
      <c r="Q512" s="215"/>
      <c r="R512" s="215"/>
      <c r="S512" s="215"/>
      <c r="T512" s="215"/>
      <c r="U512" s="215"/>
      <c r="V512" s="215"/>
      <c r="W512" s="215"/>
      <c r="X512" s="215"/>
      <c r="Y512" s="215"/>
      <c r="Z512" s="215"/>
      <c r="AA512" s="215"/>
      <c r="AB512" s="215"/>
      <c r="AC512" s="215"/>
      <c r="AD512" s="215"/>
      <c r="AE512" s="215"/>
      <c r="AF512" s="215"/>
      <c r="AG512" s="215"/>
      <c r="AH512" s="215"/>
      <c r="AI512" s="215"/>
      <c r="AJ512" s="215"/>
      <c r="AK512" s="215"/>
      <c r="AL512" s="215"/>
      <c r="AM512" s="215"/>
      <c r="AN512" s="215"/>
      <c r="AO512" s="215"/>
    </row>
    <row r="513" spans="1:41" s="5" customFormat="1" ht="12.75">
      <c r="A513" s="135" t="s">
        <v>153</v>
      </c>
      <c r="B513" s="118" t="s">
        <v>440</v>
      </c>
      <c r="C513" s="119" t="s">
        <v>68</v>
      </c>
      <c r="D513" s="119" t="s">
        <v>78</v>
      </c>
      <c r="E513" s="120" t="s">
        <v>608</v>
      </c>
      <c r="F513" s="117">
        <v>721</v>
      </c>
      <c r="G513" s="183">
        <v>100</v>
      </c>
      <c r="H513" s="102"/>
      <c r="I513" s="102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</row>
    <row r="514" spans="1:41" s="5" customFormat="1" ht="21.75">
      <c r="A514" s="131" t="s">
        <v>513</v>
      </c>
      <c r="B514" s="114" t="s">
        <v>180</v>
      </c>
      <c r="C514" s="119"/>
      <c r="D514" s="119"/>
      <c r="E514" s="117"/>
      <c r="F514" s="117"/>
      <c r="G514" s="182">
        <f>G515</f>
        <v>2790.7000000000003</v>
      </c>
      <c r="H514" s="102"/>
      <c r="I514" s="102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</row>
    <row r="515" spans="1:41" s="5" customFormat="1" ht="35.25" customHeight="1">
      <c r="A515" s="131" t="s">
        <v>251</v>
      </c>
      <c r="B515" s="114" t="s">
        <v>325</v>
      </c>
      <c r="C515" s="119"/>
      <c r="D515" s="119"/>
      <c r="E515" s="117"/>
      <c r="F515" s="117"/>
      <c r="G515" s="182">
        <f>G516+G546+G570+G588+G605+G634</f>
        <v>2790.7000000000003</v>
      </c>
      <c r="H515" s="102"/>
      <c r="I515" s="102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</row>
    <row r="516" spans="1:41" s="5" customFormat="1" ht="21.75">
      <c r="A516" s="131" t="s">
        <v>179</v>
      </c>
      <c r="B516" s="114" t="s">
        <v>326</v>
      </c>
      <c r="C516" s="119"/>
      <c r="D516" s="119"/>
      <c r="E516" s="117"/>
      <c r="F516" s="117"/>
      <c r="G516" s="182">
        <f>G517+G534+G540</f>
        <v>1765.2000000000003</v>
      </c>
      <c r="H516" s="102"/>
      <c r="I516" s="102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</row>
    <row r="517" spans="1:41" s="5" customFormat="1" ht="12.75">
      <c r="A517" s="131" t="s">
        <v>8</v>
      </c>
      <c r="B517" s="114" t="s">
        <v>326</v>
      </c>
      <c r="C517" s="116" t="s">
        <v>69</v>
      </c>
      <c r="D517" s="116" t="s">
        <v>36</v>
      </c>
      <c r="E517" s="117"/>
      <c r="F517" s="117"/>
      <c r="G517" s="182">
        <f>G518+G523+G528</f>
        <v>1459.1000000000004</v>
      </c>
      <c r="H517" s="102"/>
      <c r="I517" s="102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</row>
    <row r="518" spans="1:41" s="5" customFormat="1" ht="12.75">
      <c r="A518" s="132" t="s">
        <v>9</v>
      </c>
      <c r="B518" s="118" t="s">
        <v>326</v>
      </c>
      <c r="C518" s="119" t="s">
        <v>69</v>
      </c>
      <c r="D518" s="119" t="s">
        <v>66</v>
      </c>
      <c r="E518" s="117"/>
      <c r="F518" s="117"/>
      <c r="G518" s="183">
        <f>G519</f>
        <v>283.40000000000003</v>
      </c>
      <c r="H518" s="102"/>
      <c r="I518" s="102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</row>
    <row r="519" spans="1:41" s="5" customFormat="1" ht="22.5">
      <c r="A519" s="134" t="s">
        <v>105</v>
      </c>
      <c r="B519" s="118" t="s">
        <v>326</v>
      </c>
      <c r="C519" s="119" t="s">
        <v>69</v>
      </c>
      <c r="D519" s="119" t="s">
        <v>66</v>
      </c>
      <c r="E519" s="120" t="s">
        <v>106</v>
      </c>
      <c r="F519" s="117"/>
      <c r="G519" s="183">
        <f>G520</f>
        <v>283.40000000000003</v>
      </c>
      <c r="H519" s="102"/>
      <c r="I519" s="102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</row>
    <row r="520" spans="1:41" s="5" customFormat="1" ht="12.75">
      <c r="A520" s="134" t="s">
        <v>111</v>
      </c>
      <c r="B520" s="118" t="s">
        <v>326</v>
      </c>
      <c r="C520" s="119" t="s">
        <v>69</v>
      </c>
      <c r="D520" s="119" t="s">
        <v>66</v>
      </c>
      <c r="E520" s="120" t="s">
        <v>112</v>
      </c>
      <c r="F520" s="117"/>
      <c r="G520" s="183">
        <f>G521</f>
        <v>283.40000000000003</v>
      </c>
      <c r="H520" s="102"/>
      <c r="I520" s="102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</row>
    <row r="521" spans="1:41" s="5" customFormat="1" ht="12.75">
      <c r="A521" s="134" t="s">
        <v>115</v>
      </c>
      <c r="B521" s="118" t="s">
        <v>326</v>
      </c>
      <c r="C521" s="119" t="s">
        <v>69</v>
      </c>
      <c r="D521" s="119" t="s">
        <v>66</v>
      </c>
      <c r="E521" s="120" t="s">
        <v>116</v>
      </c>
      <c r="F521" s="117"/>
      <c r="G521" s="183">
        <f>G522</f>
        <v>283.40000000000003</v>
      </c>
      <c r="H521" s="102"/>
      <c r="I521" s="102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</row>
    <row r="522" spans="1:41" s="5" customFormat="1" ht="12" customHeight="1">
      <c r="A522" s="132" t="s">
        <v>156</v>
      </c>
      <c r="B522" s="118" t="s">
        <v>326</v>
      </c>
      <c r="C522" s="119" t="s">
        <v>69</v>
      </c>
      <c r="D522" s="119" t="s">
        <v>66</v>
      </c>
      <c r="E522" s="120" t="s">
        <v>116</v>
      </c>
      <c r="F522" s="117">
        <v>725</v>
      </c>
      <c r="G522" s="183">
        <f>360.6-77.2</f>
        <v>283.40000000000003</v>
      </c>
      <c r="H522" s="102"/>
      <c r="I522" s="102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</row>
    <row r="523" spans="1:41" s="5" customFormat="1" ht="12.75">
      <c r="A523" s="132" t="s">
        <v>651</v>
      </c>
      <c r="B523" s="118" t="s">
        <v>326</v>
      </c>
      <c r="C523" s="119" t="s">
        <v>69</v>
      </c>
      <c r="D523" s="119" t="s">
        <v>67</v>
      </c>
      <c r="E523" s="117"/>
      <c r="F523" s="117"/>
      <c r="G523" s="183">
        <f>G524</f>
        <v>845.6000000000001</v>
      </c>
      <c r="H523" s="102"/>
      <c r="I523" s="102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</row>
    <row r="524" spans="1:41" s="5" customFormat="1" ht="22.5">
      <c r="A524" s="134" t="s">
        <v>105</v>
      </c>
      <c r="B524" s="118" t="s">
        <v>326</v>
      </c>
      <c r="C524" s="119" t="s">
        <v>69</v>
      </c>
      <c r="D524" s="119" t="s">
        <v>67</v>
      </c>
      <c r="E524" s="120" t="s">
        <v>106</v>
      </c>
      <c r="F524" s="117"/>
      <c r="G524" s="183">
        <f>G525</f>
        <v>845.6000000000001</v>
      </c>
      <c r="H524" s="102"/>
      <c r="I524" s="102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</row>
    <row r="525" spans="1:41" s="5" customFormat="1" ht="12.75">
      <c r="A525" s="134" t="s">
        <v>111</v>
      </c>
      <c r="B525" s="118" t="s">
        <v>326</v>
      </c>
      <c r="C525" s="119" t="s">
        <v>69</v>
      </c>
      <c r="D525" s="119" t="s">
        <v>67</v>
      </c>
      <c r="E525" s="120" t="s">
        <v>112</v>
      </c>
      <c r="F525" s="117"/>
      <c r="G525" s="183">
        <f>G526</f>
        <v>845.6000000000001</v>
      </c>
      <c r="H525" s="102"/>
      <c r="I525" s="102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</row>
    <row r="526" spans="1:41" s="5" customFormat="1" ht="12.75">
      <c r="A526" s="134" t="s">
        <v>115</v>
      </c>
      <c r="B526" s="118" t="s">
        <v>326</v>
      </c>
      <c r="C526" s="119" t="s">
        <v>69</v>
      </c>
      <c r="D526" s="119" t="s">
        <v>67</v>
      </c>
      <c r="E526" s="120" t="s">
        <v>116</v>
      </c>
      <c r="F526" s="117"/>
      <c r="G526" s="183">
        <f>G527</f>
        <v>845.6000000000001</v>
      </c>
      <c r="H526" s="102"/>
      <c r="I526" s="102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</row>
    <row r="527" spans="1:41" s="5" customFormat="1" ht="11.25" customHeight="1">
      <c r="A527" s="132" t="s">
        <v>156</v>
      </c>
      <c r="B527" s="118" t="s">
        <v>326</v>
      </c>
      <c r="C527" s="119" t="s">
        <v>69</v>
      </c>
      <c r="D527" s="119" t="s">
        <v>67</v>
      </c>
      <c r="E527" s="120" t="s">
        <v>116</v>
      </c>
      <c r="F527" s="117">
        <v>725</v>
      </c>
      <c r="G527" s="183">
        <f>980.2-206+77.2-5.8</f>
        <v>845.6000000000001</v>
      </c>
      <c r="H527" s="102"/>
      <c r="I527" s="102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</row>
    <row r="528" spans="1:41" s="74" customFormat="1" ht="12.75">
      <c r="A528" s="132" t="s">
        <v>530</v>
      </c>
      <c r="B528" s="118" t="s">
        <v>326</v>
      </c>
      <c r="C528" s="119" t="s">
        <v>69</v>
      </c>
      <c r="D528" s="119" t="s">
        <v>70</v>
      </c>
      <c r="E528" s="120"/>
      <c r="F528" s="117"/>
      <c r="G528" s="183">
        <f>G529</f>
        <v>330.1</v>
      </c>
      <c r="H528" s="105"/>
      <c r="I528" s="105"/>
      <c r="J528" s="215"/>
      <c r="K528" s="215"/>
      <c r="L528" s="215"/>
      <c r="M528" s="215"/>
      <c r="N528" s="215"/>
      <c r="O528" s="215"/>
      <c r="P528" s="215"/>
      <c r="Q528" s="215"/>
      <c r="R528" s="215"/>
      <c r="S528" s="215"/>
      <c r="T528" s="215"/>
      <c r="U528" s="215"/>
      <c r="V528" s="215"/>
      <c r="W528" s="215"/>
      <c r="X528" s="215"/>
      <c r="Y528" s="215"/>
      <c r="Z528" s="215"/>
      <c r="AA528" s="215"/>
      <c r="AB528" s="215"/>
      <c r="AC528" s="215"/>
      <c r="AD528" s="215"/>
      <c r="AE528" s="215"/>
      <c r="AF528" s="215"/>
      <c r="AG528" s="215"/>
      <c r="AH528" s="215"/>
      <c r="AI528" s="215"/>
      <c r="AJ528" s="215"/>
      <c r="AK528" s="215"/>
      <c r="AL528" s="215"/>
      <c r="AM528" s="215"/>
      <c r="AN528" s="215"/>
      <c r="AO528" s="215"/>
    </row>
    <row r="529" spans="1:41" s="74" customFormat="1" ht="22.5">
      <c r="A529" s="134" t="s">
        <v>105</v>
      </c>
      <c r="B529" s="118" t="s">
        <v>326</v>
      </c>
      <c r="C529" s="119" t="s">
        <v>69</v>
      </c>
      <c r="D529" s="119" t="s">
        <v>70</v>
      </c>
      <c r="E529" s="120" t="s">
        <v>106</v>
      </c>
      <c r="F529" s="117"/>
      <c r="G529" s="183">
        <f>G530</f>
        <v>330.1</v>
      </c>
      <c r="H529" s="105"/>
      <c r="I529" s="105"/>
      <c r="J529" s="215"/>
      <c r="K529" s="215"/>
      <c r="L529" s="215"/>
      <c r="M529" s="215"/>
      <c r="N529" s="215"/>
      <c r="O529" s="215"/>
      <c r="P529" s="215"/>
      <c r="Q529" s="215"/>
      <c r="R529" s="215"/>
      <c r="S529" s="215"/>
      <c r="T529" s="215"/>
      <c r="U529" s="215"/>
      <c r="V529" s="215"/>
      <c r="W529" s="215"/>
      <c r="X529" s="215"/>
      <c r="Y529" s="215"/>
      <c r="Z529" s="215"/>
      <c r="AA529" s="215"/>
      <c r="AB529" s="215"/>
      <c r="AC529" s="215"/>
      <c r="AD529" s="215"/>
      <c r="AE529" s="215"/>
      <c r="AF529" s="215"/>
      <c r="AG529" s="215"/>
      <c r="AH529" s="215"/>
      <c r="AI529" s="215"/>
      <c r="AJ529" s="215"/>
      <c r="AK529" s="215"/>
      <c r="AL529" s="215"/>
      <c r="AM529" s="215"/>
      <c r="AN529" s="215"/>
      <c r="AO529" s="215"/>
    </row>
    <row r="530" spans="1:41" s="74" customFormat="1" ht="12.75">
      <c r="A530" s="134" t="s">
        <v>111</v>
      </c>
      <c r="B530" s="118" t="s">
        <v>326</v>
      </c>
      <c r="C530" s="119" t="s">
        <v>69</v>
      </c>
      <c r="D530" s="119" t="s">
        <v>70</v>
      </c>
      <c r="E530" s="120" t="s">
        <v>112</v>
      </c>
      <c r="F530" s="117"/>
      <c r="G530" s="183">
        <f>G531</f>
        <v>330.1</v>
      </c>
      <c r="H530" s="105"/>
      <c r="I530" s="105"/>
      <c r="J530" s="215"/>
      <c r="K530" s="215"/>
      <c r="L530" s="215"/>
      <c r="M530" s="215"/>
      <c r="N530" s="215"/>
      <c r="O530" s="215"/>
      <c r="P530" s="215"/>
      <c r="Q530" s="215"/>
      <c r="R530" s="215"/>
      <c r="S530" s="215"/>
      <c r="T530" s="215"/>
      <c r="U530" s="215"/>
      <c r="V530" s="215"/>
      <c r="W530" s="215"/>
      <c r="X530" s="215"/>
      <c r="Y530" s="215"/>
      <c r="Z530" s="215"/>
      <c r="AA530" s="215"/>
      <c r="AB530" s="215"/>
      <c r="AC530" s="215"/>
      <c r="AD530" s="215"/>
      <c r="AE530" s="215"/>
      <c r="AF530" s="215"/>
      <c r="AG530" s="215"/>
      <c r="AH530" s="215"/>
      <c r="AI530" s="215"/>
      <c r="AJ530" s="215"/>
      <c r="AK530" s="215"/>
      <c r="AL530" s="215"/>
      <c r="AM530" s="215"/>
      <c r="AN530" s="215"/>
      <c r="AO530" s="215"/>
    </row>
    <row r="531" spans="1:41" s="74" customFormat="1" ht="12.75">
      <c r="A531" s="134" t="s">
        <v>115</v>
      </c>
      <c r="B531" s="118" t="s">
        <v>326</v>
      </c>
      <c r="C531" s="119" t="s">
        <v>69</v>
      </c>
      <c r="D531" s="119" t="s">
        <v>70</v>
      </c>
      <c r="E531" s="120" t="s">
        <v>116</v>
      </c>
      <c r="F531" s="117"/>
      <c r="G531" s="183">
        <f>G532+G533</f>
        <v>330.1</v>
      </c>
      <c r="H531" s="105"/>
      <c r="I531" s="105"/>
      <c r="J531" s="215"/>
      <c r="K531" s="215"/>
      <c r="L531" s="215"/>
      <c r="M531" s="215"/>
      <c r="N531" s="215"/>
      <c r="O531" s="215"/>
      <c r="P531" s="215"/>
      <c r="Q531" s="215"/>
      <c r="R531" s="215"/>
      <c r="S531" s="215"/>
      <c r="T531" s="215"/>
      <c r="U531" s="215"/>
      <c r="V531" s="215"/>
      <c r="W531" s="215"/>
      <c r="X531" s="215"/>
      <c r="Y531" s="215"/>
      <c r="Z531" s="215"/>
      <c r="AA531" s="215"/>
      <c r="AB531" s="215"/>
      <c r="AC531" s="215"/>
      <c r="AD531" s="215"/>
      <c r="AE531" s="215"/>
      <c r="AF531" s="215"/>
      <c r="AG531" s="215"/>
      <c r="AH531" s="215"/>
      <c r="AI531" s="215"/>
      <c r="AJ531" s="215"/>
      <c r="AK531" s="215"/>
      <c r="AL531" s="215"/>
      <c r="AM531" s="215"/>
      <c r="AN531" s="215"/>
      <c r="AO531" s="215"/>
    </row>
    <row r="532" spans="1:41" s="74" customFormat="1" ht="10.5" customHeight="1">
      <c r="A532" s="132" t="s">
        <v>156</v>
      </c>
      <c r="B532" s="118" t="s">
        <v>326</v>
      </c>
      <c r="C532" s="119" t="s">
        <v>69</v>
      </c>
      <c r="D532" s="119" t="s">
        <v>70</v>
      </c>
      <c r="E532" s="120" t="s">
        <v>116</v>
      </c>
      <c r="F532" s="117">
        <v>725</v>
      </c>
      <c r="G532" s="183">
        <f>206+2.1</f>
        <v>208.1</v>
      </c>
      <c r="H532" s="105"/>
      <c r="I532" s="105"/>
      <c r="J532" s="215"/>
      <c r="K532" s="215"/>
      <c r="L532" s="215"/>
      <c r="M532" s="215"/>
      <c r="N532" s="215"/>
      <c r="O532" s="215"/>
      <c r="P532" s="215"/>
      <c r="Q532" s="215"/>
      <c r="R532" s="215"/>
      <c r="S532" s="215"/>
      <c r="T532" s="215"/>
      <c r="U532" s="215"/>
      <c r="V532" s="215"/>
      <c r="W532" s="215"/>
      <c r="X532" s="215"/>
      <c r="Y532" s="215"/>
      <c r="Z532" s="215"/>
      <c r="AA532" s="215"/>
      <c r="AB532" s="215"/>
      <c r="AC532" s="215"/>
      <c r="AD532" s="215"/>
      <c r="AE532" s="215"/>
      <c r="AF532" s="215"/>
      <c r="AG532" s="215"/>
      <c r="AH532" s="215"/>
      <c r="AI532" s="215"/>
      <c r="AJ532" s="215"/>
      <c r="AK532" s="215"/>
      <c r="AL532" s="215"/>
      <c r="AM532" s="215"/>
      <c r="AN532" s="215"/>
      <c r="AO532" s="215"/>
    </row>
    <row r="533" spans="1:41" s="5" customFormat="1" ht="22.5">
      <c r="A533" s="132" t="s">
        <v>157</v>
      </c>
      <c r="B533" s="118" t="s">
        <v>326</v>
      </c>
      <c r="C533" s="119" t="s">
        <v>69</v>
      </c>
      <c r="D533" s="119" t="s">
        <v>70</v>
      </c>
      <c r="E533" s="120" t="s">
        <v>116</v>
      </c>
      <c r="F533" s="117">
        <v>726</v>
      </c>
      <c r="G533" s="183">
        <f>145-23</f>
        <v>122</v>
      </c>
      <c r="H533" s="102"/>
      <c r="I533" s="102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</row>
    <row r="534" spans="1:41" s="5" customFormat="1" ht="12.75">
      <c r="A534" s="131" t="s">
        <v>649</v>
      </c>
      <c r="B534" s="114" t="s">
        <v>326</v>
      </c>
      <c r="C534" s="116" t="s">
        <v>73</v>
      </c>
      <c r="D534" s="116" t="s">
        <v>36</v>
      </c>
      <c r="E534" s="113"/>
      <c r="F534" s="113"/>
      <c r="G534" s="182">
        <f>G535</f>
        <v>206.3</v>
      </c>
      <c r="H534" s="102"/>
      <c r="I534" s="102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</row>
    <row r="535" spans="1:41" s="5" customFormat="1" ht="12.75">
      <c r="A535" s="132" t="s">
        <v>12</v>
      </c>
      <c r="B535" s="118" t="s">
        <v>326</v>
      </c>
      <c r="C535" s="119" t="s">
        <v>73</v>
      </c>
      <c r="D535" s="119" t="s">
        <v>66</v>
      </c>
      <c r="E535" s="117"/>
      <c r="F535" s="117"/>
      <c r="G535" s="183">
        <f>G536</f>
        <v>206.3</v>
      </c>
      <c r="H535" s="102"/>
      <c r="I535" s="102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</row>
    <row r="536" spans="1:41" s="5" customFormat="1" ht="22.5">
      <c r="A536" s="134" t="s">
        <v>105</v>
      </c>
      <c r="B536" s="118" t="s">
        <v>326</v>
      </c>
      <c r="C536" s="119" t="s">
        <v>73</v>
      </c>
      <c r="D536" s="119" t="s">
        <v>66</v>
      </c>
      <c r="E536" s="120" t="s">
        <v>106</v>
      </c>
      <c r="F536" s="117"/>
      <c r="G536" s="183">
        <f>G537</f>
        <v>206.3</v>
      </c>
      <c r="H536" s="102"/>
      <c r="I536" s="102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</row>
    <row r="537" spans="1:41" s="5" customFormat="1" ht="12.75">
      <c r="A537" s="134" t="s">
        <v>111</v>
      </c>
      <c r="B537" s="118" t="s">
        <v>326</v>
      </c>
      <c r="C537" s="119" t="s">
        <v>73</v>
      </c>
      <c r="D537" s="119" t="s">
        <v>66</v>
      </c>
      <c r="E537" s="120" t="s">
        <v>112</v>
      </c>
      <c r="F537" s="117"/>
      <c r="G537" s="183">
        <f>G538</f>
        <v>206.3</v>
      </c>
      <c r="H537" s="102"/>
      <c r="I537" s="102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</row>
    <row r="538" spans="1:41" s="5" customFormat="1" ht="12.75">
      <c r="A538" s="134" t="s">
        <v>115</v>
      </c>
      <c r="B538" s="118" t="s">
        <v>326</v>
      </c>
      <c r="C538" s="119" t="s">
        <v>73</v>
      </c>
      <c r="D538" s="119" t="s">
        <v>66</v>
      </c>
      <c r="E538" s="120" t="s">
        <v>116</v>
      </c>
      <c r="F538" s="117"/>
      <c r="G538" s="183">
        <f>G539</f>
        <v>206.3</v>
      </c>
      <c r="H538" s="102"/>
      <c r="I538" s="102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</row>
    <row r="539" spans="1:41" s="5" customFormat="1" ht="22.5">
      <c r="A539" s="132" t="s">
        <v>157</v>
      </c>
      <c r="B539" s="118" t="s">
        <v>326</v>
      </c>
      <c r="C539" s="119" t="s">
        <v>73</v>
      </c>
      <c r="D539" s="119" t="s">
        <v>66</v>
      </c>
      <c r="E539" s="120" t="s">
        <v>116</v>
      </c>
      <c r="F539" s="117">
        <v>726</v>
      </c>
      <c r="G539" s="183">
        <f>275-68.7</f>
        <v>206.3</v>
      </c>
      <c r="H539" s="102"/>
      <c r="I539" s="102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</row>
    <row r="540" spans="1:41" s="5" customFormat="1" ht="12.75">
      <c r="A540" s="131" t="s">
        <v>83</v>
      </c>
      <c r="B540" s="114" t="s">
        <v>326</v>
      </c>
      <c r="C540" s="116" t="s">
        <v>74</v>
      </c>
      <c r="D540" s="116" t="s">
        <v>36</v>
      </c>
      <c r="E540" s="113"/>
      <c r="F540" s="113"/>
      <c r="G540" s="182">
        <f>G541</f>
        <v>99.8</v>
      </c>
      <c r="H540" s="102"/>
      <c r="I540" s="102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</row>
    <row r="541" spans="1:41" s="5" customFormat="1" ht="12.75">
      <c r="A541" s="132" t="s">
        <v>84</v>
      </c>
      <c r="B541" s="118" t="s">
        <v>326</v>
      </c>
      <c r="C541" s="119" t="s">
        <v>74</v>
      </c>
      <c r="D541" s="119" t="s">
        <v>66</v>
      </c>
      <c r="E541" s="117"/>
      <c r="F541" s="117"/>
      <c r="G541" s="183">
        <f>G542</f>
        <v>99.8</v>
      </c>
      <c r="H541" s="102"/>
      <c r="I541" s="102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</row>
    <row r="542" spans="1:41" s="5" customFormat="1" ht="22.5">
      <c r="A542" s="134" t="s">
        <v>105</v>
      </c>
      <c r="B542" s="118" t="s">
        <v>326</v>
      </c>
      <c r="C542" s="119" t="s">
        <v>74</v>
      </c>
      <c r="D542" s="119" t="s">
        <v>66</v>
      </c>
      <c r="E542" s="120" t="s">
        <v>106</v>
      </c>
      <c r="F542" s="117"/>
      <c r="G542" s="183">
        <f>G543</f>
        <v>99.8</v>
      </c>
      <c r="H542" s="102"/>
      <c r="I542" s="102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</row>
    <row r="543" spans="1:41" s="5" customFormat="1" ht="12.75">
      <c r="A543" s="134" t="s">
        <v>111</v>
      </c>
      <c r="B543" s="118" t="s">
        <v>326</v>
      </c>
      <c r="C543" s="119" t="s">
        <v>74</v>
      </c>
      <c r="D543" s="119" t="s">
        <v>66</v>
      </c>
      <c r="E543" s="120" t="s">
        <v>112</v>
      </c>
      <c r="F543" s="117"/>
      <c r="G543" s="183">
        <f>G544</f>
        <v>99.8</v>
      </c>
      <c r="H543" s="102"/>
      <c r="I543" s="102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</row>
    <row r="544" spans="1:41" s="5" customFormat="1" ht="12.75">
      <c r="A544" s="134" t="s">
        <v>115</v>
      </c>
      <c r="B544" s="118" t="s">
        <v>326</v>
      </c>
      <c r="C544" s="119" t="s">
        <v>74</v>
      </c>
      <c r="D544" s="119" t="s">
        <v>66</v>
      </c>
      <c r="E544" s="120" t="s">
        <v>116</v>
      </c>
      <c r="F544" s="117"/>
      <c r="G544" s="183">
        <f>G545</f>
        <v>99.8</v>
      </c>
      <c r="H544" s="102"/>
      <c r="I544" s="102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</row>
    <row r="545" spans="1:41" s="5" customFormat="1" ht="22.5">
      <c r="A545" s="132" t="s">
        <v>157</v>
      </c>
      <c r="B545" s="118" t="s">
        <v>326</v>
      </c>
      <c r="C545" s="119" t="s">
        <v>74</v>
      </c>
      <c r="D545" s="119" t="s">
        <v>66</v>
      </c>
      <c r="E545" s="120" t="s">
        <v>116</v>
      </c>
      <c r="F545" s="117">
        <v>726</v>
      </c>
      <c r="G545" s="183">
        <f>160-60.2</f>
        <v>99.8</v>
      </c>
      <c r="H545" s="102"/>
      <c r="I545" s="102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</row>
    <row r="546" spans="1:41" s="5" customFormat="1" ht="12.75">
      <c r="A546" s="131" t="s">
        <v>182</v>
      </c>
      <c r="B546" s="114" t="s">
        <v>330</v>
      </c>
      <c r="C546" s="116"/>
      <c r="D546" s="116"/>
      <c r="E546" s="121"/>
      <c r="F546" s="113"/>
      <c r="G546" s="182">
        <f>G547+G558+G564</f>
        <v>256.7</v>
      </c>
      <c r="H546" s="102"/>
      <c r="I546" s="102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</row>
    <row r="547" spans="1:41" s="5" customFormat="1" ht="12.75">
      <c r="A547" s="131" t="s">
        <v>8</v>
      </c>
      <c r="B547" s="114" t="s">
        <v>330</v>
      </c>
      <c r="C547" s="116" t="s">
        <v>69</v>
      </c>
      <c r="D547" s="116" t="s">
        <v>36</v>
      </c>
      <c r="E547" s="120"/>
      <c r="F547" s="117"/>
      <c r="G547" s="182">
        <f>G548+G553</f>
        <v>176.7</v>
      </c>
      <c r="H547" s="102"/>
      <c r="I547" s="102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</row>
    <row r="548" spans="1:41" s="5" customFormat="1" ht="12.75">
      <c r="A548" s="132" t="s">
        <v>651</v>
      </c>
      <c r="B548" s="118" t="s">
        <v>330</v>
      </c>
      <c r="C548" s="119" t="s">
        <v>69</v>
      </c>
      <c r="D548" s="119" t="s">
        <v>67</v>
      </c>
      <c r="E548" s="117"/>
      <c r="F548" s="117"/>
      <c r="G548" s="183">
        <f>G549</f>
        <v>119.7</v>
      </c>
      <c r="H548" s="102"/>
      <c r="I548" s="102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</row>
    <row r="549" spans="1:41" s="5" customFormat="1" ht="22.5">
      <c r="A549" s="134" t="s">
        <v>105</v>
      </c>
      <c r="B549" s="118" t="s">
        <v>330</v>
      </c>
      <c r="C549" s="119" t="s">
        <v>69</v>
      </c>
      <c r="D549" s="119" t="s">
        <v>67</v>
      </c>
      <c r="E549" s="120" t="s">
        <v>106</v>
      </c>
      <c r="F549" s="117"/>
      <c r="G549" s="183">
        <f>G550</f>
        <v>119.7</v>
      </c>
      <c r="H549" s="102"/>
      <c r="I549" s="102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</row>
    <row r="550" spans="1:41" s="5" customFormat="1" ht="12.75">
      <c r="A550" s="134" t="s">
        <v>111</v>
      </c>
      <c r="B550" s="118" t="s">
        <v>330</v>
      </c>
      <c r="C550" s="119" t="s">
        <v>69</v>
      </c>
      <c r="D550" s="119" t="s">
        <v>67</v>
      </c>
      <c r="E550" s="120" t="s">
        <v>112</v>
      </c>
      <c r="F550" s="117"/>
      <c r="G550" s="183">
        <f>G551</f>
        <v>119.7</v>
      </c>
      <c r="H550" s="102"/>
      <c r="I550" s="102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</row>
    <row r="551" spans="1:41" s="5" customFormat="1" ht="12.75">
      <c r="A551" s="134" t="s">
        <v>115</v>
      </c>
      <c r="B551" s="118" t="s">
        <v>330</v>
      </c>
      <c r="C551" s="119" t="s">
        <v>69</v>
      </c>
      <c r="D551" s="119" t="s">
        <v>67</v>
      </c>
      <c r="E551" s="120" t="s">
        <v>116</v>
      </c>
      <c r="F551" s="117"/>
      <c r="G551" s="183">
        <f>G552</f>
        <v>119.7</v>
      </c>
      <c r="H551" s="102"/>
      <c r="I551" s="102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</row>
    <row r="552" spans="1:41" s="5" customFormat="1" ht="13.5" customHeight="1">
      <c r="A552" s="132" t="s">
        <v>156</v>
      </c>
      <c r="B552" s="118" t="s">
        <v>330</v>
      </c>
      <c r="C552" s="119" t="s">
        <v>69</v>
      </c>
      <c r="D552" s="119" t="s">
        <v>67</v>
      </c>
      <c r="E552" s="120" t="s">
        <v>116</v>
      </c>
      <c r="F552" s="117">
        <v>725</v>
      </c>
      <c r="G552" s="183">
        <f>124.2-4.5</f>
        <v>119.7</v>
      </c>
      <c r="H552" s="102"/>
      <c r="I552" s="102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</row>
    <row r="553" spans="1:41" s="74" customFormat="1" ht="12.75">
      <c r="A553" s="132" t="s">
        <v>530</v>
      </c>
      <c r="B553" s="118" t="s">
        <v>330</v>
      </c>
      <c r="C553" s="119" t="s">
        <v>69</v>
      </c>
      <c r="D553" s="119" t="s">
        <v>70</v>
      </c>
      <c r="E553" s="120"/>
      <c r="F553" s="117"/>
      <c r="G553" s="183">
        <f>G554</f>
        <v>57</v>
      </c>
      <c r="H553" s="105"/>
      <c r="I553" s="105"/>
      <c r="J553" s="215"/>
      <c r="K553" s="215"/>
      <c r="L553" s="215"/>
      <c r="M553" s="215"/>
      <c r="N553" s="215"/>
      <c r="O553" s="215"/>
      <c r="P553" s="215"/>
      <c r="Q553" s="215"/>
      <c r="R553" s="215"/>
      <c r="S553" s="215"/>
      <c r="T553" s="215"/>
      <c r="U553" s="215"/>
      <c r="V553" s="215"/>
      <c r="W553" s="215"/>
      <c r="X553" s="215"/>
      <c r="Y553" s="215"/>
      <c r="Z553" s="215"/>
      <c r="AA553" s="215"/>
      <c r="AB553" s="215"/>
      <c r="AC553" s="215"/>
      <c r="AD553" s="215"/>
      <c r="AE553" s="215"/>
      <c r="AF553" s="215"/>
      <c r="AG553" s="215"/>
      <c r="AH553" s="215"/>
      <c r="AI553" s="215"/>
      <c r="AJ553" s="215"/>
      <c r="AK553" s="215"/>
      <c r="AL553" s="215"/>
      <c r="AM553" s="215"/>
      <c r="AN553" s="215"/>
      <c r="AO553" s="215"/>
    </row>
    <row r="554" spans="1:41" s="74" customFormat="1" ht="22.5">
      <c r="A554" s="134" t="s">
        <v>105</v>
      </c>
      <c r="B554" s="118" t="s">
        <v>330</v>
      </c>
      <c r="C554" s="119" t="s">
        <v>69</v>
      </c>
      <c r="D554" s="119" t="s">
        <v>70</v>
      </c>
      <c r="E554" s="120" t="s">
        <v>106</v>
      </c>
      <c r="F554" s="117"/>
      <c r="G554" s="183">
        <f>G555</f>
        <v>57</v>
      </c>
      <c r="H554" s="105"/>
      <c r="I554" s="105"/>
      <c r="J554" s="215"/>
      <c r="K554" s="215"/>
      <c r="L554" s="215"/>
      <c r="M554" s="215"/>
      <c r="N554" s="215"/>
      <c r="O554" s="215"/>
      <c r="P554" s="215"/>
      <c r="Q554" s="215"/>
      <c r="R554" s="215"/>
      <c r="S554" s="215"/>
      <c r="T554" s="215"/>
      <c r="U554" s="215"/>
      <c r="V554" s="215"/>
      <c r="W554" s="215"/>
      <c r="X554" s="215"/>
      <c r="Y554" s="215"/>
      <c r="Z554" s="215"/>
      <c r="AA554" s="215"/>
      <c r="AB554" s="215"/>
      <c r="AC554" s="215"/>
      <c r="AD554" s="215"/>
      <c r="AE554" s="215"/>
      <c r="AF554" s="215"/>
      <c r="AG554" s="215"/>
      <c r="AH554" s="215"/>
      <c r="AI554" s="215"/>
      <c r="AJ554" s="215"/>
      <c r="AK554" s="215"/>
      <c r="AL554" s="215"/>
      <c r="AM554" s="215"/>
      <c r="AN554" s="215"/>
      <c r="AO554" s="215"/>
    </row>
    <row r="555" spans="1:41" s="74" customFormat="1" ht="12.75">
      <c r="A555" s="134" t="s">
        <v>111</v>
      </c>
      <c r="B555" s="118" t="s">
        <v>330</v>
      </c>
      <c r="C555" s="119" t="s">
        <v>69</v>
      </c>
      <c r="D555" s="119" t="s">
        <v>70</v>
      </c>
      <c r="E555" s="120" t="s">
        <v>112</v>
      </c>
      <c r="F555" s="117"/>
      <c r="G555" s="183">
        <f>G556</f>
        <v>57</v>
      </c>
      <c r="H555" s="105"/>
      <c r="I555" s="105"/>
      <c r="J555" s="215"/>
      <c r="K555" s="215"/>
      <c r="L555" s="215"/>
      <c r="M555" s="215"/>
      <c r="N555" s="215"/>
      <c r="O555" s="215"/>
      <c r="P555" s="215"/>
      <c r="Q555" s="215"/>
      <c r="R555" s="215"/>
      <c r="S555" s="215"/>
      <c r="T555" s="215"/>
      <c r="U555" s="215"/>
      <c r="V555" s="215"/>
      <c r="W555" s="215"/>
      <c r="X555" s="215"/>
      <c r="Y555" s="215"/>
      <c r="Z555" s="215"/>
      <c r="AA555" s="215"/>
      <c r="AB555" s="215"/>
      <c r="AC555" s="215"/>
      <c r="AD555" s="215"/>
      <c r="AE555" s="215"/>
      <c r="AF555" s="215"/>
      <c r="AG555" s="215"/>
      <c r="AH555" s="215"/>
      <c r="AI555" s="215"/>
      <c r="AJ555" s="215"/>
      <c r="AK555" s="215"/>
      <c r="AL555" s="215"/>
      <c r="AM555" s="215"/>
      <c r="AN555" s="215"/>
      <c r="AO555" s="215"/>
    </row>
    <row r="556" spans="1:41" s="74" customFormat="1" ht="12.75">
      <c r="A556" s="134" t="s">
        <v>115</v>
      </c>
      <c r="B556" s="118" t="s">
        <v>330</v>
      </c>
      <c r="C556" s="119" t="s">
        <v>69</v>
      </c>
      <c r="D556" s="119" t="s">
        <v>70</v>
      </c>
      <c r="E556" s="120" t="s">
        <v>116</v>
      </c>
      <c r="F556" s="117"/>
      <c r="G556" s="183">
        <f>G557</f>
        <v>57</v>
      </c>
      <c r="H556" s="105"/>
      <c r="I556" s="105"/>
      <c r="J556" s="215"/>
      <c r="K556" s="215"/>
      <c r="L556" s="215"/>
      <c r="M556" s="215"/>
      <c r="N556" s="215"/>
      <c r="O556" s="215"/>
      <c r="P556" s="215"/>
      <c r="Q556" s="215"/>
      <c r="R556" s="215"/>
      <c r="S556" s="215"/>
      <c r="T556" s="215"/>
      <c r="U556" s="215"/>
      <c r="V556" s="215"/>
      <c r="W556" s="215"/>
      <c r="X556" s="215"/>
      <c r="Y556" s="215"/>
      <c r="Z556" s="215"/>
      <c r="AA556" s="215"/>
      <c r="AB556" s="215"/>
      <c r="AC556" s="215"/>
      <c r="AD556" s="215"/>
      <c r="AE556" s="215"/>
      <c r="AF556" s="215"/>
      <c r="AG556" s="215"/>
      <c r="AH556" s="215"/>
      <c r="AI556" s="215"/>
      <c r="AJ556" s="215"/>
      <c r="AK556" s="215"/>
      <c r="AL556" s="215"/>
      <c r="AM556" s="215"/>
      <c r="AN556" s="215"/>
      <c r="AO556" s="215"/>
    </row>
    <row r="557" spans="1:41" s="5" customFormat="1" ht="22.5">
      <c r="A557" s="132" t="s">
        <v>157</v>
      </c>
      <c r="B557" s="118" t="s">
        <v>330</v>
      </c>
      <c r="C557" s="119" t="s">
        <v>69</v>
      </c>
      <c r="D557" s="119" t="s">
        <v>70</v>
      </c>
      <c r="E557" s="120" t="s">
        <v>116</v>
      </c>
      <c r="F557" s="117">
        <v>726</v>
      </c>
      <c r="G557" s="183">
        <v>57</v>
      </c>
      <c r="H557" s="102"/>
      <c r="I557" s="102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</row>
    <row r="558" spans="1:41" s="5" customFormat="1" ht="12.75">
      <c r="A558" s="131" t="s">
        <v>649</v>
      </c>
      <c r="B558" s="114" t="s">
        <v>330</v>
      </c>
      <c r="C558" s="116" t="s">
        <v>73</v>
      </c>
      <c r="D558" s="116" t="s">
        <v>36</v>
      </c>
      <c r="E558" s="113"/>
      <c r="F558" s="113"/>
      <c r="G558" s="182">
        <f>G559</f>
        <v>80</v>
      </c>
      <c r="H558" s="102"/>
      <c r="I558" s="102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</row>
    <row r="559" spans="1:41" s="5" customFormat="1" ht="12.75">
      <c r="A559" s="132" t="s">
        <v>12</v>
      </c>
      <c r="B559" s="118" t="s">
        <v>330</v>
      </c>
      <c r="C559" s="119" t="s">
        <v>73</v>
      </c>
      <c r="D559" s="119" t="s">
        <v>66</v>
      </c>
      <c r="E559" s="117"/>
      <c r="F559" s="117"/>
      <c r="G559" s="183">
        <f>G560</f>
        <v>80</v>
      </c>
      <c r="H559" s="102"/>
      <c r="I559" s="102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</row>
    <row r="560" spans="1:41" s="5" customFormat="1" ht="22.5">
      <c r="A560" s="134" t="s">
        <v>105</v>
      </c>
      <c r="B560" s="118" t="s">
        <v>330</v>
      </c>
      <c r="C560" s="119" t="s">
        <v>73</v>
      </c>
      <c r="D560" s="119" t="s">
        <v>66</v>
      </c>
      <c r="E560" s="120" t="s">
        <v>106</v>
      </c>
      <c r="F560" s="117"/>
      <c r="G560" s="183">
        <f>G561</f>
        <v>80</v>
      </c>
      <c r="H560" s="102"/>
      <c r="I560" s="102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</row>
    <row r="561" spans="1:41" s="5" customFormat="1" ht="12.75">
      <c r="A561" s="134" t="s">
        <v>111</v>
      </c>
      <c r="B561" s="118" t="s">
        <v>330</v>
      </c>
      <c r="C561" s="119" t="s">
        <v>73</v>
      </c>
      <c r="D561" s="119" t="s">
        <v>66</v>
      </c>
      <c r="E561" s="120" t="s">
        <v>112</v>
      </c>
      <c r="F561" s="117"/>
      <c r="G561" s="183">
        <f>G562</f>
        <v>80</v>
      </c>
      <c r="H561" s="102"/>
      <c r="I561" s="102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</row>
    <row r="562" spans="1:41" s="5" customFormat="1" ht="12.75">
      <c r="A562" s="134" t="s">
        <v>115</v>
      </c>
      <c r="B562" s="118" t="s">
        <v>330</v>
      </c>
      <c r="C562" s="119" t="s">
        <v>73</v>
      </c>
      <c r="D562" s="119" t="s">
        <v>66</v>
      </c>
      <c r="E562" s="120" t="s">
        <v>116</v>
      </c>
      <c r="F562" s="117"/>
      <c r="G562" s="183">
        <f>G563</f>
        <v>80</v>
      </c>
      <c r="H562" s="102"/>
      <c r="I562" s="102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</row>
    <row r="563" spans="1:41" s="5" customFormat="1" ht="22.5">
      <c r="A563" s="132" t="s">
        <v>157</v>
      </c>
      <c r="B563" s="118" t="s">
        <v>330</v>
      </c>
      <c r="C563" s="119" t="s">
        <v>73</v>
      </c>
      <c r="D563" s="119" t="s">
        <v>66</v>
      </c>
      <c r="E563" s="120" t="s">
        <v>116</v>
      </c>
      <c r="F563" s="117">
        <v>726</v>
      </c>
      <c r="G563" s="183">
        <v>80</v>
      </c>
      <c r="H563" s="102"/>
      <c r="I563" s="102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</row>
    <row r="564" spans="1:41" s="5" customFormat="1" ht="12.75">
      <c r="A564" s="131" t="s">
        <v>83</v>
      </c>
      <c r="B564" s="114" t="s">
        <v>330</v>
      </c>
      <c r="C564" s="116" t="s">
        <v>74</v>
      </c>
      <c r="D564" s="116" t="s">
        <v>36</v>
      </c>
      <c r="E564" s="113"/>
      <c r="F564" s="113"/>
      <c r="G564" s="182">
        <f>G565</f>
        <v>0</v>
      </c>
      <c r="H564" s="102"/>
      <c r="I564" s="102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</row>
    <row r="565" spans="1:41" s="5" customFormat="1" ht="12.75">
      <c r="A565" s="132" t="s">
        <v>84</v>
      </c>
      <c r="B565" s="118" t="s">
        <v>330</v>
      </c>
      <c r="C565" s="119" t="s">
        <v>74</v>
      </c>
      <c r="D565" s="119" t="s">
        <v>66</v>
      </c>
      <c r="E565" s="117"/>
      <c r="F565" s="117"/>
      <c r="G565" s="183">
        <f>G566</f>
        <v>0</v>
      </c>
      <c r="H565" s="102"/>
      <c r="I565" s="102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</row>
    <row r="566" spans="1:41" s="5" customFormat="1" ht="22.5">
      <c r="A566" s="134" t="s">
        <v>105</v>
      </c>
      <c r="B566" s="118" t="s">
        <v>330</v>
      </c>
      <c r="C566" s="119" t="s">
        <v>74</v>
      </c>
      <c r="D566" s="119" t="s">
        <v>66</v>
      </c>
      <c r="E566" s="120" t="s">
        <v>106</v>
      </c>
      <c r="F566" s="117"/>
      <c r="G566" s="183">
        <f>G567</f>
        <v>0</v>
      </c>
      <c r="H566" s="102"/>
      <c r="I566" s="102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</row>
    <row r="567" spans="1:41" s="5" customFormat="1" ht="12.75">
      <c r="A567" s="134" t="s">
        <v>111</v>
      </c>
      <c r="B567" s="118" t="s">
        <v>330</v>
      </c>
      <c r="C567" s="119" t="s">
        <v>74</v>
      </c>
      <c r="D567" s="119" t="s">
        <v>66</v>
      </c>
      <c r="E567" s="120" t="s">
        <v>112</v>
      </c>
      <c r="F567" s="117"/>
      <c r="G567" s="183">
        <f>G568</f>
        <v>0</v>
      </c>
      <c r="H567" s="102"/>
      <c r="I567" s="102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</row>
    <row r="568" spans="1:41" s="5" customFormat="1" ht="12.75">
      <c r="A568" s="134" t="s">
        <v>115</v>
      </c>
      <c r="B568" s="118" t="s">
        <v>330</v>
      </c>
      <c r="C568" s="119" t="s">
        <v>74</v>
      </c>
      <c r="D568" s="119" t="s">
        <v>66</v>
      </c>
      <c r="E568" s="120" t="s">
        <v>116</v>
      </c>
      <c r="F568" s="117"/>
      <c r="G568" s="183">
        <f>G569</f>
        <v>0</v>
      </c>
      <c r="H568" s="102"/>
      <c r="I568" s="102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</row>
    <row r="569" spans="1:41" s="5" customFormat="1" ht="22.5">
      <c r="A569" s="132" t="s">
        <v>157</v>
      </c>
      <c r="B569" s="118" t="s">
        <v>330</v>
      </c>
      <c r="C569" s="119" t="s">
        <v>74</v>
      </c>
      <c r="D569" s="119" t="s">
        <v>66</v>
      </c>
      <c r="E569" s="120" t="s">
        <v>116</v>
      </c>
      <c r="F569" s="117">
        <v>726</v>
      </c>
      <c r="G569" s="183">
        <f>130-130</f>
        <v>0</v>
      </c>
      <c r="H569" s="102"/>
      <c r="I569" s="102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</row>
    <row r="570" spans="1:41" s="5" customFormat="1" ht="24.75" customHeight="1">
      <c r="A570" s="131" t="s">
        <v>193</v>
      </c>
      <c r="B570" s="114" t="s">
        <v>342</v>
      </c>
      <c r="C570" s="116"/>
      <c r="D570" s="116"/>
      <c r="E570" s="121"/>
      <c r="F570" s="113"/>
      <c r="G570" s="182">
        <f>G571+G577</f>
        <v>240.7</v>
      </c>
      <c r="H570" s="102"/>
      <c r="I570" s="102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</row>
    <row r="571" spans="1:41" s="5" customFormat="1" ht="12.75">
      <c r="A571" s="131" t="s">
        <v>8</v>
      </c>
      <c r="B571" s="114" t="s">
        <v>342</v>
      </c>
      <c r="C571" s="116" t="s">
        <v>69</v>
      </c>
      <c r="D571" s="116" t="s">
        <v>36</v>
      </c>
      <c r="E571" s="120"/>
      <c r="F571" s="117"/>
      <c r="G571" s="183">
        <f>G572</f>
        <v>142.7</v>
      </c>
      <c r="H571" s="102"/>
      <c r="I571" s="102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</row>
    <row r="572" spans="1:41" s="5" customFormat="1" ht="12.75">
      <c r="A572" s="132" t="s">
        <v>530</v>
      </c>
      <c r="B572" s="118" t="s">
        <v>342</v>
      </c>
      <c r="C572" s="119" t="s">
        <v>69</v>
      </c>
      <c r="D572" s="119" t="s">
        <v>70</v>
      </c>
      <c r="E572" s="120"/>
      <c r="F572" s="117"/>
      <c r="G572" s="183">
        <f>G573</f>
        <v>142.7</v>
      </c>
      <c r="H572" s="102"/>
      <c r="I572" s="102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</row>
    <row r="573" spans="1:41" s="5" customFormat="1" ht="22.5">
      <c r="A573" s="134" t="s">
        <v>105</v>
      </c>
      <c r="B573" s="118" t="s">
        <v>342</v>
      </c>
      <c r="C573" s="119" t="s">
        <v>69</v>
      </c>
      <c r="D573" s="119" t="s">
        <v>70</v>
      </c>
      <c r="E573" s="120" t="s">
        <v>106</v>
      </c>
      <c r="F573" s="117"/>
      <c r="G573" s="183">
        <f>G574</f>
        <v>142.7</v>
      </c>
      <c r="H573" s="102"/>
      <c r="I573" s="102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</row>
    <row r="574" spans="1:41" s="5" customFormat="1" ht="12.75">
      <c r="A574" s="134" t="s">
        <v>111</v>
      </c>
      <c r="B574" s="118" t="s">
        <v>342</v>
      </c>
      <c r="C574" s="119" t="s">
        <v>69</v>
      </c>
      <c r="D574" s="119" t="s">
        <v>70</v>
      </c>
      <c r="E574" s="120" t="s">
        <v>112</v>
      </c>
      <c r="F574" s="117"/>
      <c r="G574" s="183">
        <f>G575</f>
        <v>142.7</v>
      </c>
      <c r="H574" s="102"/>
      <c r="I574" s="102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</row>
    <row r="575" spans="1:41" s="5" customFormat="1" ht="12.75">
      <c r="A575" s="134" t="s">
        <v>115</v>
      </c>
      <c r="B575" s="118" t="s">
        <v>342</v>
      </c>
      <c r="C575" s="119" t="s">
        <v>69</v>
      </c>
      <c r="D575" s="119" t="s">
        <v>70</v>
      </c>
      <c r="E575" s="120" t="s">
        <v>116</v>
      </c>
      <c r="F575" s="117"/>
      <c r="G575" s="183">
        <f>G576</f>
        <v>142.7</v>
      </c>
      <c r="H575" s="102"/>
      <c r="I575" s="102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</row>
    <row r="576" spans="1:41" s="5" customFormat="1" ht="22.5">
      <c r="A576" s="132" t="s">
        <v>157</v>
      </c>
      <c r="B576" s="118" t="s">
        <v>342</v>
      </c>
      <c r="C576" s="119" t="s">
        <v>69</v>
      </c>
      <c r="D576" s="119" t="s">
        <v>70</v>
      </c>
      <c r="E576" s="120" t="s">
        <v>116</v>
      </c>
      <c r="F576" s="117">
        <v>726</v>
      </c>
      <c r="G576" s="183">
        <f>96.2+46.5</f>
        <v>142.7</v>
      </c>
      <c r="H576" s="102"/>
      <c r="I576" s="102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</row>
    <row r="577" spans="1:41" s="5" customFormat="1" ht="12.75">
      <c r="A577" s="131" t="s">
        <v>649</v>
      </c>
      <c r="B577" s="114" t="s">
        <v>342</v>
      </c>
      <c r="C577" s="116" t="s">
        <v>73</v>
      </c>
      <c r="D577" s="116" t="s">
        <v>36</v>
      </c>
      <c r="E577" s="113"/>
      <c r="F577" s="113"/>
      <c r="G577" s="182">
        <f>G578+G583</f>
        <v>98</v>
      </c>
      <c r="H577" s="102"/>
      <c r="I577" s="102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</row>
    <row r="578" spans="1:41" s="5" customFormat="1" ht="12.75">
      <c r="A578" s="132" t="s">
        <v>12</v>
      </c>
      <c r="B578" s="118" t="s">
        <v>342</v>
      </c>
      <c r="C578" s="119" t="s">
        <v>73</v>
      </c>
      <c r="D578" s="119" t="s">
        <v>66</v>
      </c>
      <c r="E578" s="117"/>
      <c r="F578" s="117"/>
      <c r="G578" s="183">
        <f>G579</f>
        <v>59</v>
      </c>
      <c r="H578" s="102"/>
      <c r="I578" s="102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</row>
    <row r="579" spans="1:41" s="5" customFormat="1" ht="22.5">
      <c r="A579" s="134" t="s">
        <v>105</v>
      </c>
      <c r="B579" s="118" t="s">
        <v>342</v>
      </c>
      <c r="C579" s="119" t="s">
        <v>73</v>
      </c>
      <c r="D579" s="119" t="s">
        <v>66</v>
      </c>
      <c r="E579" s="120" t="s">
        <v>106</v>
      </c>
      <c r="F579" s="117"/>
      <c r="G579" s="183">
        <f>G580</f>
        <v>59</v>
      </c>
      <c r="H579" s="102"/>
      <c r="I579" s="102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</row>
    <row r="580" spans="1:41" s="5" customFormat="1" ht="12.75">
      <c r="A580" s="134" t="s">
        <v>111</v>
      </c>
      <c r="B580" s="118" t="s">
        <v>342</v>
      </c>
      <c r="C580" s="119" t="s">
        <v>73</v>
      </c>
      <c r="D580" s="119" t="s">
        <v>66</v>
      </c>
      <c r="E580" s="120" t="s">
        <v>112</v>
      </c>
      <c r="F580" s="117"/>
      <c r="G580" s="183">
        <f>G581</f>
        <v>59</v>
      </c>
      <c r="H580" s="102"/>
      <c r="I580" s="102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</row>
    <row r="581" spans="1:41" s="5" customFormat="1" ht="12.75">
      <c r="A581" s="134" t="s">
        <v>115</v>
      </c>
      <c r="B581" s="118" t="s">
        <v>342</v>
      </c>
      <c r="C581" s="119" t="s">
        <v>73</v>
      </c>
      <c r="D581" s="119" t="s">
        <v>66</v>
      </c>
      <c r="E581" s="120" t="s">
        <v>116</v>
      </c>
      <c r="F581" s="117"/>
      <c r="G581" s="183">
        <f>G582</f>
        <v>59</v>
      </c>
      <c r="H581" s="102"/>
      <c r="I581" s="102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</row>
    <row r="582" spans="1:41" s="5" customFormat="1" ht="22.5">
      <c r="A582" s="132" t="s">
        <v>157</v>
      </c>
      <c r="B582" s="118" t="s">
        <v>342</v>
      </c>
      <c r="C582" s="119" t="s">
        <v>73</v>
      </c>
      <c r="D582" s="119" t="s">
        <v>66</v>
      </c>
      <c r="E582" s="120" t="s">
        <v>116</v>
      </c>
      <c r="F582" s="117">
        <v>726</v>
      </c>
      <c r="G582" s="183">
        <f>14+22.5+22.5</f>
        <v>59</v>
      </c>
      <c r="H582" s="102"/>
      <c r="I582" s="102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</row>
    <row r="583" spans="1:41" s="5" customFormat="1" ht="12.75">
      <c r="A583" s="134" t="s">
        <v>86</v>
      </c>
      <c r="B583" s="118" t="s">
        <v>342</v>
      </c>
      <c r="C583" s="119" t="s">
        <v>73</v>
      </c>
      <c r="D583" s="119" t="s">
        <v>68</v>
      </c>
      <c r="E583" s="120"/>
      <c r="F583" s="117"/>
      <c r="G583" s="183">
        <f>G584</f>
        <v>39</v>
      </c>
      <c r="H583" s="102"/>
      <c r="I583" s="102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</row>
    <row r="584" spans="1:41" s="5" customFormat="1" ht="22.5">
      <c r="A584" s="134" t="s">
        <v>610</v>
      </c>
      <c r="B584" s="118" t="s">
        <v>342</v>
      </c>
      <c r="C584" s="119" t="s">
        <v>73</v>
      </c>
      <c r="D584" s="119" t="s">
        <v>68</v>
      </c>
      <c r="E584" s="120" t="s">
        <v>104</v>
      </c>
      <c r="F584" s="117"/>
      <c r="G584" s="183">
        <f>G585</f>
        <v>39</v>
      </c>
      <c r="H584" s="102"/>
      <c r="I584" s="102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</row>
    <row r="585" spans="1:41" s="5" customFormat="1" ht="22.5">
      <c r="A585" s="134" t="s">
        <v>98</v>
      </c>
      <c r="B585" s="118" t="s">
        <v>342</v>
      </c>
      <c r="C585" s="119" t="s">
        <v>73</v>
      </c>
      <c r="D585" s="119" t="s">
        <v>68</v>
      </c>
      <c r="E585" s="120" t="s">
        <v>99</v>
      </c>
      <c r="F585" s="117"/>
      <c r="G585" s="183">
        <f>G586</f>
        <v>39</v>
      </c>
      <c r="H585" s="102"/>
      <c r="I585" s="102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</row>
    <row r="586" spans="1:41" s="5" customFormat="1" ht="22.5">
      <c r="A586" s="134" t="s">
        <v>100</v>
      </c>
      <c r="B586" s="118" t="s">
        <v>342</v>
      </c>
      <c r="C586" s="119" t="s">
        <v>73</v>
      </c>
      <c r="D586" s="119" t="s">
        <v>68</v>
      </c>
      <c r="E586" s="120" t="s">
        <v>101</v>
      </c>
      <c r="F586" s="117"/>
      <c r="G586" s="183">
        <f>G587</f>
        <v>39</v>
      </c>
      <c r="H586" s="102"/>
      <c r="I586" s="102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</row>
    <row r="587" spans="1:41" s="5" customFormat="1" ht="22.5">
      <c r="A587" s="132" t="s">
        <v>157</v>
      </c>
      <c r="B587" s="118" t="s">
        <v>342</v>
      </c>
      <c r="C587" s="119" t="s">
        <v>73</v>
      </c>
      <c r="D587" s="119" t="s">
        <v>68</v>
      </c>
      <c r="E587" s="120" t="s">
        <v>101</v>
      </c>
      <c r="F587" s="117">
        <v>726</v>
      </c>
      <c r="G587" s="183">
        <v>39</v>
      </c>
      <c r="H587" s="102"/>
      <c r="I587" s="102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</row>
    <row r="588" spans="1:41" s="5" customFormat="1" ht="21.75">
      <c r="A588" s="131" t="s">
        <v>290</v>
      </c>
      <c r="B588" s="114" t="s">
        <v>327</v>
      </c>
      <c r="C588" s="116"/>
      <c r="D588" s="116"/>
      <c r="E588" s="121"/>
      <c r="F588" s="113"/>
      <c r="G588" s="182">
        <f>G589</f>
        <v>274.80000000000007</v>
      </c>
      <c r="H588" s="102"/>
      <c r="I588" s="102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</row>
    <row r="589" spans="1:41" s="5" customFormat="1" ht="12.75">
      <c r="A589" s="131" t="s">
        <v>8</v>
      </c>
      <c r="B589" s="114" t="s">
        <v>327</v>
      </c>
      <c r="C589" s="116" t="s">
        <v>69</v>
      </c>
      <c r="D589" s="116" t="s">
        <v>36</v>
      </c>
      <c r="E589" s="117"/>
      <c r="F589" s="117"/>
      <c r="G589" s="182">
        <f>G590+G595+G600</f>
        <v>274.80000000000007</v>
      </c>
      <c r="H589" s="102"/>
      <c r="I589" s="102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</row>
    <row r="590" spans="1:41" s="5" customFormat="1" ht="12.75">
      <c r="A590" s="132" t="s">
        <v>9</v>
      </c>
      <c r="B590" s="118" t="s">
        <v>327</v>
      </c>
      <c r="C590" s="119" t="s">
        <v>69</v>
      </c>
      <c r="D590" s="119" t="s">
        <v>66</v>
      </c>
      <c r="E590" s="117"/>
      <c r="F590" s="117"/>
      <c r="G590" s="183">
        <f>G591</f>
        <v>81.5</v>
      </c>
      <c r="H590" s="102"/>
      <c r="I590" s="102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</row>
    <row r="591" spans="1:41" s="5" customFormat="1" ht="22.5">
      <c r="A591" s="134" t="s">
        <v>105</v>
      </c>
      <c r="B591" s="118" t="s">
        <v>327</v>
      </c>
      <c r="C591" s="119" t="s">
        <v>69</v>
      </c>
      <c r="D591" s="119" t="s">
        <v>66</v>
      </c>
      <c r="E591" s="120" t="s">
        <v>106</v>
      </c>
      <c r="F591" s="117"/>
      <c r="G591" s="183">
        <f>G592</f>
        <v>81.5</v>
      </c>
      <c r="H591" s="102"/>
      <c r="I591" s="102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</row>
    <row r="592" spans="1:41" s="5" customFormat="1" ht="12.75">
      <c r="A592" s="134" t="s">
        <v>111</v>
      </c>
      <c r="B592" s="118" t="s">
        <v>327</v>
      </c>
      <c r="C592" s="119" t="s">
        <v>69</v>
      </c>
      <c r="D592" s="119" t="s">
        <v>66</v>
      </c>
      <c r="E592" s="120" t="s">
        <v>112</v>
      </c>
      <c r="F592" s="117"/>
      <c r="G592" s="183">
        <f>G593</f>
        <v>81.5</v>
      </c>
      <c r="H592" s="102"/>
      <c r="I592" s="102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</row>
    <row r="593" spans="1:41" s="5" customFormat="1" ht="12.75">
      <c r="A593" s="134" t="s">
        <v>115</v>
      </c>
      <c r="B593" s="118" t="s">
        <v>327</v>
      </c>
      <c r="C593" s="119" t="s">
        <v>69</v>
      </c>
      <c r="D593" s="119" t="s">
        <v>66</v>
      </c>
      <c r="E593" s="120" t="s">
        <v>116</v>
      </c>
      <c r="F593" s="117"/>
      <c r="G593" s="183">
        <f>G594</f>
        <v>81.5</v>
      </c>
      <c r="H593" s="102"/>
      <c r="I593" s="102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</row>
    <row r="594" spans="1:41" s="5" customFormat="1" ht="13.5" customHeight="1">
      <c r="A594" s="132" t="s">
        <v>156</v>
      </c>
      <c r="B594" s="118" t="s">
        <v>327</v>
      </c>
      <c r="C594" s="119" t="s">
        <v>69</v>
      </c>
      <c r="D594" s="119" t="s">
        <v>66</v>
      </c>
      <c r="E594" s="120" t="s">
        <v>116</v>
      </c>
      <c r="F594" s="117">
        <v>725</v>
      </c>
      <c r="G594" s="183">
        <f>147.1-22.6-43</f>
        <v>81.5</v>
      </c>
      <c r="H594" s="102"/>
      <c r="I594" s="102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</row>
    <row r="595" spans="1:41" s="5" customFormat="1" ht="12.75">
      <c r="A595" s="132" t="s">
        <v>651</v>
      </c>
      <c r="B595" s="118" t="s">
        <v>327</v>
      </c>
      <c r="C595" s="119" t="s">
        <v>69</v>
      </c>
      <c r="D595" s="119" t="s">
        <v>67</v>
      </c>
      <c r="E595" s="117"/>
      <c r="F595" s="117"/>
      <c r="G595" s="183">
        <f>G596</f>
        <v>175.90000000000006</v>
      </c>
      <c r="H595" s="102"/>
      <c r="I595" s="102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</row>
    <row r="596" spans="1:41" s="5" customFormat="1" ht="22.5">
      <c r="A596" s="134" t="s">
        <v>105</v>
      </c>
      <c r="B596" s="118" t="s">
        <v>327</v>
      </c>
      <c r="C596" s="119" t="s">
        <v>69</v>
      </c>
      <c r="D596" s="119" t="s">
        <v>67</v>
      </c>
      <c r="E596" s="120" t="s">
        <v>106</v>
      </c>
      <c r="F596" s="117"/>
      <c r="G596" s="183">
        <f>G597</f>
        <v>175.90000000000006</v>
      </c>
      <c r="H596" s="102"/>
      <c r="I596" s="102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</row>
    <row r="597" spans="1:41" s="5" customFormat="1" ht="12.75">
      <c r="A597" s="134" t="s">
        <v>111</v>
      </c>
      <c r="B597" s="118" t="s">
        <v>327</v>
      </c>
      <c r="C597" s="119" t="s">
        <v>69</v>
      </c>
      <c r="D597" s="119" t="s">
        <v>67</v>
      </c>
      <c r="E597" s="120" t="s">
        <v>112</v>
      </c>
      <c r="F597" s="117"/>
      <c r="G597" s="183">
        <f>G598</f>
        <v>175.90000000000006</v>
      </c>
      <c r="H597" s="102"/>
      <c r="I597" s="102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</row>
    <row r="598" spans="1:41" s="5" customFormat="1" ht="12.75">
      <c r="A598" s="134" t="s">
        <v>115</v>
      </c>
      <c r="B598" s="118" t="s">
        <v>327</v>
      </c>
      <c r="C598" s="119" t="s">
        <v>69</v>
      </c>
      <c r="D598" s="119" t="s">
        <v>67</v>
      </c>
      <c r="E598" s="120" t="s">
        <v>116</v>
      </c>
      <c r="F598" s="117"/>
      <c r="G598" s="183">
        <f>G599</f>
        <v>175.90000000000006</v>
      </c>
      <c r="H598" s="102"/>
      <c r="I598" s="102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</row>
    <row r="599" spans="1:41" s="5" customFormat="1" ht="13.5" customHeight="1">
      <c r="A599" s="132" t="s">
        <v>156</v>
      </c>
      <c r="B599" s="118" t="s">
        <v>327</v>
      </c>
      <c r="C599" s="119" t="s">
        <v>69</v>
      </c>
      <c r="D599" s="119" t="s">
        <v>67</v>
      </c>
      <c r="E599" s="120" t="s">
        <v>116</v>
      </c>
      <c r="F599" s="117">
        <v>725</v>
      </c>
      <c r="G599" s="183">
        <f>309.3-18.4+22.6-137.6</f>
        <v>175.90000000000006</v>
      </c>
      <c r="H599" s="102"/>
      <c r="I599" s="102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</row>
    <row r="600" spans="1:41" s="74" customFormat="1" ht="12.75">
      <c r="A600" s="132" t="s">
        <v>530</v>
      </c>
      <c r="B600" s="118" t="s">
        <v>327</v>
      </c>
      <c r="C600" s="119" t="s">
        <v>69</v>
      </c>
      <c r="D600" s="119" t="s">
        <v>70</v>
      </c>
      <c r="E600" s="120"/>
      <c r="F600" s="117"/>
      <c r="G600" s="183">
        <f>G601</f>
        <v>17.4</v>
      </c>
      <c r="H600" s="105"/>
      <c r="I600" s="105"/>
      <c r="J600" s="215"/>
      <c r="K600" s="215"/>
      <c r="L600" s="215"/>
      <c r="M600" s="215"/>
      <c r="N600" s="215"/>
      <c r="O600" s="215"/>
      <c r="P600" s="215"/>
      <c r="Q600" s="215"/>
      <c r="R600" s="215"/>
      <c r="S600" s="215"/>
      <c r="T600" s="215"/>
      <c r="U600" s="215"/>
      <c r="V600" s="215"/>
      <c r="W600" s="215"/>
      <c r="X600" s="215"/>
      <c r="Y600" s="215"/>
      <c r="Z600" s="215"/>
      <c r="AA600" s="215"/>
      <c r="AB600" s="215"/>
      <c r="AC600" s="215"/>
      <c r="AD600" s="215"/>
      <c r="AE600" s="215"/>
      <c r="AF600" s="215"/>
      <c r="AG600" s="215"/>
      <c r="AH600" s="215"/>
      <c r="AI600" s="215"/>
      <c r="AJ600" s="215"/>
      <c r="AK600" s="215"/>
      <c r="AL600" s="215"/>
      <c r="AM600" s="215"/>
      <c r="AN600" s="215"/>
      <c r="AO600" s="215"/>
    </row>
    <row r="601" spans="1:41" s="74" customFormat="1" ht="22.5">
      <c r="A601" s="134" t="s">
        <v>105</v>
      </c>
      <c r="B601" s="118" t="s">
        <v>327</v>
      </c>
      <c r="C601" s="119" t="s">
        <v>69</v>
      </c>
      <c r="D601" s="119" t="s">
        <v>70</v>
      </c>
      <c r="E601" s="120" t="s">
        <v>106</v>
      </c>
      <c r="F601" s="117"/>
      <c r="G601" s="183">
        <f>G602</f>
        <v>17.4</v>
      </c>
      <c r="H601" s="105"/>
      <c r="I601" s="105"/>
      <c r="J601" s="215"/>
      <c r="K601" s="215"/>
      <c r="L601" s="215"/>
      <c r="M601" s="215"/>
      <c r="N601" s="215"/>
      <c r="O601" s="215"/>
      <c r="P601" s="215"/>
      <c r="Q601" s="215"/>
      <c r="R601" s="215"/>
      <c r="S601" s="215"/>
      <c r="T601" s="215"/>
      <c r="U601" s="215"/>
      <c r="V601" s="215"/>
      <c r="W601" s="215"/>
      <c r="X601" s="215"/>
      <c r="Y601" s="215"/>
      <c r="Z601" s="215"/>
      <c r="AA601" s="215"/>
      <c r="AB601" s="215"/>
      <c r="AC601" s="215"/>
      <c r="AD601" s="215"/>
      <c r="AE601" s="215"/>
      <c r="AF601" s="215"/>
      <c r="AG601" s="215"/>
      <c r="AH601" s="215"/>
      <c r="AI601" s="215"/>
      <c r="AJ601" s="215"/>
      <c r="AK601" s="215"/>
      <c r="AL601" s="215"/>
      <c r="AM601" s="215"/>
      <c r="AN601" s="215"/>
      <c r="AO601" s="215"/>
    </row>
    <row r="602" spans="1:41" s="74" customFormat="1" ht="12.75">
      <c r="A602" s="134" t="s">
        <v>111</v>
      </c>
      <c r="B602" s="118" t="s">
        <v>327</v>
      </c>
      <c r="C602" s="119" t="s">
        <v>69</v>
      </c>
      <c r="D602" s="119" t="s">
        <v>70</v>
      </c>
      <c r="E602" s="120" t="s">
        <v>112</v>
      </c>
      <c r="F602" s="117"/>
      <c r="G602" s="183">
        <f>G603</f>
        <v>17.4</v>
      </c>
      <c r="H602" s="105"/>
      <c r="I602" s="105"/>
      <c r="J602" s="215"/>
      <c r="K602" s="215"/>
      <c r="L602" s="215"/>
      <c r="M602" s="215"/>
      <c r="N602" s="215"/>
      <c r="O602" s="215"/>
      <c r="P602" s="215"/>
      <c r="Q602" s="215"/>
      <c r="R602" s="215"/>
      <c r="S602" s="215"/>
      <c r="T602" s="215"/>
      <c r="U602" s="215"/>
      <c r="V602" s="215"/>
      <c r="W602" s="215"/>
      <c r="X602" s="215"/>
      <c r="Y602" s="215"/>
      <c r="Z602" s="215"/>
      <c r="AA602" s="215"/>
      <c r="AB602" s="215"/>
      <c r="AC602" s="215"/>
      <c r="AD602" s="215"/>
      <c r="AE602" s="215"/>
      <c r="AF602" s="215"/>
      <c r="AG602" s="215"/>
      <c r="AH602" s="215"/>
      <c r="AI602" s="215"/>
      <c r="AJ602" s="215"/>
      <c r="AK602" s="215"/>
      <c r="AL602" s="215"/>
      <c r="AM602" s="215"/>
      <c r="AN602" s="215"/>
      <c r="AO602" s="215"/>
    </row>
    <row r="603" spans="1:41" s="74" customFormat="1" ht="12.75">
      <c r="A603" s="134" t="s">
        <v>115</v>
      </c>
      <c r="B603" s="118" t="s">
        <v>327</v>
      </c>
      <c r="C603" s="119" t="s">
        <v>69</v>
      </c>
      <c r="D603" s="119" t="s">
        <v>70</v>
      </c>
      <c r="E603" s="120" t="s">
        <v>116</v>
      </c>
      <c r="F603" s="117"/>
      <c r="G603" s="183">
        <f>G604</f>
        <v>17.4</v>
      </c>
      <c r="H603" s="105"/>
      <c r="I603" s="105"/>
      <c r="J603" s="215"/>
      <c r="K603" s="215"/>
      <c r="L603" s="215"/>
      <c r="M603" s="215"/>
      <c r="N603" s="215"/>
      <c r="O603" s="215"/>
      <c r="P603" s="215"/>
      <c r="Q603" s="215"/>
      <c r="R603" s="215"/>
      <c r="S603" s="215"/>
      <c r="T603" s="215"/>
      <c r="U603" s="215"/>
      <c r="V603" s="215"/>
      <c r="W603" s="215"/>
      <c r="X603" s="215"/>
      <c r="Y603" s="215"/>
      <c r="Z603" s="215"/>
      <c r="AA603" s="215"/>
      <c r="AB603" s="215"/>
      <c r="AC603" s="215"/>
      <c r="AD603" s="215"/>
      <c r="AE603" s="215"/>
      <c r="AF603" s="215"/>
      <c r="AG603" s="215"/>
      <c r="AH603" s="215"/>
      <c r="AI603" s="215"/>
      <c r="AJ603" s="215"/>
      <c r="AK603" s="215"/>
      <c r="AL603" s="215"/>
      <c r="AM603" s="215"/>
      <c r="AN603" s="215"/>
      <c r="AO603" s="215"/>
    </row>
    <row r="604" spans="1:41" s="74" customFormat="1" ht="11.25" customHeight="1">
      <c r="A604" s="132" t="s">
        <v>156</v>
      </c>
      <c r="B604" s="118" t="s">
        <v>327</v>
      </c>
      <c r="C604" s="119" t="s">
        <v>69</v>
      </c>
      <c r="D604" s="119" t="s">
        <v>70</v>
      </c>
      <c r="E604" s="120" t="s">
        <v>116</v>
      </c>
      <c r="F604" s="117">
        <v>725</v>
      </c>
      <c r="G604" s="183">
        <f>18.4-1</f>
        <v>17.4</v>
      </c>
      <c r="H604" s="105"/>
      <c r="I604" s="105"/>
      <c r="J604" s="215"/>
      <c r="K604" s="215"/>
      <c r="L604" s="215"/>
      <c r="M604" s="215"/>
      <c r="N604" s="215"/>
      <c r="O604" s="215"/>
      <c r="P604" s="215"/>
      <c r="Q604" s="215"/>
      <c r="R604" s="215"/>
      <c r="S604" s="215"/>
      <c r="T604" s="215"/>
      <c r="U604" s="215"/>
      <c r="V604" s="215"/>
      <c r="W604" s="215"/>
      <c r="X604" s="215"/>
      <c r="Y604" s="215"/>
      <c r="Z604" s="215"/>
      <c r="AA604" s="215"/>
      <c r="AB604" s="215"/>
      <c r="AC604" s="215"/>
      <c r="AD604" s="215"/>
      <c r="AE604" s="215"/>
      <c r="AF604" s="215"/>
      <c r="AG604" s="215"/>
      <c r="AH604" s="215"/>
      <c r="AI604" s="215"/>
      <c r="AJ604" s="215"/>
      <c r="AK604" s="215"/>
      <c r="AL604" s="215"/>
      <c r="AM604" s="215"/>
      <c r="AN604" s="215"/>
      <c r="AO604" s="215"/>
    </row>
    <row r="605" spans="1:41" s="5" customFormat="1" ht="31.5" customHeight="1">
      <c r="A605" s="131" t="s">
        <v>611</v>
      </c>
      <c r="B605" s="114" t="s">
        <v>328</v>
      </c>
      <c r="C605" s="116"/>
      <c r="D605" s="116"/>
      <c r="E605" s="121"/>
      <c r="F605" s="113"/>
      <c r="G605" s="182">
        <f>G606+G628+G622</f>
        <v>146.60000000000002</v>
      </c>
      <c r="H605" s="102"/>
      <c r="I605" s="102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</row>
    <row r="606" spans="1:41" s="5" customFormat="1" ht="15.75" customHeight="1">
      <c r="A606" s="131" t="s">
        <v>8</v>
      </c>
      <c r="B606" s="114" t="s">
        <v>328</v>
      </c>
      <c r="C606" s="116" t="s">
        <v>69</v>
      </c>
      <c r="D606" s="116" t="s">
        <v>36</v>
      </c>
      <c r="E606" s="117"/>
      <c r="F606" s="117"/>
      <c r="G606" s="182">
        <f>G607+G612+G617</f>
        <v>86.4</v>
      </c>
      <c r="H606" s="102"/>
      <c r="I606" s="102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</row>
    <row r="607" spans="1:41" s="5" customFormat="1" ht="14.25" customHeight="1">
      <c r="A607" s="132" t="s">
        <v>9</v>
      </c>
      <c r="B607" s="118" t="s">
        <v>328</v>
      </c>
      <c r="C607" s="119" t="s">
        <v>69</v>
      </c>
      <c r="D607" s="119" t="s">
        <v>66</v>
      </c>
      <c r="E607" s="117"/>
      <c r="F607" s="117"/>
      <c r="G607" s="183">
        <f>G608</f>
        <v>19.2</v>
      </c>
      <c r="H607" s="102"/>
      <c r="I607" s="102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</row>
    <row r="608" spans="1:41" s="5" customFormat="1" ht="21.75" customHeight="1">
      <c r="A608" s="134" t="s">
        <v>105</v>
      </c>
      <c r="B608" s="118" t="s">
        <v>328</v>
      </c>
      <c r="C608" s="119" t="s">
        <v>69</v>
      </c>
      <c r="D608" s="119" t="s">
        <v>66</v>
      </c>
      <c r="E608" s="120" t="s">
        <v>106</v>
      </c>
      <c r="F608" s="117"/>
      <c r="G608" s="183">
        <f>G609</f>
        <v>19.2</v>
      </c>
      <c r="H608" s="102"/>
      <c r="I608" s="102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</row>
    <row r="609" spans="1:41" s="5" customFormat="1" ht="13.5" customHeight="1">
      <c r="A609" s="134" t="s">
        <v>111</v>
      </c>
      <c r="B609" s="118" t="s">
        <v>328</v>
      </c>
      <c r="C609" s="119" t="s">
        <v>69</v>
      </c>
      <c r="D609" s="119" t="s">
        <v>66</v>
      </c>
      <c r="E609" s="120" t="s">
        <v>112</v>
      </c>
      <c r="F609" s="117"/>
      <c r="G609" s="183">
        <f>G610</f>
        <v>19.2</v>
      </c>
      <c r="H609" s="102"/>
      <c r="I609" s="102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</row>
    <row r="610" spans="1:41" s="5" customFormat="1" ht="13.5" customHeight="1">
      <c r="A610" s="134" t="s">
        <v>115</v>
      </c>
      <c r="B610" s="118" t="s">
        <v>328</v>
      </c>
      <c r="C610" s="119" t="s">
        <v>69</v>
      </c>
      <c r="D610" s="119" t="s">
        <v>66</v>
      </c>
      <c r="E610" s="120" t="s">
        <v>116</v>
      </c>
      <c r="F610" s="117"/>
      <c r="G610" s="183">
        <f>G611</f>
        <v>19.2</v>
      </c>
      <c r="H610" s="102"/>
      <c r="I610" s="102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</row>
    <row r="611" spans="1:41" s="5" customFormat="1" ht="15.75" customHeight="1">
      <c r="A611" s="132" t="s">
        <v>156</v>
      </c>
      <c r="B611" s="118" t="s">
        <v>328</v>
      </c>
      <c r="C611" s="119" t="s">
        <v>69</v>
      </c>
      <c r="D611" s="119" t="s">
        <v>66</v>
      </c>
      <c r="E611" s="120" t="s">
        <v>116</v>
      </c>
      <c r="F611" s="117">
        <v>725</v>
      </c>
      <c r="G611" s="183">
        <f>22.8-3.6</f>
        <v>19.2</v>
      </c>
      <c r="H611" s="102"/>
      <c r="I611" s="102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</row>
    <row r="612" spans="1:41" s="5" customFormat="1" ht="11.25" customHeight="1">
      <c r="A612" s="132" t="s">
        <v>651</v>
      </c>
      <c r="B612" s="118" t="s">
        <v>328</v>
      </c>
      <c r="C612" s="119" t="s">
        <v>69</v>
      </c>
      <c r="D612" s="119" t="s">
        <v>67</v>
      </c>
      <c r="E612" s="117"/>
      <c r="F612" s="117"/>
      <c r="G612" s="183">
        <f>G613</f>
        <v>52.800000000000004</v>
      </c>
      <c r="H612" s="102"/>
      <c r="I612" s="102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</row>
    <row r="613" spans="1:41" s="5" customFormat="1" ht="24" customHeight="1">
      <c r="A613" s="134" t="s">
        <v>105</v>
      </c>
      <c r="B613" s="118" t="s">
        <v>328</v>
      </c>
      <c r="C613" s="119" t="s">
        <v>69</v>
      </c>
      <c r="D613" s="119" t="s">
        <v>67</v>
      </c>
      <c r="E613" s="120" t="s">
        <v>106</v>
      </c>
      <c r="F613" s="117"/>
      <c r="G613" s="183">
        <f>G614</f>
        <v>52.800000000000004</v>
      </c>
      <c r="H613" s="102"/>
      <c r="I613" s="102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</row>
    <row r="614" spans="1:41" s="5" customFormat="1" ht="12.75" customHeight="1">
      <c r="A614" s="134" t="s">
        <v>111</v>
      </c>
      <c r="B614" s="118" t="s">
        <v>328</v>
      </c>
      <c r="C614" s="119" t="s">
        <v>69</v>
      </c>
      <c r="D614" s="119" t="s">
        <v>67</v>
      </c>
      <c r="E614" s="120" t="s">
        <v>112</v>
      </c>
      <c r="F614" s="117"/>
      <c r="G614" s="183">
        <f>G615</f>
        <v>52.800000000000004</v>
      </c>
      <c r="H614" s="102"/>
      <c r="I614" s="102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</row>
    <row r="615" spans="1:41" s="5" customFormat="1" ht="13.5" customHeight="1">
      <c r="A615" s="134" t="s">
        <v>115</v>
      </c>
      <c r="B615" s="118" t="s">
        <v>328</v>
      </c>
      <c r="C615" s="119" t="s">
        <v>69</v>
      </c>
      <c r="D615" s="119" t="s">
        <v>67</v>
      </c>
      <c r="E615" s="120" t="s">
        <v>116</v>
      </c>
      <c r="F615" s="117"/>
      <c r="G615" s="183">
        <f>G616</f>
        <v>52.800000000000004</v>
      </c>
      <c r="H615" s="102"/>
      <c r="I615" s="102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</row>
    <row r="616" spans="1:41" s="5" customFormat="1" ht="15.75" customHeight="1">
      <c r="A616" s="132" t="s">
        <v>156</v>
      </c>
      <c r="B616" s="118" t="s">
        <v>328</v>
      </c>
      <c r="C616" s="119" t="s">
        <v>69</v>
      </c>
      <c r="D616" s="119" t="s">
        <v>67</v>
      </c>
      <c r="E616" s="120" t="s">
        <v>116</v>
      </c>
      <c r="F616" s="117">
        <v>725</v>
      </c>
      <c r="G616" s="183">
        <f>49.2+3.6</f>
        <v>52.800000000000004</v>
      </c>
      <c r="H616" s="102"/>
      <c r="I616" s="102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</row>
    <row r="617" spans="1:41" s="74" customFormat="1" ht="15.75" customHeight="1">
      <c r="A617" s="132" t="s">
        <v>530</v>
      </c>
      <c r="B617" s="118" t="s">
        <v>328</v>
      </c>
      <c r="C617" s="119" t="s">
        <v>69</v>
      </c>
      <c r="D617" s="119" t="s">
        <v>70</v>
      </c>
      <c r="E617" s="120"/>
      <c r="F617" s="117"/>
      <c r="G617" s="183">
        <f>G618</f>
        <v>14.4</v>
      </c>
      <c r="H617" s="105"/>
      <c r="I617" s="105"/>
      <c r="J617" s="215"/>
      <c r="K617" s="215"/>
      <c r="L617" s="215"/>
      <c r="M617" s="215"/>
      <c r="N617" s="215"/>
      <c r="O617" s="215"/>
      <c r="P617" s="215"/>
      <c r="Q617" s="215"/>
      <c r="R617" s="215"/>
      <c r="S617" s="215"/>
      <c r="T617" s="215"/>
      <c r="U617" s="215"/>
      <c r="V617" s="215"/>
      <c r="W617" s="215"/>
      <c r="X617" s="215"/>
      <c r="Y617" s="215"/>
      <c r="Z617" s="215"/>
      <c r="AA617" s="215"/>
      <c r="AB617" s="215"/>
      <c r="AC617" s="215"/>
      <c r="AD617" s="215"/>
      <c r="AE617" s="215"/>
      <c r="AF617" s="215"/>
      <c r="AG617" s="215"/>
      <c r="AH617" s="215"/>
      <c r="AI617" s="215"/>
      <c r="AJ617" s="215"/>
      <c r="AK617" s="215"/>
      <c r="AL617" s="215"/>
      <c r="AM617" s="215"/>
      <c r="AN617" s="215"/>
      <c r="AO617" s="215"/>
    </row>
    <row r="618" spans="1:41" s="74" customFormat="1" ht="27.75" customHeight="1">
      <c r="A618" s="134" t="s">
        <v>105</v>
      </c>
      <c r="B618" s="118" t="s">
        <v>328</v>
      </c>
      <c r="C618" s="119" t="s">
        <v>69</v>
      </c>
      <c r="D618" s="119" t="s">
        <v>70</v>
      </c>
      <c r="E618" s="120" t="s">
        <v>106</v>
      </c>
      <c r="F618" s="117"/>
      <c r="G618" s="183">
        <f>G619</f>
        <v>14.4</v>
      </c>
      <c r="H618" s="105"/>
      <c r="I618" s="105"/>
      <c r="J618" s="215"/>
      <c r="K618" s="215"/>
      <c r="L618" s="215"/>
      <c r="M618" s="215"/>
      <c r="N618" s="215"/>
      <c r="O618" s="215"/>
      <c r="P618" s="215"/>
      <c r="Q618" s="215"/>
      <c r="R618" s="215"/>
      <c r="S618" s="215"/>
      <c r="T618" s="215"/>
      <c r="U618" s="215"/>
      <c r="V618" s="215"/>
      <c r="W618" s="215"/>
      <c r="X618" s="215"/>
      <c r="Y618" s="215"/>
      <c r="Z618" s="215"/>
      <c r="AA618" s="215"/>
      <c r="AB618" s="215"/>
      <c r="AC618" s="215"/>
      <c r="AD618" s="215"/>
      <c r="AE618" s="215"/>
      <c r="AF618" s="215"/>
      <c r="AG618" s="215"/>
      <c r="AH618" s="215"/>
      <c r="AI618" s="215"/>
      <c r="AJ618" s="215"/>
      <c r="AK618" s="215"/>
      <c r="AL618" s="215"/>
      <c r="AM618" s="215"/>
      <c r="AN618" s="215"/>
      <c r="AO618" s="215"/>
    </row>
    <row r="619" spans="1:41" s="74" customFormat="1" ht="14.25" customHeight="1">
      <c r="A619" s="134" t="s">
        <v>111</v>
      </c>
      <c r="B619" s="118" t="s">
        <v>328</v>
      </c>
      <c r="C619" s="119" t="s">
        <v>69</v>
      </c>
      <c r="D619" s="119" t="s">
        <v>70</v>
      </c>
      <c r="E619" s="120" t="s">
        <v>112</v>
      </c>
      <c r="F619" s="117"/>
      <c r="G619" s="183">
        <f>G620</f>
        <v>14.4</v>
      </c>
      <c r="H619" s="105"/>
      <c r="I619" s="105"/>
      <c r="J619" s="215"/>
      <c r="K619" s="215"/>
      <c r="L619" s="215"/>
      <c r="M619" s="215"/>
      <c r="N619" s="215"/>
      <c r="O619" s="215"/>
      <c r="P619" s="215"/>
      <c r="Q619" s="215"/>
      <c r="R619" s="215"/>
      <c r="S619" s="215"/>
      <c r="T619" s="215"/>
      <c r="U619" s="215"/>
      <c r="V619" s="215"/>
      <c r="W619" s="215"/>
      <c r="X619" s="215"/>
      <c r="Y619" s="215"/>
      <c r="Z619" s="215"/>
      <c r="AA619" s="215"/>
      <c r="AB619" s="215"/>
      <c r="AC619" s="215"/>
      <c r="AD619" s="215"/>
      <c r="AE619" s="215"/>
      <c r="AF619" s="215"/>
      <c r="AG619" s="215"/>
      <c r="AH619" s="215"/>
      <c r="AI619" s="215"/>
      <c r="AJ619" s="215"/>
      <c r="AK619" s="215"/>
      <c r="AL619" s="215"/>
      <c r="AM619" s="215"/>
      <c r="AN619" s="215"/>
      <c r="AO619" s="215"/>
    </row>
    <row r="620" spans="1:41" s="74" customFormat="1" ht="14.25" customHeight="1">
      <c r="A620" s="134" t="s">
        <v>115</v>
      </c>
      <c r="B620" s="118" t="s">
        <v>328</v>
      </c>
      <c r="C620" s="119" t="s">
        <v>69</v>
      </c>
      <c r="D620" s="119" t="s">
        <v>70</v>
      </c>
      <c r="E620" s="120" t="s">
        <v>116</v>
      </c>
      <c r="F620" s="117"/>
      <c r="G620" s="183">
        <f>G621</f>
        <v>14.4</v>
      </c>
      <c r="H620" s="105"/>
      <c r="I620" s="105"/>
      <c r="J620" s="215"/>
      <c r="K620" s="215"/>
      <c r="L620" s="215"/>
      <c r="M620" s="215"/>
      <c r="N620" s="215"/>
      <c r="O620" s="215"/>
      <c r="P620" s="215"/>
      <c r="Q620" s="215"/>
      <c r="R620" s="215"/>
      <c r="S620" s="215"/>
      <c r="T620" s="215"/>
      <c r="U620" s="215"/>
      <c r="V620" s="215"/>
      <c r="W620" s="215"/>
      <c r="X620" s="215"/>
      <c r="Y620" s="215"/>
      <c r="Z620" s="215"/>
      <c r="AA620" s="215"/>
      <c r="AB620" s="215"/>
      <c r="AC620" s="215"/>
      <c r="AD620" s="215"/>
      <c r="AE620" s="215"/>
      <c r="AF620" s="215"/>
      <c r="AG620" s="215"/>
      <c r="AH620" s="215"/>
      <c r="AI620" s="215"/>
      <c r="AJ620" s="215"/>
      <c r="AK620" s="215"/>
      <c r="AL620" s="215"/>
      <c r="AM620" s="215"/>
      <c r="AN620" s="215"/>
      <c r="AO620" s="215"/>
    </row>
    <row r="621" spans="1:41" s="74" customFormat="1" ht="12.75" customHeight="1">
      <c r="A621" s="132" t="s">
        <v>156</v>
      </c>
      <c r="B621" s="118" t="s">
        <v>328</v>
      </c>
      <c r="C621" s="119" t="s">
        <v>69</v>
      </c>
      <c r="D621" s="119" t="s">
        <v>70</v>
      </c>
      <c r="E621" s="120" t="s">
        <v>116</v>
      </c>
      <c r="F621" s="117">
        <v>725</v>
      </c>
      <c r="G621" s="183">
        <v>14.4</v>
      </c>
      <c r="H621" s="105"/>
      <c r="I621" s="105"/>
      <c r="J621" s="215"/>
      <c r="K621" s="215"/>
      <c r="L621" s="215"/>
      <c r="M621" s="215"/>
      <c r="N621" s="215"/>
      <c r="O621" s="215"/>
      <c r="P621" s="215"/>
      <c r="Q621" s="215"/>
      <c r="R621" s="215"/>
      <c r="S621" s="215"/>
      <c r="T621" s="215"/>
      <c r="U621" s="215"/>
      <c r="V621" s="215"/>
      <c r="W621" s="215"/>
      <c r="X621" s="215"/>
      <c r="Y621" s="215"/>
      <c r="Z621" s="215"/>
      <c r="AA621" s="215"/>
      <c r="AB621" s="215"/>
      <c r="AC621" s="215"/>
      <c r="AD621" s="215"/>
      <c r="AE621" s="215"/>
      <c r="AF621" s="215"/>
      <c r="AG621" s="215"/>
      <c r="AH621" s="215"/>
      <c r="AI621" s="215"/>
      <c r="AJ621" s="215"/>
      <c r="AK621" s="215"/>
      <c r="AL621" s="215"/>
      <c r="AM621" s="215"/>
      <c r="AN621" s="215"/>
      <c r="AO621" s="215"/>
    </row>
    <row r="622" spans="1:41" s="68" customFormat="1" ht="12" customHeight="1">
      <c r="A622" s="131" t="s">
        <v>649</v>
      </c>
      <c r="B622" s="114" t="s">
        <v>328</v>
      </c>
      <c r="C622" s="116" t="s">
        <v>73</v>
      </c>
      <c r="D622" s="116" t="s">
        <v>36</v>
      </c>
      <c r="E622" s="113"/>
      <c r="F622" s="113"/>
      <c r="G622" s="182">
        <f>G623</f>
        <v>20</v>
      </c>
      <c r="H622" s="106"/>
      <c r="I622" s="106"/>
      <c r="J622" s="100"/>
      <c r="K622" s="100"/>
      <c r="L622" s="100"/>
      <c r="M622" s="100"/>
      <c r="N622" s="100"/>
      <c r="O622" s="100"/>
      <c r="P622" s="100"/>
      <c r="Q622" s="100"/>
      <c r="R622" s="100"/>
      <c r="S622" s="100"/>
      <c r="T622" s="100"/>
      <c r="U622" s="100"/>
      <c r="V622" s="100"/>
      <c r="W622" s="100"/>
      <c r="X622" s="100"/>
      <c r="Y622" s="100"/>
      <c r="Z622" s="100"/>
      <c r="AA622" s="100"/>
      <c r="AB622" s="100"/>
      <c r="AC622" s="100"/>
      <c r="AD622" s="100"/>
      <c r="AE622" s="100"/>
      <c r="AF622" s="100"/>
      <c r="AG622" s="100"/>
      <c r="AH622" s="100"/>
      <c r="AI622" s="100"/>
      <c r="AJ622" s="100"/>
      <c r="AK622" s="100"/>
      <c r="AL622" s="100"/>
      <c r="AM622" s="100"/>
      <c r="AN622" s="100"/>
      <c r="AO622" s="100"/>
    </row>
    <row r="623" spans="1:41" s="5" customFormat="1" ht="12" customHeight="1">
      <c r="A623" s="132" t="s">
        <v>12</v>
      </c>
      <c r="B623" s="118" t="s">
        <v>328</v>
      </c>
      <c r="C623" s="119" t="s">
        <v>73</v>
      </c>
      <c r="D623" s="119" t="s">
        <v>66</v>
      </c>
      <c r="E623" s="117"/>
      <c r="F623" s="117"/>
      <c r="G623" s="183">
        <f>G624</f>
        <v>20</v>
      </c>
      <c r="H623" s="102"/>
      <c r="I623" s="102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</row>
    <row r="624" spans="1:41" s="5" customFormat="1" ht="22.5" customHeight="1">
      <c r="A624" s="134" t="s">
        <v>105</v>
      </c>
      <c r="B624" s="118" t="s">
        <v>328</v>
      </c>
      <c r="C624" s="119" t="s">
        <v>73</v>
      </c>
      <c r="D624" s="119" t="s">
        <v>66</v>
      </c>
      <c r="E624" s="120" t="s">
        <v>106</v>
      </c>
      <c r="F624" s="117"/>
      <c r="G624" s="183">
        <f>G625</f>
        <v>20</v>
      </c>
      <c r="H624" s="102"/>
      <c r="I624" s="102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</row>
    <row r="625" spans="1:41" s="5" customFormat="1" ht="12" customHeight="1">
      <c r="A625" s="134" t="s">
        <v>111</v>
      </c>
      <c r="B625" s="118" t="s">
        <v>328</v>
      </c>
      <c r="C625" s="119" t="s">
        <v>73</v>
      </c>
      <c r="D625" s="119" t="s">
        <v>66</v>
      </c>
      <c r="E625" s="120" t="s">
        <v>112</v>
      </c>
      <c r="F625" s="117"/>
      <c r="G625" s="183">
        <f>G626</f>
        <v>20</v>
      </c>
      <c r="H625" s="102"/>
      <c r="I625" s="102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</row>
    <row r="626" spans="1:41" s="5" customFormat="1" ht="12" customHeight="1">
      <c r="A626" s="134" t="s">
        <v>115</v>
      </c>
      <c r="B626" s="118" t="s">
        <v>328</v>
      </c>
      <c r="C626" s="119" t="s">
        <v>73</v>
      </c>
      <c r="D626" s="119" t="s">
        <v>66</v>
      </c>
      <c r="E626" s="120" t="s">
        <v>116</v>
      </c>
      <c r="F626" s="117"/>
      <c r="G626" s="183">
        <f>G627</f>
        <v>20</v>
      </c>
      <c r="H626" s="102"/>
      <c r="I626" s="102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  <c r="AO626" s="24"/>
    </row>
    <row r="627" spans="1:41" s="5" customFormat="1" ht="22.5">
      <c r="A627" s="132" t="s">
        <v>157</v>
      </c>
      <c r="B627" s="118" t="s">
        <v>328</v>
      </c>
      <c r="C627" s="119" t="s">
        <v>73</v>
      </c>
      <c r="D627" s="119" t="s">
        <v>66</v>
      </c>
      <c r="E627" s="120" t="s">
        <v>116</v>
      </c>
      <c r="F627" s="117">
        <v>726</v>
      </c>
      <c r="G627" s="183">
        <v>20</v>
      </c>
      <c r="H627" s="102"/>
      <c r="I627" s="102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  <c r="AO627" s="24"/>
    </row>
    <row r="628" spans="1:41" s="5" customFormat="1" ht="12.75" customHeight="1">
      <c r="A628" s="131" t="s">
        <v>83</v>
      </c>
      <c r="B628" s="114" t="s">
        <v>328</v>
      </c>
      <c r="C628" s="116" t="s">
        <v>74</v>
      </c>
      <c r="D628" s="116" t="s">
        <v>36</v>
      </c>
      <c r="E628" s="113"/>
      <c r="F628" s="113"/>
      <c r="G628" s="182">
        <f>G629</f>
        <v>40.2</v>
      </c>
      <c r="H628" s="102"/>
      <c r="I628" s="102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</row>
    <row r="629" spans="1:41" s="5" customFormat="1" ht="13.5" customHeight="1">
      <c r="A629" s="132" t="s">
        <v>84</v>
      </c>
      <c r="B629" s="118" t="s">
        <v>328</v>
      </c>
      <c r="C629" s="119" t="s">
        <v>74</v>
      </c>
      <c r="D629" s="119" t="s">
        <v>66</v>
      </c>
      <c r="E629" s="117"/>
      <c r="F629" s="117"/>
      <c r="G629" s="183">
        <f>G630</f>
        <v>40.2</v>
      </c>
      <c r="H629" s="102"/>
      <c r="I629" s="102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</row>
    <row r="630" spans="1:41" s="5" customFormat="1" ht="23.25" customHeight="1">
      <c r="A630" s="134" t="s">
        <v>105</v>
      </c>
      <c r="B630" s="118" t="s">
        <v>328</v>
      </c>
      <c r="C630" s="119" t="s">
        <v>74</v>
      </c>
      <c r="D630" s="119" t="s">
        <v>66</v>
      </c>
      <c r="E630" s="120" t="s">
        <v>106</v>
      </c>
      <c r="F630" s="117"/>
      <c r="G630" s="183">
        <f>G631</f>
        <v>40.2</v>
      </c>
      <c r="H630" s="102"/>
      <c r="I630" s="102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</row>
    <row r="631" spans="1:41" s="5" customFormat="1" ht="11.25" customHeight="1">
      <c r="A631" s="134" t="s">
        <v>111</v>
      </c>
      <c r="B631" s="118" t="s">
        <v>328</v>
      </c>
      <c r="C631" s="119" t="s">
        <v>74</v>
      </c>
      <c r="D631" s="119" t="s">
        <v>66</v>
      </c>
      <c r="E631" s="120" t="s">
        <v>112</v>
      </c>
      <c r="F631" s="117"/>
      <c r="G631" s="183">
        <f>G632</f>
        <v>40.2</v>
      </c>
      <c r="H631" s="102"/>
      <c r="I631" s="102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</row>
    <row r="632" spans="1:41" s="5" customFormat="1" ht="12.75" customHeight="1">
      <c r="A632" s="134" t="s">
        <v>115</v>
      </c>
      <c r="B632" s="118" t="s">
        <v>328</v>
      </c>
      <c r="C632" s="119" t="s">
        <v>74</v>
      </c>
      <c r="D632" s="119" t="s">
        <v>66</v>
      </c>
      <c r="E632" s="120" t="s">
        <v>116</v>
      </c>
      <c r="F632" s="117"/>
      <c r="G632" s="183">
        <f>G633</f>
        <v>40.2</v>
      </c>
      <c r="H632" s="102"/>
      <c r="I632" s="102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</row>
    <row r="633" spans="1:41" s="5" customFormat="1" ht="25.5" customHeight="1">
      <c r="A633" s="132" t="s">
        <v>157</v>
      </c>
      <c r="B633" s="118" t="s">
        <v>328</v>
      </c>
      <c r="C633" s="119" t="s">
        <v>74</v>
      </c>
      <c r="D633" s="119" t="s">
        <v>66</v>
      </c>
      <c r="E633" s="120" t="s">
        <v>116</v>
      </c>
      <c r="F633" s="117">
        <v>726</v>
      </c>
      <c r="G633" s="183">
        <f>44.2-4</f>
        <v>40.2</v>
      </c>
      <c r="H633" s="102"/>
      <c r="I633" s="102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  <c r="AN633" s="24"/>
      <c r="AO633" s="24"/>
    </row>
    <row r="634" spans="1:41" s="68" customFormat="1" ht="12.75">
      <c r="A634" s="131" t="s">
        <v>514</v>
      </c>
      <c r="B634" s="114" t="s">
        <v>515</v>
      </c>
      <c r="C634" s="116"/>
      <c r="D634" s="116"/>
      <c r="E634" s="121"/>
      <c r="F634" s="113"/>
      <c r="G634" s="182">
        <f>G635</f>
        <v>106.69999999999999</v>
      </c>
      <c r="H634" s="106"/>
      <c r="I634" s="106"/>
      <c r="J634" s="100"/>
      <c r="K634" s="100"/>
      <c r="L634" s="100"/>
      <c r="M634" s="100"/>
      <c r="N634" s="100"/>
      <c r="O634" s="100"/>
      <c r="P634" s="100"/>
      <c r="Q634" s="100"/>
      <c r="R634" s="100"/>
      <c r="S634" s="100"/>
      <c r="T634" s="100"/>
      <c r="U634" s="100"/>
      <c r="V634" s="100"/>
      <c r="W634" s="100"/>
      <c r="X634" s="100"/>
      <c r="Y634" s="100"/>
      <c r="Z634" s="100"/>
      <c r="AA634" s="100"/>
      <c r="AB634" s="100"/>
      <c r="AC634" s="100"/>
      <c r="AD634" s="100"/>
      <c r="AE634" s="100"/>
      <c r="AF634" s="100"/>
      <c r="AG634" s="100"/>
      <c r="AH634" s="100"/>
      <c r="AI634" s="100"/>
      <c r="AJ634" s="100"/>
      <c r="AK634" s="100"/>
      <c r="AL634" s="100"/>
      <c r="AM634" s="100"/>
      <c r="AN634" s="100"/>
      <c r="AO634" s="100"/>
    </row>
    <row r="635" spans="1:41" s="5" customFormat="1" ht="12.75" customHeight="1">
      <c r="A635" s="131" t="s">
        <v>8</v>
      </c>
      <c r="B635" s="114" t="s">
        <v>515</v>
      </c>
      <c r="C635" s="119" t="s">
        <v>69</v>
      </c>
      <c r="D635" s="119" t="s">
        <v>36</v>
      </c>
      <c r="E635" s="120"/>
      <c r="F635" s="117"/>
      <c r="G635" s="183">
        <f>G636+G641+G646</f>
        <v>106.69999999999999</v>
      </c>
      <c r="H635" s="102"/>
      <c r="I635" s="102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AO635" s="24"/>
    </row>
    <row r="636" spans="1:41" s="5" customFormat="1" ht="10.5" customHeight="1">
      <c r="A636" s="132" t="s">
        <v>9</v>
      </c>
      <c r="B636" s="118" t="s">
        <v>515</v>
      </c>
      <c r="C636" s="119" t="s">
        <v>69</v>
      </c>
      <c r="D636" s="119" t="s">
        <v>66</v>
      </c>
      <c r="E636" s="120"/>
      <c r="F636" s="117"/>
      <c r="G636" s="183">
        <f>G637</f>
        <v>26.8</v>
      </c>
      <c r="H636" s="102"/>
      <c r="I636" s="102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  <c r="AO636" s="24"/>
    </row>
    <row r="637" spans="1:41" s="5" customFormat="1" ht="22.5" customHeight="1">
      <c r="A637" s="134" t="s">
        <v>105</v>
      </c>
      <c r="B637" s="118" t="s">
        <v>515</v>
      </c>
      <c r="C637" s="119" t="s">
        <v>69</v>
      </c>
      <c r="D637" s="119" t="s">
        <v>66</v>
      </c>
      <c r="E637" s="120" t="s">
        <v>106</v>
      </c>
      <c r="F637" s="117"/>
      <c r="G637" s="183">
        <f>G638</f>
        <v>26.8</v>
      </c>
      <c r="H637" s="102"/>
      <c r="I637" s="102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AO637" s="24"/>
    </row>
    <row r="638" spans="1:41" s="5" customFormat="1" ht="12.75">
      <c r="A638" s="134" t="s">
        <v>111</v>
      </c>
      <c r="B638" s="118" t="s">
        <v>515</v>
      </c>
      <c r="C638" s="119" t="s">
        <v>69</v>
      </c>
      <c r="D638" s="119" t="s">
        <v>66</v>
      </c>
      <c r="E638" s="120" t="s">
        <v>112</v>
      </c>
      <c r="F638" s="117"/>
      <c r="G638" s="183">
        <f>G639</f>
        <v>26.8</v>
      </c>
      <c r="H638" s="102"/>
      <c r="I638" s="102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  <c r="AO638" s="24"/>
    </row>
    <row r="639" spans="1:41" s="5" customFormat="1" ht="12.75">
      <c r="A639" s="134" t="s">
        <v>115</v>
      </c>
      <c r="B639" s="118" t="s">
        <v>515</v>
      </c>
      <c r="C639" s="119" t="s">
        <v>69</v>
      </c>
      <c r="D639" s="119" t="s">
        <v>66</v>
      </c>
      <c r="E639" s="120" t="s">
        <v>116</v>
      </c>
      <c r="F639" s="117"/>
      <c r="G639" s="183">
        <f>G640</f>
        <v>26.8</v>
      </c>
      <c r="H639" s="102"/>
      <c r="I639" s="102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AO639" s="24"/>
    </row>
    <row r="640" spans="1:41" s="5" customFormat="1" ht="12" customHeight="1">
      <c r="A640" s="132" t="s">
        <v>156</v>
      </c>
      <c r="B640" s="118" t="s">
        <v>515</v>
      </c>
      <c r="C640" s="119" t="s">
        <v>69</v>
      </c>
      <c r="D640" s="119" t="s">
        <v>66</v>
      </c>
      <c r="E640" s="120" t="s">
        <v>116</v>
      </c>
      <c r="F640" s="117">
        <v>725</v>
      </c>
      <c r="G640" s="183">
        <f>45-15-3.2</f>
        <v>26.8</v>
      </c>
      <c r="H640" s="102"/>
      <c r="I640" s="102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</row>
    <row r="641" spans="1:41" s="5" customFormat="1" ht="12.75">
      <c r="A641" s="132" t="s">
        <v>651</v>
      </c>
      <c r="B641" s="118" t="s">
        <v>515</v>
      </c>
      <c r="C641" s="119" t="s">
        <v>69</v>
      </c>
      <c r="D641" s="119" t="s">
        <v>67</v>
      </c>
      <c r="E641" s="120"/>
      <c r="F641" s="117"/>
      <c r="G641" s="183">
        <f>G642</f>
        <v>55.8</v>
      </c>
      <c r="H641" s="102"/>
      <c r="I641" s="102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  <c r="AO641" s="24"/>
    </row>
    <row r="642" spans="1:41" s="5" customFormat="1" ht="22.5">
      <c r="A642" s="134" t="s">
        <v>105</v>
      </c>
      <c r="B642" s="118" t="s">
        <v>515</v>
      </c>
      <c r="C642" s="119" t="s">
        <v>69</v>
      </c>
      <c r="D642" s="119" t="s">
        <v>67</v>
      </c>
      <c r="E642" s="120" t="s">
        <v>106</v>
      </c>
      <c r="F642" s="117"/>
      <c r="G642" s="183">
        <f>G643</f>
        <v>55.8</v>
      </c>
      <c r="H642" s="102"/>
      <c r="I642" s="102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AO642" s="24"/>
    </row>
    <row r="643" spans="1:41" s="5" customFormat="1" ht="12.75">
      <c r="A643" s="134" t="s">
        <v>111</v>
      </c>
      <c r="B643" s="118" t="s">
        <v>515</v>
      </c>
      <c r="C643" s="119" t="s">
        <v>69</v>
      </c>
      <c r="D643" s="119" t="s">
        <v>67</v>
      </c>
      <c r="E643" s="120" t="s">
        <v>112</v>
      </c>
      <c r="F643" s="117"/>
      <c r="G643" s="183">
        <f>G644</f>
        <v>55.8</v>
      </c>
      <c r="H643" s="102"/>
      <c r="I643" s="102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</row>
    <row r="644" spans="1:41" s="5" customFormat="1" ht="12.75">
      <c r="A644" s="134" t="s">
        <v>115</v>
      </c>
      <c r="B644" s="118" t="s">
        <v>515</v>
      </c>
      <c r="C644" s="119" t="s">
        <v>69</v>
      </c>
      <c r="D644" s="119" t="s">
        <v>67</v>
      </c>
      <c r="E644" s="120" t="s">
        <v>116</v>
      </c>
      <c r="F644" s="117"/>
      <c r="G644" s="183">
        <f>G645</f>
        <v>55.8</v>
      </c>
      <c r="H644" s="102"/>
      <c r="I644" s="102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AO644" s="24"/>
    </row>
    <row r="645" spans="1:41" s="5" customFormat="1" ht="13.5" customHeight="1">
      <c r="A645" s="132" t="s">
        <v>156</v>
      </c>
      <c r="B645" s="118" t="s">
        <v>515</v>
      </c>
      <c r="C645" s="119" t="s">
        <v>69</v>
      </c>
      <c r="D645" s="119" t="s">
        <v>67</v>
      </c>
      <c r="E645" s="120" t="s">
        <v>116</v>
      </c>
      <c r="F645" s="117">
        <v>725</v>
      </c>
      <c r="G645" s="183">
        <f>105-30+15-34.2</f>
        <v>55.8</v>
      </c>
      <c r="H645" s="102"/>
      <c r="I645" s="102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AI645" s="24"/>
      <c r="AJ645" s="24"/>
      <c r="AK645" s="24"/>
      <c r="AL645" s="24"/>
      <c r="AM645" s="24"/>
      <c r="AN645" s="24"/>
      <c r="AO645" s="24"/>
    </row>
    <row r="646" spans="1:41" s="74" customFormat="1" ht="11.25" customHeight="1">
      <c r="A646" s="132" t="s">
        <v>530</v>
      </c>
      <c r="B646" s="118" t="s">
        <v>515</v>
      </c>
      <c r="C646" s="119" t="s">
        <v>69</v>
      </c>
      <c r="D646" s="119" t="s">
        <v>70</v>
      </c>
      <c r="E646" s="120"/>
      <c r="F646" s="117"/>
      <c r="G646" s="183">
        <f>G647</f>
        <v>24.1</v>
      </c>
      <c r="H646" s="105"/>
      <c r="I646" s="105"/>
      <c r="J646" s="215"/>
      <c r="K646" s="215"/>
      <c r="L646" s="215"/>
      <c r="M646" s="215"/>
      <c r="N646" s="215"/>
      <c r="O646" s="215"/>
      <c r="P646" s="215"/>
      <c r="Q646" s="215"/>
      <c r="R646" s="215"/>
      <c r="S646" s="215"/>
      <c r="T646" s="215"/>
      <c r="U646" s="215"/>
      <c r="V646" s="215"/>
      <c r="W646" s="215"/>
      <c r="X646" s="215"/>
      <c r="Y646" s="215"/>
      <c r="Z646" s="215"/>
      <c r="AA646" s="215"/>
      <c r="AB646" s="215"/>
      <c r="AC646" s="215"/>
      <c r="AD646" s="215"/>
      <c r="AE646" s="215"/>
      <c r="AF646" s="215"/>
      <c r="AG646" s="215"/>
      <c r="AH646" s="215"/>
      <c r="AI646" s="215"/>
      <c r="AJ646" s="215"/>
      <c r="AK646" s="215"/>
      <c r="AL646" s="215"/>
      <c r="AM646" s="215"/>
      <c r="AN646" s="215"/>
      <c r="AO646" s="215"/>
    </row>
    <row r="647" spans="1:41" s="74" customFormat="1" ht="22.5" customHeight="1">
      <c r="A647" s="134" t="s">
        <v>105</v>
      </c>
      <c r="B647" s="118" t="s">
        <v>515</v>
      </c>
      <c r="C647" s="119" t="s">
        <v>69</v>
      </c>
      <c r="D647" s="119" t="s">
        <v>70</v>
      </c>
      <c r="E647" s="120" t="s">
        <v>106</v>
      </c>
      <c r="F647" s="117"/>
      <c r="G647" s="183">
        <f>G648</f>
        <v>24.1</v>
      </c>
      <c r="H647" s="105"/>
      <c r="I647" s="105"/>
      <c r="J647" s="215"/>
      <c r="K647" s="215"/>
      <c r="L647" s="215"/>
      <c r="M647" s="215"/>
      <c r="N647" s="215"/>
      <c r="O647" s="215"/>
      <c r="P647" s="215"/>
      <c r="Q647" s="215"/>
      <c r="R647" s="215"/>
      <c r="S647" s="215"/>
      <c r="T647" s="215"/>
      <c r="U647" s="215"/>
      <c r="V647" s="215"/>
      <c r="W647" s="215"/>
      <c r="X647" s="215"/>
      <c r="Y647" s="215"/>
      <c r="Z647" s="215"/>
      <c r="AA647" s="215"/>
      <c r="AB647" s="215"/>
      <c r="AC647" s="215"/>
      <c r="AD647" s="215"/>
      <c r="AE647" s="215"/>
      <c r="AF647" s="215"/>
      <c r="AG647" s="215"/>
      <c r="AH647" s="215"/>
      <c r="AI647" s="215"/>
      <c r="AJ647" s="215"/>
      <c r="AK647" s="215"/>
      <c r="AL647" s="215"/>
      <c r="AM647" s="215"/>
      <c r="AN647" s="215"/>
      <c r="AO647" s="215"/>
    </row>
    <row r="648" spans="1:41" s="74" customFormat="1" ht="13.5" customHeight="1">
      <c r="A648" s="134" t="s">
        <v>111</v>
      </c>
      <c r="B648" s="118" t="s">
        <v>515</v>
      </c>
      <c r="C648" s="119" t="s">
        <v>69</v>
      </c>
      <c r="D648" s="119" t="s">
        <v>70</v>
      </c>
      <c r="E648" s="120" t="s">
        <v>112</v>
      </c>
      <c r="F648" s="117"/>
      <c r="G648" s="183">
        <f>G649</f>
        <v>24.1</v>
      </c>
      <c r="H648" s="105"/>
      <c r="I648" s="105"/>
      <c r="J648" s="215"/>
      <c r="K648" s="215"/>
      <c r="L648" s="215"/>
      <c r="M648" s="215"/>
      <c r="N648" s="215"/>
      <c r="O648" s="215"/>
      <c r="P648" s="215"/>
      <c r="Q648" s="215"/>
      <c r="R648" s="215"/>
      <c r="S648" s="215"/>
      <c r="T648" s="215"/>
      <c r="U648" s="215"/>
      <c r="V648" s="215"/>
      <c r="W648" s="215"/>
      <c r="X648" s="215"/>
      <c r="Y648" s="215"/>
      <c r="Z648" s="215"/>
      <c r="AA648" s="215"/>
      <c r="AB648" s="215"/>
      <c r="AC648" s="215"/>
      <c r="AD648" s="215"/>
      <c r="AE648" s="215"/>
      <c r="AF648" s="215"/>
      <c r="AG648" s="215"/>
      <c r="AH648" s="215"/>
      <c r="AI648" s="215"/>
      <c r="AJ648" s="215"/>
      <c r="AK648" s="215"/>
      <c r="AL648" s="215"/>
      <c r="AM648" s="215"/>
      <c r="AN648" s="215"/>
      <c r="AO648" s="215"/>
    </row>
    <row r="649" spans="1:41" s="74" customFormat="1" ht="13.5" customHeight="1">
      <c r="A649" s="134" t="s">
        <v>115</v>
      </c>
      <c r="B649" s="118" t="s">
        <v>515</v>
      </c>
      <c r="C649" s="119" t="s">
        <v>69</v>
      </c>
      <c r="D649" s="119" t="s">
        <v>70</v>
      </c>
      <c r="E649" s="120" t="s">
        <v>116</v>
      </c>
      <c r="F649" s="117"/>
      <c r="G649" s="183">
        <f>G650</f>
        <v>24.1</v>
      </c>
      <c r="H649" s="105"/>
      <c r="I649" s="105"/>
      <c r="J649" s="215"/>
      <c r="K649" s="215"/>
      <c r="L649" s="215"/>
      <c r="M649" s="215"/>
      <c r="N649" s="215"/>
      <c r="O649" s="215"/>
      <c r="P649" s="215"/>
      <c r="Q649" s="215"/>
      <c r="R649" s="215"/>
      <c r="S649" s="215"/>
      <c r="T649" s="215"/>
      <c r="U649" s="215"/>
      <c r="V649" s="215"/>
      <c r="W649" s="215"/>
      <c r="X649" s="215"/>
      <c r="Y649" s="215"/>
      <c r="Z649" s="215"/>
      <c r="AA649" s="215"/>
      <c r="AB649" s="215"/>
      <c r="AC649" s="215"/>
      <c r="AD649" s="215"/>
      <c r="AE649" s="215"/>
      <c r="AF649" s="215"/>
      <c r="AG649" s="215"/>
      <c r="AH649" s="215"/>
      <c r="AI649" s="215"/>
      <c r="AJ649" s="215"/>
      <c r="AK649" s="215"/>
      <c r="AL649" s="215"/>
      <c r="AM649" s="215"/>
      <c r="AN649" s="215"/>
      <c r="AO649" s="215"/>
    </row>
    <row r="650" spans="1:41" s="74" customFormat="1" ht="12" customHeight="1">
      <c r="A650" s="132" t="s">
        <v>156</v>
      </c>
      <c r="B650" s="118" t="s">
        <v>515</v>
      </c>
      <c r="C650" s="119" t="s">
        <v>69</v>
      </c>
      <c r="D650" s="119" t="s">
        <v>70</v>
      </c>
      <c r="E650" s="120" t="s">
        <v>116</v>
      </c>
      <c r="F650" s="117">
        <v>725</v>
      </c>
      <c r="G650" s="183">
        <f>30-5.9</f>
        <v>24.1</v>
      </c>
      <c r="H650" s="105"/>
      <c r="I650" s="105"/>
      <c r="J650" s="215"/>
      <c r="K650" s="215"/>
      <c r="L650" s="215"/>
      <c r="M650" s="215"/>
      <c r="N650" s="215"/>
      <c r="O650" s="215"/>
      <c r="P650" s="215"/>
      <c r="Q650" s="215"/>
      <c r="R650" s="215"/>
      <c r="S650" s="215"/>
      <c r="T650" s="215"/>
      <c r="U650" s="215"/>
      <c r="V650" s="215"/>
      <c r="W650" s="215"/>
      <c r="X650" s="215"/>
      <c r="Y650" s="215"/>
      <c r="Z650" s="215"/>
      <c r="AA650" s="215"/>
      <c r="AB650" s="215"/>
      <c r="AC650" s="215"/>
      <c r="AD650" s="215"/>
      <c r="AE650" s="215"/>
      <c r="AF650" s="215"/>
      <c r="AG650" s="215"/>
      <c r="AH650" s="215"/>
      <c r="AI650" s="215"/>
      <c r="AJ650" s="215"/>
      <c r="AK650" s="215"/>
      <c r="AL650" s="215"/>
      <c r="AM650" s="215"/>
      <c r="AN650" s="215"/>
      <c r="AO650" s="215"/>
    </row>
    <row r="651" spans="1:41" s="5" customFormat="1" ht="32.25">
      <c r="A651" s="131" t="s">
        <v>423</v>
      </c>
      <c r="B651" s="114" t="s">
        <v>189</v>
      </c>
      <c r="C651" s="116"/>
      <c r="D651" s="116"/>
      <c r="E651" s="117"/>
      <c r="F651" s="117"/>
      <c r="G651" s="182">
        <f>G652+G664+G686</f>
        <v>537.7</v>
      </c>
      <c r="H651" s="105"/>
      <c r="I651" s="105"/>
      <c r="J651" s="215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</row>
    <row r="652" spans="1:41" s="5" customFormat="1" ht="21.75">
      <c r="A652" s="131" t="s">
        <v>243</v>
      </c>
      <c r="B652" s="114" t="s">
        <v>338</v>
      </c>
      <c r="C652" s="116"/>
      <c r="D652" s="116"/>
      <c r="E652" s="117"/>
      <c r="F652" s="117"/>
      <c r="G652" s="182">
        <f aca="true" t="shared" si="32" ref="G652:G662">G653</f>
        <v>25.9</v>
      </c>
      <c r="H652" s="105"/>
      <c r="I652" s="105"/>
      <c r="J652" s="215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AO652" s="24"/>
    </row>
    <row r="653" spans="1:41" s="5" customFormat="1" ht="21.75">
      <c r="A653" s="131" t="s">
        <v>204</v>
      </c>
      <c r="B653" s="114" t="s">
        <v>424</v>
      </c>
      <c r="C653" s="116"/>
      <c r="D653" s="116"/>
      <c r="E653" s="117"/>
      <c r="F653" s="117"/>
      <c r="G653" s="182">
        <f t="shared" si="32"/>
        <v>25.9</v>
      </c>
      <c r="H653" s="105"/>
      <c r="I653" s="105"/>
      <c r="J653" s="215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  <c r="AJ653" s="24"/>
      <c r="AK653" s="24"/>
      <c r="AL653" s="24"/>
      <c r="AM653" s="24"/>
      <c r="AN653" s="24"/>
      <c r="AO653" s="24"/>
    </row>
    <row r="654" spans="1:41" s="5" customFormat="1" ht="12.75">
      <c r="A654" s="131" t="s">
        <v>2</v>
      </c>
      <c r="B654" s="114" t="s">
        <v>424</v>
      </c>
      <c r="C654" s="116" t="s">
        <v>66</v>
      </c>
      <c r="D654" s="116" t="s">
        <v>36</v>
      </c>
      <c r="E654" s="117"/>
      <c r="F654" s="117"/>
      <c r="G654" s="182">
        <f t="shared" si="32"/>
        <v>25.9</v>
      </c>
      <c r="H654" s="102"/>
      <c r="I654" s="102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</row>
    <row r="655" spans="1:41" s="5" customFormat="1" ht="12.75">
      <c r="A655" s="132" t="s">
        <v>63</v>
      </c>
      <c r="B655" s="118" t="s">
        <v>424</v>
      </c>
      <c r="C655" s="119" t="s">
        <v>66</v>
      </c>
      <c r="D655" s="119" t="s">
        <v>87</v>
      </c>
      <c r="E655" s="117"/>
      <c r="F655" s="117"/>
      <c r="G655" s="183">
        <f>G660+G656</f>
        <v>25.9</v>
      </c>
      <c r="H655" s="102"/>
      <c r="I655" s="102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  <c r="AJ655" s="24"/>
      <c r="AK655" s="24"/>
      <c r="AL655" s="24"/>
      <c r="AM655" s="24"/>
      <c r="AN655" s="24"/>
      <c r="AO655" s="24"/>
    </row>
    <row r="656" spans="1:41" s="5" customFormat="1" ht="45">
      <c r="A656" s="134" t="s">
        <v>102</v>
      </c>
      <c r="B656" s="118" t="s">
        <v>424</v>
      </c>
      <c r="C656" s="119" t="s">
        <v>66</v>
      </c>
      <c r="D656" s="119" t="s">
        <v>87</v>
      </c>
      <c r="E656" s="117">
        <v>100</v>
      </c>
      <c r="F656" s="117"/>
      <c r="G656" s="183">
        <f>G657</f>
        <v>21.2</v>
      </c>
      <c r="H656" s="102"/>
      <c r="I656" s="102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AI656" s="24"/>
      <c r="AJ656" s="24"/>
      <c r="AK656" s="24"/>
      <c r="AL656" s="24"/>
      <c r="AM656" s="24"/>
      <c r="AN656" s="24"/>
      <c r="AO656" s="24"/>
    </row>
    <row r="657" spans="1:41" s="5" customFormat="1" ht="22.5">
      <c r="A657" s="134" t="s">
        <v>93</v>
      </c>
      <c r="B657" s="118" t="s">
        <v>424</v>
      </c>
      <c r="C657" s="119" t="s">
        <v>66</v>
      </c>
      <c r="D657" s="119" t="s">
        <v>87</v>
      </c>
      <c r="E657" s="117">
        <v>120</v>
      </c>
      <c r="F657" s="117"/>
      <c r="G657" s="183">
        <f>G658</f>
        <v>21.2</v>
      </c>
      <c r="H657" s="102"/>
      <c r="I657" s="102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  <c r="AJ657" s="24"/>
      <c r="AK657" s="24"/>
      <c r="AL657" s="24"/>
      <c r="AM657" s="24"/>
      <c r="AN657" s="24"/>
      <c r="AO657" s="24"/>
    </row>
    <row r="658" spans="1:41" s="5" customFormat="1" ht="33.75">
      <c r="A658" s="132" t="s">
        <v>638</v>
      </c>
      <c r="B658" s="118" t="s">
        <v>424</v>
      </c>
      <c r="C658" s="119" t="s">
        <v>66</v>
      </c>
      <c r="D658" s="119" t="s">
        <v>87</v>
      </c>
      <c r="E658" s="117">
        <v>123</v>
      </c>
      <c r="F658" s="117"/>
      <c r="G658" s="183">
        <f>G659</f>
        <v>21.2</v>
      </c>
      <c r="H658" s="102"/>
      <c r="I658" s="102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  <c r="AI658" s="24"/>
      <c r="AJ658" s="24"/>
      <c r="AK658" s="24"/>
      <c r="AL658" s="24"/>
      <c r="AM658" s="24"/>
      <c r="AN658" s="24"/>
      <c r="AO658" s="24"/>
    </row>
    <row r="659" spans="1:41" s="5" customFormat="1" ht="12.75">
      <c r="A659" s="132" t="s">
        <v>153</v>
      </c>
      <c r="B659" s="118" t="s">
        <v>424</v>
      </c>
      <c r="C659" s="119" t="s">
        <v>66</v>
      </c>
      <c r="D659" s="119" t="s">
        <v>87</v>
      </c>
      <c r="E659" s="117">
        <v>123</v>
      </c>
      <c r="F659" s="117">
        <v>721</v>
      </c>
      <c r="G659" s="183">
        <f>40-18.8</f>
        <v>21.2</v>
      </c>
      <c r="H659" s="102"/>
      <c r="I659" s="102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  <c r="AH659" s="24"/>
      <c r="AI659" s="24"/>
      <c r="AJ659" s="24"/>
      <c r="AK659" s="24"/>
      <c r="AL659" s="24"/>
      <c r="AM659" s="24"/>
      <c r="AN659" s="24"/>
      <c r="AO659" s="24"/>
    </row>
    <row r="660" spans="1:41" s="5" customFormat="1" ht="22.5">
      <c r="A660" s="134" t="s">
        <v>610</v>
      </c>
      <c r="B660" s="118" t="s">
        <v>424</v>
      </c>
      <c r="C660" s="119" t="s">
        <v>66</v>
      </c>
      <c r="D660" s="119" t="s">
        <v>87</v>
      </c>
      <c r="E660" s="120" t="s">
        <v>104</v>
      </c>
      <c r="F660" s="117"/>
      <c r="G660" s="183">
        <f t="shared" si="32"/>
        <v>4.7</v>
      </c>
      <c r="H660" s="102"/>
      <c r="I660" s="102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  <c r="AI660" s="24"/>
      <c r="AJ660" s="24"/>
      <c r="AK660" s="24"/>
      <c r="AL660" s="24"/>
      <c r="AM660" s="24"/>
      <c r="AN660" s="24"/>
      <c r="AO660" s="24"/>
    </row>
    <row r="661" spans="1:41" s="5" customFormat="1" ht="21.75" customHeight="1">
      <c r="A661" s="134" t="s">
        <v>98</v>
      </c>
      <c r="B661" s="118" t="s">
        <v>424</v>
      </c>
      <c r="C661" s="119" t="s">
        <v>66</v>
      </c>
      <c r="D661" s="119" t="s">
        <v>87</v>
      </c>
      <c r="E661" s="120" t="s">
        <v>99</v>
      </c>
      <c r="F661" s="117"/>
      <c r="G661" s="183">
        <f t="shared" si="32"/>
        <v>4.7</v>
      </c>
      <c r="H661" s="102"/>
      <c r="I661" s="102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  <c r="AI661" s="24"/>
      <c r="AJ661" s="24"/>
      <c r="AK661" s="24"/>
      <c r="AL661" s="24"/>
      <c r="AM661" s="24"/>
      <c r="AN661" s="24"/>
      <c r="AO661" s="24"/>
    </row>
    <row r="662" spans="1:41" s="5" customFormat="1" ht="22.5">
      <c r="A662" s="134" t="s">
        <v>100</v>
      </c>
      <c r="B662" s="118" t="s">
        <v>424</v>
      </c>
      <c r="C662" s="119" t="s">
        <v>66</v>
      </c>
      <c r="D662" s="119" t="s">
        <v>87</v>
      </c>
      <c r="E662" s="120" t="s">
        <v>101</v>
      </c>
      <c r="F662" s="117"/>
      <c r="G662" s="183">
        <f t="shared" si="32"/>
        <v>4.7</v>
      </c>
      <c r="H662" s="102"/>
      <c r="I662" s="102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  <c r="AI662" s="24"/>
      <c r="AJ662" s="24"/>
      <c r="AK662" s="24"/>
      <c r="AL662" s="24"/>
      <c r="AM662" s="24"/>
      <c r="AN662" s="24"/>
      <c r="AO662" s="24"/>
    </row>
    <row r="663" spans="1:41" s="5" customFormat="1" ht="12.75">
      <c r="A663" s="132" t="s">
        <v>153</v>
      </c>
      <c r="B663" s="118" t="s">
        <v>424</v>
      </c>
      <c r="C663" s="119" t="s">
        <v>66</v>
      </c>
      <c r="D663" s="119" t="s">
        <v>87</v>
      </c>
      <c r="E663" s="120" t="s">
        <v>101</v>
      </c>
      <c r="F663" s="117">
        <v>721</v>
      </c>
      <c r="G663" s="183">
        <f>50-40-5.3</f>
        <v>4.7</v>
      </c>
      <c r="H663" s="102"/>
      <c r="I663" s="102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  <c r="AI663" s="24"/>
      <c r="AJ663" s="24"/>
      <c r="AK663" s="24"/>
      <c r="AL663" s="24"/>
      <c r="AM663" s="24"/>
      <c r="AN663" s="24"/>
      <c r="AO663" s="24"/>
    </row>
    <row r="664" spans="1:41" s="5" customFormat="1" ht="21.75" customHeight="1">
      <c r="A664" s="131" t="s">
        <v>258</v>
      </c>
      <c r="B664" s="114" t="s">
        <v>550</v>
      </c>
      <c r="C664" s="119"/>
      <c r="D664" s="119"/>
      <c r="E664" s="120"/>
      <c r="F664" s="117"/>
      <c r="G664" s="182">
        <f>G665+G672+G679</f>
        <v>325</v>
      </c>
      <c r="H664" s="102"/>
      <c r="I664" s="102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  <c r="AI664" s="24"/>
      <c r="AJ664" s="24"/>
      <c r="AK664" s="24"/>
      <c r="AL664" s="24"/>
      <c r="AM664" s="24"/>
      <c r="AN664" s="24"/>
      <c r="AO664" s="24"/>
    </row>
    <row r="665" spans="1:41" s="5" customFormat="1" ht="12.75">
      <c r="A665" s="131" t="s">
        <v>199</v>
      </c>
      <c r="B665" s="114" t="s">
        <v>551</v>
      </c>
      <c r="C665" s="119"/>
      <c r="D665" s="119"/>
      <c r="E665" s="120"/>
      <c r="F665" s="117"/>
      <c r="G665" s="182">
        <f aca="true" t="shared" si="33" ref="G665:G670">G666</f>
        <v>300</v>
      </c>
      <c r="H665" s="102"/>
      <c r="I665" s="102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/>
      <c r="AI665" s="24"/>
      <c r="AJ665" s="24"/>
      <c r="AK665" s="24"/>
      <c r="AL665" s="24"/>
      <c r="AM665" s="24"/>
      <c r="AN665" s="24"/>
      <c r="AO665" s="24"/>
    </row>
    <row r="666" spans="1:41" s="5" customFormat="1" ht="12.75">
      <c r="A666" s="131" t="s">
        <v>145</v>
      </c>
      <c r="B666" s="114" t="s">
        <v>551</v>
      </c>
      <c r="C666" s="116" t="s">
        <v>73</v>
      </c>
      <c r="D666" s="116" t="s">
        <v>36</v>
      </c>
      <c r="E666" s="120"/>
      <c r="F666" s="117"/>
      <c r="G666" s="182">
        <f t="shared" si="33"/>
        <v>300</v>
      </c>
      <c r="H666" s="102"/>
      <c r="I666" s="102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  <c r="AH666" s="24"/>
      <c r="AI666" s="24"/>
      <c r="AJ666" s="24"/>
      <c r="AK666" s="24"/>
      <c r="AL666" s="24"/>
      <c r="AM666" s="24"/>
      <c r="AN666" s="24"/>
      <c r="AO666" s="24"/>
    </row>
    <row r="667" spans="1:41" s="5" customFormat="1" ht="12.75">
      <c r="A667" s="132" t="s">
        <v>12</v>
      </c>
      <c r="B667" s="118" t="s">
        <v>551</v>
      </c>
      <c r="C667" s="119" t="s">
        <v>73</v>
      </c>
      <c r="D667" s="119" t="s">
        <v>66</v>
      </c>
      <c r="E667" s="120"/>
      <c r="F667" s="117"/>
      <c r="G667" s="183">
        <f t="shared" si="33"/>
        <v>300</v>
      </c>
      <c r="H667" s="102"/>
      <c r="I667" s="102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  <c r="AH667" s="24"/>
      <c r="AI667" s="24"/>
      <c r="AJ667" s="24"/>
      <c r="AK667" s="24"/>
      <c r="AL667" s="24"/>
      <c r="AM667" s="24"/>
      <c r="AN667" s="24"/>
      <c r="AO667" s="24"/>
    </row>
    <row r="668" spans="1:41" s="5" customFormat="1" ht="22.5">
      <c r="A668" s="134" t="s">
        <v>105</v>
      </c>
      <c r="B668" s="118" t="s">
        <v>551</v>
      </c>
      <c r="C668" s="119" t="s">
        <v>73</v>
      </c>
      <c r="D668" s="119" t="s">
        <v>66</v>
      </c>
      <c r="E668" s="120" t="s">
        <v>106</v>
      </c>
      <c r="F668" s="117"/>
      <c r="G668" s="183">
        <f t="shared" si="33"/>
        <v>300</v>
      </c>
      <c r="H668" s="102"/>
      <c r="I668" s="102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/>
      <c r="AI668" s="24"/>
      <c r="AJ668" s="24"/>
      <c r="AK668" s="24"/>
      <c r="AL668" s="24"/>
      <c r="AM668" s="24"/>
      <c r="AN668" s="24"/>
      <c r="AO668" s="24"/>
    </row>
    <row r="669" spans="1:41" s="5" customFormat="1" ht="12.75">
      <c r="A669" s="134" t="s">
        <v>111</v>
      </c>
      <c r="B669" s="118" t="s">
        <v>551</v>
      </c>
      <c r="C669" s="119" t="s">
        <v>73</v>
      </c>
      <c r="D669" s="119" t="s">
        <v>66</v>
      </c>
      <c r="E669" s="120" t="s">
        <v>112</v>
      </c>
      <c r="F669" s="117"/>
      <c r="G669" s="183">
        <f t="shared" si="33"/>
        <v>300</v>
      </c>
      <c r="H669" s="102"/>
      <c r="I669" s="102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  <c r="AH669" s="24"/>
      <c r="AI669" s="24"/>
      <c r="AJ669" s="24"/>
      <c r="AK669" s="24"/>
      <c r="AL669" s="24"/>
      <c r="AM669" s="24"/>
      <c r="AN669" s="24"/>
      <c r="AO669" s="24"/>
    </row>
    <row r="670" spans="1:41" s="5" customFormat="1" ht="12.75">
      <c r="A670" s="134" t="s">
        <v>115</v>
      </c>
      <c r="B670" s="118" t="s">
        <v>551</v>
      </c>
      <c r="C670" s="119" t="s">
        <v>73</v>
      </c>
      <c r="D670" s="119" t="s">
        <v>66</v>
      </c>
      <c r="E670" s="120" t="s">
        <v>116</v>
      </c>
      <c r="F670" s="117"/>
      <c r="G670" s="183">
        <f t="shared" si="33"/>
        <v>300</v>
      </c>
      <c r="H670" s="102"/>
      <c r="I670" s="102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  <c r="AI670" s="24"/>
      <c r="AJ670" s="24"/>
      <c r="AK670" s="24"/>
      <c r="AL670" s="24"/>
      <c r="AM670" s="24"/>
      <c r="AN670" s="24"/>
      <c r="AO670" s="24"/>
    </row>
    <row r="671" spans="1:41" s="5" customFormat="1" ht="22.5">
      <c r="A671" s="132" t="s">
        <v>157</v>
      </c>
      <c r="B671" s="118" t="s">
        <v>551</v>
      </c>
      <c r="C671" s="119" t="s">
        <v>73</v>
      </c>
      <c r="D671" s="119" t="s">
        <v>66</v>
      </c>
      <c r="E671" s="120" t="s">
        <v>116</v>
      </c>
      <c r="F671" s="117">
        <v>726</v>
      </c>
      <c r="G671" s="183">
        <v>300</v>
      </c>
      <c r="H671" s="102"/>
      <c r="I671" s="102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  <c r="AH671" s="24"/>
      <c r="AI671" s="24"/>
      <c r="AJ671" s="24"/>
      <c r="AK671" s="24"/>
      <c r="AL671" s="24"/>
      <c r="AM671" s="24"/>
      <c r="AN671" s="24"/>
      <c r="AO671" s="24"/>
    </row>
    <row r="672" spans="1:41" s="5" customFormat="1" ht="21.75">
      <c r="A672" s="131" t="s">
        <v>789</v>
      </c>
      <c r="B672" s="114" t="s">
        <v>788</v>
      </c>
      <c r="C672" s="116"/>
      <c r="D672" s="116"/>
      <c r="E672" s="121"/>
      <c r="F672" s="113"/>
      <c r="G672" s="182">
        <f aca="true" t="shared" si="34" ref="G672:G677">G673</f>
        <v>0</v>
      </c>
      <c r="H672" s="102"/>
      <c r="I672" s="102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/>
      <c r="AI672" s="24"/>
      <c r="AJ672" s="24"/>
      <c r="AK672" s="24"/>
      <c r="AL672" s="24"/>
      <c r="AM672" s="24"/>
      <c r="AN672" s="24"/>
      <c r="AO672" s="24"/>
    </row>
    <row r="673" spans="1:41" s="5" customFormat="1" ht="12.75">
      <c r="A673" s="131" t="s">
        <v>2</v>
      </c>
      <c r="B673" s="114" t="s">
        <v>788</v>
      </c>
      <c r="C673" s="116" t="s">
        <v>66</v>
      </c>
      <c r="D673" s="116" t="s">
        <v>36</v>
      </c>
      <c r="E673" s="121"/>
      <c r="F673" s="113"/>
      <c r="G673" s="182">
        <f t="shared" si="34"/>
        <v>0</v>
      </c>
      <c r="H673" s="102"/>
      <c r="I673" s="102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  <c r="AH673" s="24"/>
      <c r="AI673" s="24"/>
      <c r="AJ673" s="24"/>
      <c r="AK673" s="24"/>
      <c r="AL673" s="24"/>
      <c r="AM673" s="24"/>
      <c r="AN673" s="24"/>
      <c r="AO673" s="24"/>
    </row>
    <row r="674" spans="1:41" s="5" customFormat="1" ht="12.75">
      <c r="A674" s="132" t="s">
        <v>63</v>
      </c>
      <c r="B674" s="118" t="s">
        <v>788</v>
      </c>
      <c r="C674" s="119" t="s">
        <v>66</v>
      </c>
      <c r="D674" s="119" t="s">
        <v>87</v>
      </c>
      <c r="E674" s="120"/>
      <c r="F674" s="117"/>
      <c r="G674" s="183">
        <f t="shared" si="34"/>
        <v>0</v>
      </c>
      <c r="H674" s="102"/>
      <c r="I674" s="102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  <c r="AH674" s="24"/>
      <c r="AI674" s="24"/>
      <c r="AJ674" s="24"/>
      <c r="AK674" s="24"/>
      <c r="AL674" s="24"/>
      <c r="AM674" s="24"/>
      <c r="AN674" s="24"/>
      <c r="AO674" s="24"/>
    </row>
    <row r="675" spans="1:41" s="5" customFormat="1" ht="22.5">
      <c r="A675" s="134" t="s">
        <v>610</v>
      </c>
      <c r="B675" s="118" t="s">
        <v>788</v>
      </c>
      <c r="C675" s="119" t="s">
        <v>66</v>
      </c>
      <c r="D675" s="119" t="s">
        <v>87</v>
      </c>
      <c r="E675" s="120" t="s">
        <v>104</v>
      </c>
      <c r="F675" s="117"/>
      <c r="G675" s="183">
        <f t="shared" si="34"/>
        <v>0</v>
      </c>
      <c r="H675" s="102"/>
      <c r="I675" s="102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  <c r="AH675" s="24"/>
      <c r="AI675" s="24"/>
      <c r="AJ675" s="24"/>
      <c r="AK675" s="24"/>
      <c r="AL675" s="24"/>
      <c r="AM675" s="24"/>
      <c r="AN675" s="24"/>
      <c r="AO675" s="24"/>
    </row>
    <row r="676" spans="1:41" s="5" customFormat="1" ht="22.5">
      <c r="A676" s="134" t="s">
        <v>98</v>
      </c>
      <c r="B676" s="118" t="s">
        <v>788</v>
      </c>
      <c r="C676" s="119" t="s">
        <v>66</v>
      </c>
      <c r="D676" s="119" t="s">
        <v>87</v>
      </c>
      <c r="E676" s="120" t="s">
        <v>99</v>
      </c>
      <c r="F676" s="117"/>
      <c r="G676" s="183">
        <f t="shared" si="34"/>
        <v>0</v>
      </c>
      <c r="H676" s="102"/>
      <c r="I676" s="102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  <c r="AH676" s="24"/>
      <c r="AI676" s="24"/>
      <c r="AJ676" s="24"/>
      <c r="AK676" s="24"/>
      <c r="AL676" s="24"/>
      <c r="AM676" s="24"/>
      <c r="AN676" s="24"/>
      <c r="AO676" s="24"/>
    </row>
    <row r="677" spans="1:41" s="5" customFormat="1" ht="22.5">
      <c r="A677" s="134" t="s">
        <v>100</v>
      </c>
      <c r="B677" s="118" t="s">
        <v>788</v>
      </c>
      <c r="C677" s="119" t="s">
        <v>66</v>
      </c>
      <c r="D677" s="119" t="s">
        <v>87</v>
      </c>
      <c r="E677" s="120" t="s">
        <v>101</v>
      </c>
      <c r="F677" s="117"/>
      <c r="G677" s="183">
        <f t="shared" si="34"/>
        <v>0</v>
      </c>
      <c r="H677" s="102"/>
      <c r="I677" s="102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  <c r="AH677" s="24"/>
      <c r="AI677" s="24"/>
      <c r="AJ677" s="24"/>
      <c r="AK677" s="24"/>
      <c r="AL677" s="24"/>
      <c r="AM677" s="24"/>
      <c r="AN677" s="24"/>
      <c r="AO677" s="24"/>
    </row>
    <row r="678" spans="1:41" s="5" customFormat="1" ht="12.75">
      <c r="A678" s="132" t="s">
        <v>153</v>
      </c>
      <c r="B678" s="118" t="s">
        <v>788</v>
      </c>
      <c r="C678" s="119" t="s">
        <v>66</v>
      </c>
      <c r="D678" s="119" t="s">
        <v>87</v>
      </c>
      <c r="E678" s="120" t="s">
        <v>101</v>
      </c>
      <c r="F678" s="117">
        <v>721</v>
      </c>
      <c r="G678" s="183">
        <f>20-20</f>
        <v>0</v>
      </c>
      <c r="H678" s="102"/>
      <c r="I678" s="102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  <c r="AH678" s="24"/>
      <c r="AI678" s="24"/>
      <c r="AJ678" s="24"/>
      <c r="AK678" s="24"/>
      <c r="AL678" s="24"/>
      <c r="AM678" s="24"/>
      <c r="AN678" s="24"/>
      <c r="AO678" s="24"/>
    </row>
    <row r="679" spans="1:41" s="187" customFormat="1" ht="10.5">
      <c r="A679" s="176" t="s">
        <v>854</v>
      </c>
      <c r="B679" s="114" t="s">
        <v>855</v>
      </c>
      <c r="C679" s="116"/>
      <c r="D679" s="116"/>
      <c r="E679" s="121"/>
      <c r="F679" s="113"/>
      <c r="G679" s="182">
        <f aca="true" t="shared" si="35" ref="G679:G684">G680</f>
        <v>25</v>
      </c>
      <c r="H679" s="218"/>
      <c r="I679" s="218"/>
      <c r="J679" s="219"/>
      <c r="K679" s="219"/>
      <c r="L679" s="219"/>
      <c r="M679" s="219"/>
      <c r="N679" s="219"/>
      <c r="O679" s="219"/>
      <c r="P679" s="219"/>
      <c r="Q679" s="219"/>
      <c r="R679" s="219"/>
      <c r="S679" s="219"/>
      <c r="T679" s="219"/>
      <c r="U679" s="219"/>
      <c r="V679" s="219"/>
      <c r="W679" s="219"/>
      <c r="X679" s="219"/>
      <c r="Y679" s="219"/>
      <c r="Z679" s="219"/>
      <c r="AA679" s="219"/>
      <c r="AB679" s="219"/>
      <c r="AC679" s="219"/>
      <c r="AD679" s="219"/>
      <c r="AE679" s="219"/>
      <c r="AF679" s="219"/>
      <c r="AG679" s="219"/>
      <c r="AH679" s="219"/>
      <c r="AI679" s="219"/>
      <c r="AJ679" s="219"/>
      <c r="AK679" s="219"/>
      <c r="AL679" s="219"/>
      <c r="AM679" s="219"/>
      <c r="AN679" s="219"/>
      <c r="AO679" s="219"/>
    </row>
    <row r="680" spans="1:41" s="187" customFormat="1" ht="10.5">
      <c r="A680" s="131" t="s">
        <v>2</v>
      </c>
      <c r="B680" s="114" t="s">
        <v>855</v>
      </c>
      <c r="C680" s="116" t="s">
        <v>66</v>
      </c>
      <c r="D680" s="116" t="s">
        <v>36</v>
      </c>
      <c r="E680" s="121"/>
      <c r="F680" s="113"/>
      <c r="G680" s="182">
        <f t="shared" si="35"/>
        <v>25</v>
      </c>
      <c r="H680" s="218"/>
      <c r="I680" s="218"/>
      <c r="J680" s="219"/>
      <c r="K680" s="219"/>
      <c r="L680" s="219"/>
      <c r="M680" s="219"/>
      <c r="N680" s="219"/>
      <c r="O680" s="219"/>
      <c r="P680" s="219"/>
      <c r="Q680" s="219"/>
      <c r="R680" s="219"/>
      <c r="S680" s="219"/>
      <c r="T680" s="219"/>
      <c r="U680" s="219"/>
      <c r="V680" s="219"/>
      <c r="W680" s="219"/>
      <c r="X680" s="219"/>
      <c r="Y680" s="219"/>
      <c r="Z680" s="219"/>
      <c r="AA680" s="219"/>
      <c r="AB680" s="219"/>
      <c r="AC680" s="219"/>
      <c r="AD680" s="219"/>
      <c r="AE680" s="219"/>
      <c r="AF680" s="219"/>
      <c r="AG680" s="219"/>
      <c r="AH680" s="219"/>
      <c r="AI680" s="219"/>
      <c r="AJ680" s="219"/>
      <c r="AK680" s="219"/>
      <c r="AL680" s="219"/>
      <c r="AM680" s="219"/>
      <c r="AN680" s="219"/>
      <c r="AO680" s="219"/>
    </row>
    <row r="681" spans="1:41" s="186" customFormat="1" ht="11.25">
      <c r="A681" s="132" t="s">
        <v>63</v>
      </c>
      <c r="B681" s="118" t="s">
        <v>855</v>
      </c>
      <c r="C681" s="119" t="s">
        <v>66</v>
      </c>
      <c r="D681" s="119" t="s">
        <v>87</v>
      </c>
      <c r="E681" s="120"/>
      <c r="F681" s="117"/>
      <c r="G681" s="183">
        <f t="shared" si="35"/>
        <v>25</v>
      </c>
      <c r="H681" s="217"/>
      <c r="I681" s="217"/>
      <c r="J681" s="220"/>
      <c r="K681" s="220"/>
      <c r="L681" s="220"/>
      <c r="M681" s="220"/>
      <c r="N681" s="220"/>
      <c r="O681" s="220"/>
      <c r="P681" s="220"/>
      <c r="Q681" s="220"/>
      <c r="R681" s="220"/>
      <c r="S681" s="220"/>
      <c r="T681" s="220"/>
      <c r="U681" s="220"/>
      <c r="V681" s="220"/>
      <c r="W681" s="220"/>
      <c r="X681" s="220"/>
      <c r="Y681" s="220"/>
      <c r="Z681" s="220"/>
      <c r="AA681" s="220"/>
      <c r="AB681" s="220"/>
      <c r="AC681" s="220"/>
      <c r="AD681" s="220"/>
      <c r="AE681" s="220"/>
      <c r="AF681" s="220"/>
      <c r="AG681" s="220"/>
      <c r="AH681" s="220"/>
      <c r="AI681" s="220"/>
      <c r="AJ681" s="220"/>
      <c r="AK681" s="220"/>
      <c r="AL681" s="220"/>
      <c r="AM681" s="220"/>
      <c r="AN681" s="220"/>
      <c r="AO681" s="220"/>
    </row>
    <row r="682" spans="1:41" s="186" customFormat="1" ht="22.5">
      <c r="A682" s="134" t="s">
        <v>610</v>
      </c>
      <c r="B682" s="118" t="s">
        <v>855</v>
      </c>
      <c r="C682" s="119" t="s">
        <v>66</v>
      </c>
      <c r="D682" s="119" t="s">
        <v>87</v>
      </c>
      <c r="E682" s="120" t="s">
        <v>104</v>
      </c>
      <c r="F682" s="117"/>
      <c r="G682" s="183">
        <f t="shared" si="35"/>
        <v>25</v>
      </c>
      <c r="H682" s="217"/>
      <c r="I682" s="217"/>
      <c r="J682" s="220"/>
      <c r="K682" s="220"/>
      <c r="L682" s="220"/>
      <c r="M682" s="220"/>
      <c r="N682" s="220"/>
      <c r="O682" s="220"/>
      <c r="P682" s="220"/>
      <c r="Q682" s="220"/>
      <c r="R682" s="220"/>
      <c r="S682" s="220"/>
      <c r="T682" s="220"/>
      <c r="U682" s="220"/>
      <c r="V682" s="220"/>
      <c r="W682" s="220"/>
      <c r="X682" s="220"/>
      <c r="Y682" s="220"/>
      <c r="Z682" s="220"/>
      <c r="AA682" s="220"/>
      <c r="AB682" s="220"/>
      <c r="AC682" s="220"/>
      <c r="AD682" s="220"/>
      <c r="AE682" s="220"/>
      <c r="AF682" s="220"/>
      <c r="AG682" s="220"/>
      <c r="AH682" s="220"/>
      <c r="AI682" s="220"/>
      <c r="AJ682" s="220"/>
      <c r="AK682" s="220"/>
      <c r="AL682" s="220"/>
      <c r="AM682" s="220"/>
      <c r="AN682" s="220"/>
      <c r="AO682" s="220"/>
    </row>
    <row r="683" spans="1:41" s="186" customFormat="1" ht="22.5">
      <c r="A683" s="134" t="s">
        <v>98</v>
      </c>
      <c r="B683" s="118" t="s">
        <v>855</v>
      </c>
      <c r="C683" s="119" t="s">
        <v>66</v>
      </c>
      <c r="D683" s="119" t="s">
        <v>87</v>
      </c>
      <c r="E683" s="120" t="s">
        <v>99</v>
      </c>
      <c r="F683" s="117"/>
      <c r="G683" s="183">
        <f t="shared" si="35"/>
        <v>25</v>
      </c>
      <c r="H683" s="217"/>
      <c r="I683" s="217"/>
      <c r="J683" s="220"/>
      <c r="K683" s="220"/>
      <c r="L683" s="220"/>
      <c r="M683" s="220"/>
      <c r="N683" s="220"/>
      <c r="O683" s="220"/>
      <c r="P683" s="220"/>
      <c r="Q683" s="220"/>
      <c r="R683" s="220"/>
      <c r="S683" s="220"/>
      <c r="T683" s="220"/>
      <c r="U683" s="220"/>
      <c r="V683" s="220"/>
      <c r="W683" s="220"/>
      <c r="X683" s="220"/>
      <c r="Y683" s="220"/>
      <c r="Z683" s="220"/>
      <c r="AA683" s="220"/>
      <c r="AB683" s="220"/>
      <c r="AC683" s="220"/>
      <c r="AD683" s="220"/>
      <c r="AE683" s="220"/>
      <c r="AF683" s="220"/>
      <c r="AG683" s="220"/>
      <c r="AH683" s="220"/>
      <c r="AI683" s="220"/>
      <c r="AJ683" s="220"/>
      <c r="AK683" s="220"/>
      <c r="AL683" s="220"/>
      <c r="AM683" s="220"/>
      <c r="AN683" s="220"/>
      <c r="AO683" s="220"/>
    </row>
    <row r="684" spans="1:41" s="186" customFormat="1" ht="22.5">
      <c r="A684" s="134" t="s">
        <v>100</v>
      </c>
      <c r="B684" s="118" t="s">
        <v>855</v>
      </c>
      <c r="C684" s="119" t="s">
        <v>66</v>
      </c>
      <c r="D684" s="119" t="s">
        <v>87</v>
      </c>
      <c r="E684" s="120" t="s">
        <v>101</v>
      </c>
      <c r="F684" s="117"/>
      <c r="G684" s="183">
        <f t="shared" si="35"/>
        <v>25</v>
      </c>
      <c r="H684" s="217"/>
      <c r="I684" s="217"/>
      <c r="J684" s="220"/>
      <c r="K684" s="220"/>
      <c r="L684" s="220"/>
      <c r="M684" s="220"/>
      <c r="N684" s="220"/>
      <c r="O684" s="220"/>
      <c r="P684" s="220"/>
      <c r="Q684" s="220"/>
      <c r="R684" s="220"/>
      <c r="S684" s="220"/>
      <c r="T684" s="220"/>
      <c r="U684" s="220"/>
      <c r="V684" s="220"/>
      <c r="W684" s="220"/>
      <c r="X684" s="220"/>
      <c r="Y684" s="220"/>
      <c r="Z684" s="220"/>
      <c r="AA684" s="220"/>
      <c r="AB684" s="220"/>
      <c r="AC684" s="220"/>
      <c r="AD684" s="220"/>
      <c r="AE684" s="220"/>
      <c r="AF684" s="220"/>
      <c r="AG684" s="220"/>
      <c r="AH684" s="220"/>
      <c r="AI684" s="220"/>
      <c r="AJ684" s="220"/>
      <c r="AK684" s="220"/>
      <c r="AL684" s="220"/>
      <c r="AM684" s="220"/>
      <c r="AN684" s="220"/>
      <c r="AO684" s="220"/>
    </row>
    <row r="685" spans="1:41" s="186" customFormat="1" ht="11.25">
      <c r="A685" s="132" t="s">
        <v>153</v>
      </c>
      <c r="B685" s="118" t="s">
        <v>855</v>
      </c>
      <c r="C685" s="119" t="s">
        <v>66</v>
      </c>
      <c r="D685" s="119" t="s">
        <v>87</v>
      </c>
      <c r="E685" s="120" t="s">
        <v>101</v>
      </c>
      <c r="F685" s="117">
        <v>721</v>
      </c>
      <c r="G685" s="183">
        <v>25</v>
      </c>
      <c r="H685" s="217"/>
      <c r="I685" s="217"/>
      <c r="J685" s="220"/>
      <c r="K685" s="220"/>
      <c r="L685" s="220"/>
      <c r="M685" s="220"/>
      <c r="N685" s="220"/>
      <c r="O685" s="220"/>
      <c r="P685" s="220"/>
      <c r="Q685" s="220"/>
      <c r="R685" s="220"/>
      <c r="S685" s="220"/>
      <c r="T685" s="220"/>
      <c r="U685" s="220"/>
      <c r="V685" s="220"/>
      <c r="W685" s="220"/>
      <c r="X685" s="220"/>
      <c r="Y685" s="220"/>
      <c r="Z685" s="220"/>
      <c r="AA685" s="220"/>
      <c r="AB685" s="220"/>
      <c r="AC685" s="220"/>
      <c r="AD685" s="220"/>
      <c r="AE685" s="220"/>
      <c r="AF685" s="220"/>
      <c r="AG685" s="220"/>
      <c r="AH685" s="220"/>
      <c r="AI685" s="220"/>
      <c r="AJ685" s="220"/>
      <c r="AK685" s="220"/>
      <c r="AL685" s="220"/>
      <c r="AM685" s="220"/>
      <c r="AN685" s="220"/>
      <c r="AO685" s="220"/>
    </row>
    <row r="686" spans="1:41" s="5" customFormat="1" ht="21.75">
      <c r="A686" s="136" t="s">
        <v>542</v>
      </c>
      <c r="B686" s="114" t="s">
        <v>543</v>
      </c>
      <c r="C686" s="119"/>
      <c r="D686" s="119"/>
      <c r="E686" s="120"/>
      <c r="F686" s="117"/>
      <c r="G686" s="182">
        <f>G687+G694</f>
        <v>186.8</v>
      </c>
      <c r="H686" s="102"/>
      <c r="I686" s="102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  <c r="AH686" s="24"/>
      <c r="AI686" s="24"/>
      <c r="AJ686" s="24"/>
      <c r="AK686" s="24"/>
      <c r="AL686" s="24"/>
      <c r="AM686" s="24"/>
      <c r="AN686" s="24"/>
      <c r="AO686" s="24"/>
    </row>
    <row r="687" spans="1:41" s="5" customFormat="1" ht="21.75">
      <c r="A687" s="131" t="s">
        <v>625</v>
      </c>
      <c r="B687" s="114" t="s">
        <v>626</v>
      </c>
      <c r="C687" s="119"/>
      <c r="D687" s="119"/>
      <c r="E687" s="120"/>
      <c r="F687" s="117"/>
      <c r="G687" s="182">
        <f aca="true" t="shared" si="36" ref="G687:G692">G688</f>
        <v>86.80000000000001</v>
      </c>
      <c r="H687" s="102"/>
      <c r="I687" s="102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  <c r="AI687" s="24"/>
      <c r="AJ687" s="24"/>
      <c r="AK687" s="24"/>
      <c r="AL687" s="24"/>
      <c r="AM687" s="24"/>
      <c r="AN687" s="24"/>
      <c r="AO687" s="24"/>
    </row>
    <row r="688" spans="1:41" s="5" customFormat="1" ht="12.75">
      <c r="A688" s="131" t="s">
        <v>8</v>
      </c>
      <c r="B688" s="114" t="s">
        <v>626</v>
      </c>
      <c r="C688" s="116" t="s">
        <v>69</v>
      </c>
      <c r="D688" s="116" t="s">
        <v>36</v>
      </c>
      <c r="E688" s="120"/>
      <c r="F688" s="117"/>
      <c r="G688" s="182">
        <f t="shared" si="36"/>
        <v>86.80000000000001</v>
      </c>
      <c r="H688" s="102"/>
      <c r="I688" s="102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  <c r="AI688" s="24"/>
      <c r="AJ688" s="24"/>
      <c r="AK688" s="24"/>
      <c r="AL688" s="24"/>
      <c r="AM688" s="24"/>
      <c r="AN688" s="24"/>
      <c r="AO688" s="24"/>
    </row>
    <row r="689" spans="1:41" s="5" customFormat="1" ht="12.75">
      <c r="A689" s="132" t="s">
        <v>613</v>
      </c>
      <c r="B689" s="118" t="s">
        <v>626</v>
      </c>
      <c r="C689" s="119" t="s">
        <v>69</v>
      </c>
      <c r="D689" s="119" t="s">
        <v>69</v>
      </c>
      <c r="E689" s="120"/>
      <c r="F689" s="117"/>
      <c r="G689" s="183">
        <f t="shared" si="36"/>
        <v>86.80000000000001</v>
      </c>
      <c r="H689" s="102"/>
      <c r="I689" s="102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  <c r="AH689" s="24"/>
      <c r="AI689" s="24"/>
      <c r="AJ689" s="24"/>
      <c r="AK689" s="24"/>
      <c r="AL689" s="24"/>
      <c r="AM689" s="24"/>
      <c r="AN689" s="24"/>
      <c r="AO689" s="24"/>
    </row>
    <row r="690" spans="1:41" s="5" customFormat="1" ht="22.5">
      <c r="A690" s="134" t="s">
        <v>105</v>
      </c>
      <c r="B690" s="118" t="s">
        <v>626</v>
      </c>
      <c r="C690" s="119" t="s">
        <v>69</v>
      </c>
      <c r="D690" s="119" t="s">
        <v>69</v>
      </c>
      <c r="E690" s="120" t="s">
        <v>106</v>
      </c>
      <c r="F690" s="117"/>
      <c r="G690" s="183">
        <f t="shared" si="36"/>
        <v>86.80000000000001</v>
      </c>
      <c r="H690" s="102"/>
      <c r="I690" s="102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  <c r="AH690" s="24"/>
      <c r="AI690" s="24"/>
      <c r="AJ690" s="24"/>
      <c r="AK690" s="24"/>
      <c r="AL690" s="24"/>
      <c r="AM690" s="24"/>
      <c r="AN690" s="24"/>
      <c r="AO690" s="24"/>
    </row>
    <row r="691" spans="1:41" s="5" customFormat="1" ht="12.75">
      <c r="A691" s="134" t="s">
        <v>111</v>
      </c>
      <c r="B691" s="118" t="s">
        <v>626</v>
      </c>
      <c r="C691" s="119" t="s">
        <v>69</v>
      </c>
      <c r="D691" s="119" t="s">
        <v>69</v>
      </c>
      <c r="E691" s="120" t="s">
        <v>112</v>
      </c>
      <c r="F691" s="117"/>
      <c r="G691" s="183">
        <f t="shared" si="36"/>
        <v>86.80000000000001</v>
      </c>
      <c r="H691" s="102"/>
      <c r="I691" s="102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  <c r="AH691" s="24"/>
      <c r="AI691" s="24"/>
      <c r="AJ691" s="24"/>
      <c r="AK691" s="24"/>
      <c r="AL691" s="24"/>
      <c r="AM691" s="24"/>
      <c r="AN691" s="24"/>
      <c r="AO691" s="24"/>
    </row>
    <row r="692" spans="1:41" s="5" customFormat="1" ht="12.75">
      <c r="A692" s="134" t="s">
        <v>115</v>
      </c>
      <c r="B692" s="118" t="s">
        <v>626</v>
      </c>
      <c r="C692" s="119" t="s">
        <v>69</v>
      </c>
      <c r="D692" s="119" t="s">
        <v>69</v>
      </c>
      <c r="E692" s="120" t="s">
        <v>116</v>
      </c>
      <c r="F692" s="117"/>
      <c r="G692" s="183">
        <f t="shared" si="36"/>
        <v>86.80000000000001</v>
      </c>
      <c r="H692" s="102"/>
      <c r="I692" s="102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  <c r="AH692" s="24"/>
      <c r="AI692" s="24"/>
      <c r="AJ692" s="24"/>
      <c r="AK692" s="24"/>
      <c r="AL692" s="24"/>
      <c r="AM692" s="24"/>
      <c r="AN692" s="24"/>
      <c r="AO692" s="24"/>
    </row>
    <row r="693" spans="1:41" s="5" customFormat="1" ht="13.5" customHeight="1">
      <c r="A693" s="132" t="s">
        <v>156</v>
      </c>
      <c r="B693" s="118" t="s">
        <v>626</v>
      </c>
      <c r="C693" s="119" t="s">
        <v>69</v>
      </c>
      <c r="D693" s="119" t="s">
        <v>69</v>
      </c>
      <c r="E693" s="120" t="s">
        <v>116</v>
      </c>
      <c r="F693" s="117">
        <v>725</v>
      </c>
      <c r="G693" s="183">
        <f>136.4-49.6</f>
        <v>86.80000000000001</v>
      </c>
      <c r="H693" s="102"/>
      <c r="I693" s="102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  <c r="AH693" s="24"/>
      <c r="AI693" s="24"/>
      <c r="AJ693" s="24"/>
      <c r="AK693" s="24"/>
      <c r="AL693" s="24"/>
      <c r="AM693" s="24"/>
      <c r="AN693" s="24"/>
      <c r="AO693" s="24"/>
    </row>
    <row r="694" spans="1:41" s="68" customFormat="1" ht="21.75" customHeight="1">
      <c r="A694" s="132" t="s">
        <v>605</v>
      </c>
      <c r="B694" s="114" t="s">
        <v>544</v>
      </c>
      <c r="C694" s="116"/>
      <c r="D694" s="116"/>
      <c r="E694" s="121"/>
      <c r="F694" s="113"/>
      <c r="G694" s="182">
        <f>G695</f>
        <v>100</v>
      </c>
      <c r="H694" s="106"/>
      <c r="I694" s="106"/>
      <c r="J694" s="100"/>
      <c r="K694" s="100"/>
      <c r="L694" s="100"/>
      <c r="M694" s="100"/>
      <c r="N694" s="100"/>
      <c r="O694" s="100"/>
      <c r="P694" s="100"/>
      <c r="Q694" s="100"/>
      <c r="R694" s="100"/>
      <c r="S694" s="100"/>
      <c r="T694" s="100"/>
      <c r="U694" s="100"/>
      <c r="V694" s="100"/>
      <c r="W694" s="100"/>
      <c r="X694" s="100"/>
      <c r="Y694" s="100"/>
      <c r="Z694" s="100"/>
      <c r="AA694" s="100"/>
      <c r="AB694" s="100"/>
      <c r="AC694" s="100"/>
      <c r="AD694" s="100"/>
      <c r="AE694" s="100"/>
      <c r="AF694" s="100"/>
      <c r="AG694" s="100"/>
      <c r="AH694" s="100"/>
      <c r="AI694" s="100"/>
      <c r="AJ694" s="100"/>
      <c r="AK694" s="100"/>
      <c r="AL694" s="100"/>
      <c r="AM694" s="100"/>
      <c r="AN694" s="100"/>
      <c r="AO694" s="100"/>
    </row>
    <row r="695" spans="1:41" s="68" customFormat="1" ht="12.75">
      <c r="A695" s="131" t="s">
        <v>8</v>
      </c>
      <c r="B695" s="114" t="s">
        <v>544</v>
      </c>
      <c r="C695" s="116" t="s">
        <v>69</v>
      </c>
      <c r="D695" s="116" t="s">
        <v>36</v>
      </c>
      <c r="E695" s="121"/>
      <c r="F695" s="113"/>
      <c r="G695" s="182">
        <f>G696</f>
        <v>100</v>
      </c>
      <c r="H695" s="106"/>
      <c r="I695" s="106"/>
      <c r="J695" s="100"/>
      <c r="K695" s="100"/>
      <c r="L695" s="100"/>
      <c r="M695" s="100"/>
      <c r="N695" s="100"/>
      <c r="O695" s="100"/>
      <c r="P695" s="100"/>
      <c r="Q695" s="100"/>
      <c r="R695" s="100"/>
      <c r="S695" s="100"/>
      <c r="T695" s="100"/>
      <c r="U695" s="100"/>
      <c r="V695" s="100"/>
      <c r="W695" s="100"/>
      <c r="X695" s="100"/>
      <c r="Y695" s="100"/>
      <c r="Z695" s="100"/>
      <c r="AA695" s="100"/>
      <c r="AB695" s="100"/>
      <c r="AC695" s="100"/>
      <c r="AD695" s="100"/>
      <c r="AE695" s="100"/>
      <c r="AF695" s="100"/>
      <c r="AG695" s="100"/>
      <c r="AH695" s="100"/>
      <c r="AI695" s="100"/>
      <c r="AJ695" s="100"/>
      <c r="AK695" s="100"/>
      <c r="AL695" s="100"/>
      <c r="AM695" s="100"/>
      <c r="AN695" s="100"/>
      <c r="AO695" s="100"/>
    </row>
    <row r="696" spans="1:41" s="5" customFormat="1" ht="12.75">
      <c r="A696" s="132" t="s">
        <v>613</v>
      </c>
      <c r="B696" s="118" t="s">
        <v>544</v>
      </c>
      <c r="C696" s="119" t="s">
        <v>69</v>
      </c>
      <c r="D696" s="119" t="s">
        <v>69</v>
      </c>
      <c r="E696" s="120"/>
      <c r="F696" s="117"/>
      <c r="G696" s="183">
        <f>G697</f>
        <v>100</v>
      </c>
      <c r="H696" s="102"/>
      <c r="I696" s="102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  <c r="AH696" s="24"/>
      <c r="AI696" s="24"/>
      <c r="AJ696" s="24"/>
      <c r="AK696" s="24"/>
      <c r="AL696" s="24"/>
      <c r="AM696" s="24"/>
      <c r="AN696" s="24"/>
      <c r="AO696" s="24"/>
    </row>
    <row r="697" spans="1:41" s="5" customFormat="1" ht="12.75">
      <c r="A697" s="134" t="s">
        <v>117</v>
      </c>
      <c r="B697" s="118" t="s">
        <v>544</v>
      </c>
      <c r="C697" s="119" t="s">
        <v>69</v>
      </c>
      <c r="D697" s="119" t="s">
        <v>69</v>
      </c>
      <c r="E697" s="120" t="s">
        <v>118</v>
      </c>
      <c r="F697" s="117"/>
      <c r="G697" s="183">
        <f>G698</f>
        <v>100</v>
      </c>
      <c r="H697" s="102"/>
      <c r="I697" s="102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  <c r="AH697" s="24"/>
      <c r="AI697" s="24"/>
      <c r="AJ697" s="24"/>
      <c r="AK697" s="24"/>
      <c r="AL697" s="24"/>
      <c r="AM697" s="24"/>
      <c r="AN697" s="24"/>
      <c r="AO697" s="24"/>
    </row>
    <row r="698" spans="1:41" s="5" customFormat="1" ht="22.5">
      <c r="A698" s="134" t="s">
        <v>137</v>
      </c>
      <c r="B698" s="118" t="s">
        <v>544</v>
      </c>
      <c r="C698" s="119" t="s">
        <v>69</v>
      </c>
      <c r="D698" s="119" t="s">
        <v>69</v>
      </c>
      <c r="E698" s="120" t="s">
        <v>136</v>
      </c>
      <c r="F698" s="117"/>
      <c r="G698" s="183">
        <f>G700</f>
        <v>100</v>
      </c>
      <c r="H698" s="102"/>
      <c r="I698" s="102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  <c r="AH698" s="24"/>
      <c r="AI698" s="24"/>
      <c r="AJ698" s="24"/>
      <c r="AK698" s="24"/>
      <c r="AL698" s="24"/>
      <c r="AM698" s="24"/>
      <c r="AN698" s="24"/>
      <c r="AO698" s="24"/>
    </row>
    <row r="699" spans="1:41" s="5" customFormat="1" ht="22.5">
      <c r="A699" s="134" t="s">
        <v>138</v>
      </c>
      <c r="B699" s="118" t="s">
        <v>544</v>
      </c>
      <c r="C699" s="119" t="s">
        <v>69</v>
      </c>
      <c r="D699" s="119" t="s">
        <v>69</v>
      </c>
      <c r="E699" s="120" t="s">
        <v>139</v>
      </c>
      <c r="F699" s="117"/>
      <c r="G699" s="183">
        <f>G700</f>
        <v>100</v>
      </c>
      <c r="H699" s="102"/>
      <c r="I699" s="102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  <c r="AI699" s="24"/>
      <c r="AJ699" s="24"/>
      <c r="AK699" s="24"/>
      <c r="AL699" s="24"/>
      <c r="AM699" s="24"/>
      <c r="AN699" s="24"/>
      <c r="AO699" s="24"/>
    </row>
    <row r="700" spans="1:41" s="5" customFormat="1" ht="13.5" customHeight="1">
      <c r="A700" s="132" t="s">
        <v>156</v>
      </c>
      <c r="B700" s="118" t="s">
        <v>544</v>
      </c>
      <c r="C700" s="119" t="s">
        <v>69</v>
      </c>
      <c r="D700" s="119" t="s">
        <v>69</v>
      </c>
      <c r="E700" s="120" t="s">
        <v>139</v>
      </c>
      <c r="F700" s="117">
        <v>725</v>
      </c>
      <c r="G700" s="183">
        <v>100</v>
      </c>
      <c r="H700" s="102"/>
      <c r="I700" s="102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  <c r="AI700" s="24"/>
      <c r="AJ700" s="24"/>
      <c r="AK700" s="24"/>
      <c r="AL700" s="24"/>
      <c r="AM700" s="24"/>
      <c r="AN700" s="24"/>
      <c r="AO700" s="24"/>
    </row>
    <row r="701" spans="1:41" s="5" customFormat="1" ht="32.25">
      <c r="A701" s="131" t="s">
        <v>573</v>
      </c>
      <c r="B701" s="114" t="s">
        <v>574</v>
      </c>
      <c r="C701" s="119"/>
      <c r="D701" s="119"/>
      <c r="E701" s="117"/>
      <c r="F701" s="117"/>
      <c r="G701" s="182">
        <f>G702</f>
        <v>6126.200000000001</v>
      </c>
      <c r="H701" s="102"/>
      <c r="I701" s="102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  <c r="AI701" s="24"/>
      <c r="AJ701" s="24"/>
      <c r="AK701" s="24"/>
      <c r="AL701" s="24"/>
      <c r="AM701" s="24"/>
      <c r="AN701" s="24"/>
      <c r="AO701" s="24"/>
    </row>
    <row r="702" spans="1:41" s="5" customFormat="1" ht="12.75">
      <c r="A702" s="131" t="s">
        <v>281</v>
      </c>
      <c r="B702" s="114" t="s">
        <v>575</v>
      </c>
      <c r="C702" s="119"/>
      <c r="D702" s="119"/>
      <c r="E702" s="117"/>
      <c r="F702" s="117"/>
      <c r="G702" s="182">
        <f>G703+G710</f>
        <v>6126.200000000001</v>
      </c>
      <c r="H702" s="102"/>
      <c r="I702" s="102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  <c r="AI702" s="24"/>
      <c r="AJ702" s="24"/>
      <c r="AK702" s="24"/>
      <c r="AL702" s="24"/>
      <c r="AM702" s="24"/>
      <c r="AN702" s="24"/>
      <c r="AO702" s="24"/>
    </row>
    <row r="703" spans="1:41" s="68" customFormat="1" ht="21.75">
      <c r="A703" s="131" t="s">
        <v>576</v>
      </c>
      <c r="B703" s="114" t="s">
        <v>577</v>
      </c>
      <c r="C703" s="116"/>
      <c r="D703" s="116"/>
      <c r="E703" s="113"/>
      <c r="F703" s="113"/>
      <c r="G703" s="182">
        <f>G705</f>
        <v>4316.6</v>
      </c>
      <c r="H703" s="106"/>
      <c r="I703" s="106"/>
      <c r="J703" s="100"/>
      <c r="K703" s="100"/>
      <c r="L703" s="100"/>
      <c r="M703" s="100"/>
      <c r="N703" s="100"/>
      <c r="O703" s="100"/>
      <c r="P703" s="100"/>
      <c r="Q703" s="100"/>
      <c r="R703" s="100"/>
      <c r="S703" s="100"/>
      <c r="T703" s="100"/>
      <c r="U703" s="100"/>
      <c r="V703" s="100"/>
      <c r="W703" s="100"/>
      <c r="X703" s="100"/>
      <c r="Y703" s="100"/>
      <c r="Z703" s="100"/>
      <c r="AA703" s="100"/>
      <c r="AB703" s="100"/>
      <c r="AC703" s="100"/>
      <c r="AD703" s="100"/>
      <c r="AE703" s="100"/>
      <c r="AF703" s="100"/>
      <c r="AG703" s="100"/>
      <c r="AH703" s="100"/>
      <c r="AI703" s="100"/>
      <c r="AJ703" s="100"/>
      <c r="AK703" s="100"/>
      <c r="AL703" s="100"/>
      <c r="AM703" s="100"/>
      <c r="AN703" s="100"/>
      <c r="AO703" s="100"/>
    </row>
    <row r="704" spans="1:41" s="68" customFormat="1" ht="12.75">
      <c r="A704" s="131" t="s">
        <v>5</v>
      </c>
      <c r="B704" s="114" t="s">
        <v>577</v>
      </c>
      <c r="C704" s="116" t="s">
        <v>68</v>
      </c>
      <c r="D704" s="116" t="s">
        <v>36</v>
      </c>
      <c r="E704" s="113"/>
      <c r="F704" s="113"/>
      <c r="G704" s="182">
        <f>G705</f>
        <v>4316.6</v>
      </c>
      <c r="H704" s="106"/>
      <c r="I704" s="106"/>
      <c r="J704" s="100"/>
      <c r="K704" s="100"/>
      <c r="L704" s="100"/>
      <c r="M704" s="100"/>
      <c r="N704" s="100"/>
      <c r="O704" s="100"/>
      <c r="P704" s="100"/>
      <c r="Q704" s="100"/>
      <c r="R704" s="100"/>
      <c r="S704" s="100"/>
      <c r="T704" s="100"/>
      <c r="U704" s="100"/>
      <c r="V704" s="100"/>
      <c r="W704" s="100"/>
      <c r="X704" s="100"/>
      <c r="Y704" s="100"/>
      <c r="Z704" s="100"/>
      <c r="AA704" s="100"/>
      <c r="AB704" s="100"/>
      <c r="AC704" s="100"/>
      <c r="AD704" s="100"/>
      <c r="AE704" s="100"/>
      <c r="AF704" s="100"/>
      <c r="AG704" s="100"/>
      <c r="AH704" s="100"/>
      <c r="AI704" s="100"/>
      <c r="AJ704" s="100"/>
      <c r="AK704" s="100"/>
      <c r="AL704" s="100"/>
      <c r="AM704" s="100"/>
      <c r="AN704" s="100"/>
      <c r="AO704" s="100"/>
    </row>
    <row r="705" spans="1:41" s="5" customFormat="1" ht="12.75">
      <c r="A705" s="132" t="s">
        <v>82</v>
      </c>
      <c r="B705" s="118" t="s">
        <v>577</v>
      </c>
      <c r="C705" s="119" t="s">
        <v>68</v>
      </c>
      <c r="D705" s="119" t="s">
        <v>75</v>
      </c>
      <c r="E705" s="117"/>
      <c r="F705" s="117"/>
      <c r="G705" s="183">
        <f>G706</f>
        <v>4316.6</v>
      </c>
      <c r="H705" s="102"/>
      <c r="I705" s="102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  <c r="AN705" s="24"/>
      <c r="AO705" s="24"/>
    </row>
    <row r="706" spans="1:41" s="5" customFormat="1" ht="22.5">
      <c r="A706" s="134" t="s">
        <v>610</v>
      </c>
      <c r="B706" s="118" t="s">
        <v>577</v>
      </c>
      <c r="C706" s="119" t="s">
        <v>68</v>
      </c>
      <c r="D706" s="119" t="s">
        <v>75</v>
      </c>
      <c r="E706" s="120" t="s">
        <v>104</v>
      </c>
      <c r="F706" s="117"/>
      <c r="G706" s="183">
        <f>G707</f>
        <v>4316.6</v>
      </c>
      <c r="H706" s="102"/>
      <c r="I706" s="102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AO706" s="24"/>
    </row>
    <row r="707" spans="1:41" s="5" customFormat="1" ht="22.5">
      <c r="A707" s="134" t="s">
        <v>98</v>
      </c>
      <c r="B707" s="118" t="s">
        <v>577</v>
      </c>
      <c r="C707" s="119" t="s">
        <v>68</v>
      </c>
      <c r="D707" s="119" t="s">
        <v>75</v>
      </c>
      <c r="E707" s="120" t="s">
        <v>99</v>
      </c>
      <c r="F707" s="117"/>
      <c r="G707" s="183">
        <f>G708</f>
        <v>4316.6</v>
      </c>
      <c r="H707" s="102"/>
      <c r="I707" s="102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4"/>
      <c r="AK707" s="24"/>
      <c r="AL707" s="24"/>
      <c r="AM707" s="24"/>
      <c r="AN707" s="24"/>
      <c r="AO707" s="24"/>
    </row>
    <row r="708" spans="1:41" s="5" customFormat="1" ht="22.5">
      <c r="A708" s="134" t="s">
        <v>100</v>
      </c>
      <c r="B708" s="118" t="s">
        <v>577</v>
      </c>
      <c r="C708" s="119" t="s">
        <v>68</v>
      </c>
      <c r="D708" s="119" t="s">
        <v>75</v>
      </c>
      <c r="E708" s="120" t="s">
        <v>101</v>
      </c>
      <c r="F708" s="117"/>
      <c r="G708" s="183">
        <f>G709</f>
        <v>4316.6</v>
      </c>
      <c r="H708" s="102"/>
      <c r="I708" s="102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  <c r="AI708" s="24"/>
      <c r="AJ708" s="24"/>
      <c r="AK708" s="24"/>
      <c r="AL708" s="24"/>
      <c r="AM708" s="24"/>
      <c r="AN708" s="24"/>
      <c r="AO708" s="24"/>
    </row>
    <row r="709" spans="1:41" s="5" customFormat="1" ht="22.5">
      <c r="A709" s="135" t="s">
        <v>566</v>
      </c>
      <c r="B709" s="118" t="s">
        <v>577</v>
      </c>
      <c r="C709" s="119" t="s">
        <v>68</v>
      </c>
      <c r="D709" s="119" t="s">
        <v>75</v>
      </c>
      <c r="E709" s="120" t="s">
        <v>101</v>
      </c>
      <c r="F709" s="117">
        <v>727</v>
      </c>
      <c r="G709" s="183">
        <v>4316.6</v>
      </c>
      <c r="H709" s="102"/>
      <c r="I709" s="102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  <c r="AI709" s="24"/>
      <c r="AJ709" s="24"/>
      <c r="AK709" s="24"/>
      <c r="AL709" s="24"/>
      <c r="AM709" s="24"/>
      <c r="AN709" s="24"/>
      <c r="AO709" s="24"/>
    </row>
    <row r="710" spans="1:41" s="68" customFormat="1" ht="53.25">
      <c r="A710" s="173" t="s">
        <v>836</v>
      </c>
      <c r="B710" s="114" t="s">
        <v>837</v>
      </c>
      <c r="C710" s="116"/>
      <c r="D710" s="116"/>
      <c r="E710" s="121"/>
      <c r="F710" s="113"/>
      <c r="G710" s="182">
        <f aca="true" t="shared" si="37" ref="G710:G715">G711</f>
        <v>1809.6</v>
      </c>
      <c r="H710" s="106"/>
      <c r="I710" s="106"/>
      <c r="J710" s="100"/>
      <c r="K710" s="100"/>
      <c r="L710" s="100"/>
      <c r="M710" s="100"/>
      <c r="N710" s="100"/>
      <c r="O710" s="100"/>
      <c r="P710" s="100"/>
      <c r="Q710" s="100"/>
      <c r="R710" s="100"/>
      <c r="S710" s="100"/>
      <c r="T710" s="100"/>
      <c r="U710" s="100"/>
      <c r="V710" s="100"/>
      <c r="W710" s="100"/>
      <c r="X710" s="100"/>
      <c r="Y710" s="100"/>
      <c r="Z710" s="100"/>
      <c r="AA710" s="100"/>
      <c r="AB710" s="100"/>
      <c r="AC710" s="100"/>
      <c r="AD710" s="100"/>
      <c r="AE710" s="100"/>
      <c r="AF710" s="100"/>
      <c r="AG710" s="100"/>
      <c r="AH710" s="100"/>
      <c r="AI710" s="100"/>
      <c r="AJ710" s="100"/>
      <c r="AK710" s="100"/>
      <c r="AL710" s="100"/>
      <c r="AM710" s="100"/>
      <c r="AN710" s="100"/>
      <c r="AO710" s="100"/>
    </row>
    <row r="711" spans="1:41" s="68" customFormat="1" ht="12.75">
      <c r="A711" s="131" t="s">
        <v>5</v>
      </c>
      <c r="B711" s="114" t="s">
        <v>837</v>
      </c>
      <c r="C711" s="116" t="s">
        <v>68</v>
      </c>
      <c r="D711" s="116" t="s">
        <v>36</v>
      </c>
      <c r="E711" s="121"/>
      <c r="F711" s="113"/>
      <c r="G711" s="182">
        <f t="shared" si="37"/>
        <v>1809.6</v>
      </c>
      <c r="H711" s="106"/>
      <c r="I711" s="106"/>
      <c r="J711" s="100"/>
      <c r="K711" s="100"/>
      <c r="L711" s="100"/>
      <c r="M711" s="100"/>
      <c r="N711" s="100"/>
      <c r="O711" s="100"/>
      <c r="P711" s="100"/>
      <c r="Q711" s="100"/>
      <c r="R711" s="100"/>
      <c r="S711" s="100"/>
      <c r="T711" s="100"/>
      <c r="U711" s="100"/>
      <c r="V711" s="100"/>
      <c r="W711" s="100"/>
      <c r="X711" s="100"/>
      <c r="Y711" s="100"/>
      <c r="Z711" s="100"/>
      <c r="AA711" s="100"/>
      <c r="AB711" s="100"/>
      <c r="AC711" s="100"/>
      <c r="AD711" s="100"/>
      <c r="AE711" s="100"/>
      <c r="AF711" s="100"/>
      <c r="AG711" s="100"/>
      <c r="AH711" s="100"/>
      <c r="AI711" s="100"/>
      <c r="AJ711" s="100"/>
      <c r="AK711" s="100"/>
      <c r="AL711" s="100"/>
      <c r="AM711" s="100"/>
      <c r="AN711" s="100"/>
      <c r="AO711" s="100"/>
    </row>
    <row r="712" spans="1:41" s="5" customFormat="1" ht="12.75">
      <c r="A712" s="132" t="s">
        <v>82</v>
      </c>
      <c r="B712" s="118" t="s">
        <v>837</v>
      </c>
      <c r="C712" s="119" t="s">
        <v>68</v>
      </c>
      <c r="D712" s="119" t="s">
        <v>75</v>
      </c>
      <c r="E712" s="120"/>
      <c r="F712" s="117"/>
      <c r="G712" s="183">
        <f t="shared" si="37"/>
        <v>1809.6</v>
      </c>
      <c r="H712" s="102"/>
      <c r="I712" s="102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  <c r="AI712" s="24"/>
      <c r="AJ712" s="24"/>
      <c r="AK712" s="24"/>
      <c r="AL712" s="24"/>
      <c r="AM712" s="24"/>
      <c r="AN712" s="24"/>
      <c r="AO712" s="24"/>
    </row>
    <row r="713" spans="1:41" s="5" customFormat="1" ht="12.75">
      <c r="A713" s="179" t="s">
        <v>128</v>
      </c>
      <c r="B713" s="118" t="s">
        <v>837</v>
      </c>
      <c r="C713" s="119" t="s">
        <v>68</v>
      </c>
      <c r="D713" s="119" t="s">
        <v>75</v>
      </c>
      <c r="E713" s="120" t="s">
        <v>129</v>
      </c>
      <c r="F713" s="117"/>
      <c r="G713" s="183">
        <f t="shared" si="37"/>
        <v>1809.6</v>
      </c>
      <c r="H713" s="102"/>
      <c r="I713" s="102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  <c r="AJ713" s="24"/>
      <c r="AK713" s="24"/>
      <c r="AL713" s="24"/>
      <c r="AM713" s="24"/>
      <c r="AN713" s="24"/>
      <c r="AO713" s="24"/>
    </row>
    <row r="714" spans="1:41" s="5" customFormat="1" ht="33.75">
      <c r="A714" s="179" t="s">
        <v>164</v>
      </c>
      <c r="B714" s="118" t="s">
        <v>837</v>
      </c>
      <c r="C714" s="119" t="s">
        <v>68</v>
      </c>
      <c r="D714" s="119" t="s">
        <v>75</v>
      </c>
      <c r="E714" s="120" t="s">
        <v>130</v>
      </c>
      <c r="F714" s="117"/>
      <c r="G714" s="183">
        <f t="shared" si="37"/>
        <v>1809.6</v>
      </c>
      <c r="H714" s="102"/>
      <c r="I714" s="102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  <c r="AJ714" s="24"/>
      <c r="AK714" s="24"/>
      <c r="AL714" s="24"/>
      <c r="AM714" s="24"/>
      <c r="AN714" s="24"/>
      <c r="AO714" s="24"/>
    </row>
    <row r="715" spans="1:41" s="5" customFormat="1" ht="33.75">
      <c r="A715" s="179" t="s">
        <v>609</v>
      </c>
      <c r="B715" s="118" t="s">
        <v>837</v>
      </c>
      <c r="C715" s="119" t="s">
        <v>68</v>
      </c>
      <c r="D715" s="119" t="s">
        <v>75</v>
      </c>
      <c r="E715" s="120" t="s">
        <v>608</v>
      </c>
      <c r="F715" s="117"/>
      <c r="G715" s="183">
        <f t="shared" si="37"/>
        <v>1809.6</v>
      </c>
      <c r="H715" s="102"/>
      <c r="I715" s="102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  <c r="AJ715" s="24"/>
      <c r="AK715" s="24"/>
      <c r="AL715" s="24"/>
      <c r="AM715" s="24"/>
      <c r="AN715" s="24"/>
      <c r="AO715" s="24"/>
    </row>
    <row r="716" spans="1:41" s="5" customFormat="1" ht="12.75">
      <c r="A716" s="132" t="s">
        <v>153</v>
      </c>
      <c r="B716" s="118" t="s">
        <v>837</v>
      </c>
      <c r="C716" s="119" t="s">
        <v>68</v>
      </c>
      <c r="D716" s="119" t="s">
        <v>75</v>
      </c>
      <c r="E716" s="120" t="s">
        <v>608</v>
      </c>
      <c r="F716" s="117">
        <v>721</v>
      </c>
      <c r="G716" s="183">
        <v>1809.6</v>
      </c>
      <c r="H716" s="102"/>
      <c r="I716" s="102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  <c r="AJ716" s="24"/>
      <c r="AK716" s="24"/>
      <c r="AL716" s="24"/>
      <c r="AM716" s="24"/>
      <c r="AN716" s="24"/>
      <c r="AO716" s="24"/>
    </row>
    <row r="717" spans="1:41" s="5" customFormat="1" ht="21.75" customHeight="1">
      <c r="A717" s="131" t="s">
        <v>552</v>
      </c>
      <c r="B717" s="114" t="s">
        <v>200</v>
      </c>
      <c r="C717" s="119"/>
      <c r="D717" s="119"/>
      <c r="E717" s="120"/>
      <c r="F717" s="117"/>
      <c r="G717" s="182">
        <f>G746+G718+G765+G773</f>
        <v>2634.7</v>
      </c>
      <c r="H717" s="102"/>
      <c r="I717" s="102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24"/>
      <c r="AK717" s="24"/>
      <c r="AL717" s="24"/>
      <c r="AM717" s="24"/>
      <c r="AN717" s="24"/>
      <c r="AO717" s="24"/>
    </row>
    <row r="718" spans="1:41" s="57" customFormat="1" ht="21" customHeight="1">
      <c r="A718" s="131" t="s">
        <v>553</v>
      </c>
      <c r="B718" s="114" t="s">
        <v>350</v>
      </c>
      <c r="C718" s="116"/>
      <c r="D718" s="116"/>
      <c r="E718" s="121"/>
      <c r="F718" s="113"/>
      <c r="G718" s="182">
        <f>G739+G732+G719+G726</f>
        <v>116.19999999999999</v>
      </c>
      <c r="H718" s="106"/>
      <c r="I718" s="106"/>
      <c r="J718" s="106"/>
      <c r="K718" s="106"/>
      <c r="L718" s="106"/>
      <c r="M718" s="106"/>
      <c r="N718" s="106"/>
      <c r="O718" s="106"/>
      <c r="P718" s="106"/>
      <c r="Q718" s="106"/>
      <c r="R718" s="106"/>
      <c r="S718" s="106"/>
      <c r="T718" s="106"/>
      <c r="U718" s="106"/>
      <c r="V718" s="106"/>
      <c r="W718" s="106"/>
      <c r="X718" s="106"/>
      <c r="Y718" s="106"/>
      <c r="Z718" s="106"/>
      <c r="AA718" s="106"/>
      <c r="AB718" s="106"/>
      <c r="AC718" s="106"/>
      <c r="AD718" s="106"/>
      <c r="AE718" s="106"/>
      <c r="AF718" s="106"/>
      <c r="AG718" s="106"/>
      <c r="AH718" s="106"/>
      <c r="AI718" s="106"/>
      <c r="AJ718" s="106"/>
      <c r="AK718" s="106"/>
      <c r="AL718" s="106"/>
      <c r="AM718" s="106"/>
      <c r="AN718" s="106"/>
      <c r="AO718" s="106"/>
    </row>
    <row r="719" spans="1:41" s="57" customFormat="1" ht="20.25" customHeight="1">
      <c r="A719" s="136" t="s">
        <v>803</v>
      </c>
      <c r="B719" s="115" t="s">
        <v>670</v>
      </c>
      <c r="C719" s="116"/>
      <c r="D719" s="116"/>
      <c r="E719" s="121"/>
      <c r="F719" s="113"/>
      <c r="G719" s="182">
        <f aca="true" t="shared" si="38" ref="G719:G724">G720</f>
        <v>2.6</v>
      </c>
      <c r="H719" s="221"/>
      <c r="I719" s="106"/>
      <c r="J719" s="106"/>
      <c r="K719" s="106"/>
      <c r="L719" s="106"/>
      <c r="M719" s="106"/>
      <c r="N719" s="106"/>
      <c r="O719" s="106"/>
      <c r="P719" s="106"/>
      <c r="Q719" s="106"/>
      <c r="R719" s="106"/>
      <c r="S719" s="106"/>
      <c r="T719" s="106"/>
      <c r="U719" s="106"/>
      <c r="V719" s="106"/>
      <c r="W719" s="106"/>
      <c r="X719" s="106"/>
      <c r="Y719" s="106"/>
      <c r="Z719" s="106"/>
      <c r="AA719" s="106"/>
      <c r="AB719" s="106"/>
      <c r="AC719" s="106"/>
      <c r="AD719" s="106"/>
      <c r="AE719" s="106"/>
      <c r="AF719" s="106"/>
      <c r="AG719" s="106"/>
      <c r="AH719" s="106"/>
      <c r="AI719" s="106"/>
      <c r="AJ719" s="106"/>
      <c r="AK719" s="106"/>
      <c r="AL719" s="106"/>
      <c r="AM719" s="106"/>
      <c r="AN719" s="106"/>
      <c r="AO719" s="106"/>
    </row>
    <row r="720" spans="1:41" s="57" customFormat="1" ht="13.5" customHeight="1">
      <c r="A720" s="136" t="s">
        <v>145</v>
      </c>
      <c r="B720" s="122" t="s">
        <v>670</v>
      </c>
      <c r="C720" s="116" t="s">
        <v>73</v>
      </c>
      <c r="D720" s="116" t="s">
        <v>36</v>
      </c>
      <c r="E720" s="121"/>
      <c r="F720" s="113"/>
      <c r="G720" s="182">
        <f t="shared" si="38"/>
        <v>2.6</v>
      </c>
      <c r="H720" s="106"/>
      <c r="I720" s="106"/>
      <c r="J720" s="106"/>
      <c r="K720" s="106"/>
      <c r="L720" s="106"/>
      <c r="M720" s="106"/>
      <c r="N720" s="106"/>
      <c r="O720" s="106"/>
      <c r="P720" s="106"/>
      <c r="Q720" s="106"/>
      <c r="R720" s="106"/>
      <c r="S720" s="106"/>
      <c r="T720" s="106"/>
      <c r="U720" s="106"/>
      <c r="V720" s="106"/>
      <c r="W720" s="106"/>
      <c r="X720" s="106"/>
      <c r="Y720" s="106"/>
      <c r="Z720" s="106"/>
      <c r="AA720" s="106"/>
      <c r="AB720" s="106"/>
      <c r="AC720" s="106"/>
      <c r="AD720" s="106"/>
      <c r="AE720" s="106"/>
      <c r="AF720" s="106"/>
      <c r="AG720" s="106"/>
      <c r="AH720" s="106"/>
      <c r="AI720" s="106"/>
      <c r="AJ720" s="106"/>
      <c r="AK720" s="106"/>
      <c r="AL720" s="106"/>
      <c r="AM720" s="106"/>
      <c r="AN720" s="106"/>
      <c r="AO720" s="106"/>
    </row>
    <row r="721" spans="1:41" s="11" customFormat="1" ht="12" customHeight="1">
      <c r="A721" s="134" t="s">
        <v>12</v>
      </c>
      <c r="B721" s="122" t="s">
        <v>670</v>
      </c>
      <c r="C721" s="119" t="s">
        <v>73</v>
      </c>
      <c r="D721" s="119" t="s">
        <v>66</v>
      </c>
      <c r="E721" s="120"/>
      <c r="F721" s="117"/>
      <c r="G721" s="183">
        <f t="shared" si="38"/>
        <v>2.6</v>
      </c>
      <c r="H721" s="102"/>
      <c r="I721" s="102"/>
      <c r="J721" s="102"/>
      <c r="K721" s="102"/>
      <c r="L721" s="102"/>
      <c r="M721" s="102"/>
      <c r="N721" s="102"/>
      <c r="O721" s="102"/>
      <c r="P721" s="102"/>
      <c r="Q721" s="102"/>
      <c r="R721" s="102"/>
      <c r="S721" s="102"/>
      <c r="T721" s="102"/>
      <c r="U721" s="102"/>
      <c r="V721" s="102"/>
      <c r="W721" s="102"/>
      <c r="X721" s="102"/>
      <c r="Y721" s="102"/>
      <c r="Z721" s="102"/>
      <c r="AA721" s="102"/>
      <c r="AB721" s="102"/>
      <c r="AC721" s="102"/>
      <c r="AD721" s="102"/>
      <c r="AE721" s="102"/>
      <c r="AF721" s="102"/>
      <c r="AG721" s="102"/>
      <c r="AH721" s="102"/>
      <c r="AI721" s="102"/>
      <c r="AJ721" s="102"/>
      <c r="AK721" s="102"/>
      <c r="AL721" s="102"/>
      <c r="AM721" s="102"/>
      <c r="AN721" s="102"/>
      <c r="AO721" s="102"/>
    </row>
    <row r="722" spans="1:41" s="11" customFormat="1" ht="22.5" customHeight="1">
      <c r="A722" s="134" t="s">
        <v>105</v>
      </c>
      <c r="B722" s="122" t="s">
        <v>670</v>
      </c>
      <c r="C722" s="120" t="s">
        <v>73</v>
      </c>
      <c r="D722" s="120" t="s">
        <v>66</v>
      </c>
      <c r="E722" s="120" t="s">
        <v>106</v>
      </c>
      <c r="F722" s="117"/>
      <c r="G722" s="183">
        <f t="shared" si="38"/>
        <v>2.6</v>
      </c>
      <c r="H722" s="102"/>
      <c r="I722" s="102"/>
      <c r="J722" s="102"/>
      <c r="K722" s="102"/>
      <c r="L722" s="102"/>
      <c r="M722" s="102"/>
      <c r="N722" s="102"/>
      <c r="O722" s="102"/>
      <c r="P722" s="102"/>
      <c r="Q722" s="102"/>
      <c r="R722" s="102"/>
      <c r="S722" s="102"/>
      <c r="T722" s="102"/>
      <c r="U722" s="102"/>
      <c r="V722" s="102"/>
      <c r="W722" s="102"/>
      <c r="X722" s="102"/>
      <c r="Y722" s="102"/>
      <c r="Z722" s="102"/>
      <c r="AA722" s="102"/>
      <c r="AB722" s="102"/>
      <c r="AC722" s="102"/>
      <c r="AD722" s="102"/>
      <c r="AE722" s="102"/>
      <c r="AF722" s="102"/>
      <c r="AG722" s="102"/>
      <c r="AH722" s="102"/>
      <c r="AI722" s="102"/>
      <c r="AJ722" s="102"/>
      <c r="AK722" s="102"/>
      <c r="AL722" s="102"/>
      <c r="AM722" s="102"/>
      <c r="AN722" s="102"/>
      <c r="AO722" s="102"/>
    </row>
    <row r="723" spans="1:41" s="11" customFormat="1" ht="12.75" customHeight="1">
      <c r="A723" s="134" t="s">
        <v>111</v>
      </c>
      <c r="B723" s="122" t="s">
        <v>670</v>
      </c>
      <c r="C723" s="120" t="s">
        <v>73</v>
      </c>
      <c r="D723" s="120" t="s">
        <v>66</v>
      </c>
      <c r="E723" s="120" t="s">
        <v>112</v>
      </c>
      <c r="F723" s="117"/>
      <c r="G723" s="183">
        <f t="shared" si="38"/>
        <v>2.6</v>
      </c>
      <c r="H723" s="102"/>
      <c r="I723" s="102"/>
      <c r="J723" s="102"/>
      <c r="K723" s="102"/>
      <c r="L723" s="102"/>
      <c r="M723" s="102"/>
      <c r="N723" s="102"/>
      <c r="O723" s="102"/>
      <c r="P723" s="102"/>
      <c r="Q723" s="102"/>
      <c r="R723" s="102"/>
      <c r="S723" s="102"/>
      <c r="T723" s="102"/>
      <c r="U723" s="102"/>
      <c r="V723" s="102"/>
      <c r="W723" s="102"/>
      <c r="X723" s="102"/>
      <c r="Y723" s="102"/>
      <c r="Z723" s="102"/>
      <c r="AA723" s="102"/>
      <c r="AB723" s="102"/>
      <c r="AC723" s="102"/>
      <c r="AD723" s="102"/>
      <c r="AE723" s="102"/>
      <c r="AF723" s="102"/>
      <c r="AG723" s="102"/>
      <c r="AH723" s="102"/>
      <c r="AI723" s="102"/>
      <c r="AJ723" s="102"/>
      <c r="AK723" s="102"/>
      <c r="AL723" s="102"/>
      <c r="AM723" s="102"/>
      <c r="AN723" s="102"/>
      <c r="AO723" s="102"/>
    </row>
    <row r="724" spans="1:41" s="11" customFormat="1" ht="15" customHeight="1">
      <c r="A724" s="134" t="s">
        <v>115</v>
      </c>
      <c r="B724" s="122" t="s">
        <v>670</v>
      </c>
      <c r="C724" s="120" t="s">
        <v>73</v>
      </c>
      <c r="D724" s="120" t="s">
        <v>66</v>
      </c>
      <c r="E724" s="120" t="s">
        <v>116</v>
      </c>
      <c r="F724" s="117"/>
      <c r="G724" s="183">
        <f t="shared" si="38"/>
        <v>2.6</v>
      </c>
      <c r="H724" s="102"/>
      <c r="I724" s="102"/>
      <c r="J724" s="102"/>
      <c r="K724" s="102"/>
      <c r="L724" s="102"/>
      <c r="M724" s="102"/>
      <c r="N724" s="102"/>
      <c r="O724" s="102"/>
      <c r="P724" s="102"/>
      <c r="Q724" s="102"/>
      <c r="R724" s="102"/>
      <c r="S724" s="102"/>
      <c r="T724" s="102"/>
      <c r="U724" s="102"/>
      <c r="V724" s="102"/>
      <c r="W724" s="102"/>
      <c r="X724" s="102"/>
      <c r="Y724" s="102"/>
      <c r="Z724" s="102"/>
      <c r="AA724" s="102"/>
      <c r="AB724" s="102"/>
      <c r="AC724" s="102"/>
      <c r="AD724" s="102"/>
      <c r="AE724" s="102"/>
      <c r="AF724" s="102"/>
      <c r="AG724" s="102"/>
      <c r="AH724" s="102"/>
      <c r="AI724" s="102"/>
      <c r="AJ724" s="102"/>
      <c r="AK724" s="102"/>
      <c r="AL724" s="102"/>
      <c r="AM724" s="102"/>
      <c r="AN724" s="102"/>
      <c r="AO724" s="102"/>
    </row>
    <row r="725" spans="1:41" s="11" customFormat="1" ht="24.75" customHeight="1">
      <c r="A725" s="132" t="s">
        <v>157</v>
      </c>
      <c r="B725" s="122" t="s">
        <v>670</v>
      </c>
      <c r="C725" s="120" t="s">
        <v>73</v>
      </c>
      <c r="D725" s="120" t="s">
        <v>66</v>
      </c>
      <c r="E725" s="120" t="s">
        <v>116</v>
      </c>
      <c r="F725" s="117">
        <v>726</v>
      </c>
      <c r="G725" s="183">
        <v>2.6</v>
      </c>
      <c r="H725" s="102"/>
      <c r="I725" s="102"/>
      <c r="J725" s="102"/>
      <c r="K725" s="102"/>
      <c r="L725" s="102"/>
      <c r="M725" s="102"/>
      <c r="N725" s="102"/>
      <c r="O725" s="102"/>
      <c r="P725" s="102"/>
      <c r="Q725" s="102"/>
      <c r="R725" s="102"/>
      <c r="S725" s="102"/>
      <c r="T725" s="102"/>
      <c r="U725" s="102"/>
      <c r="V725" s="102"/>
      <c r="W725" s="102"/>
      <c r="X725" s="102"/>
      <c r="Y725" s="102"/>
      <c r="Z725" s="102"/>
      <c r="AA725" s="102"/>
      <c r="AB725" s="102"/>
      <c r="AC725" s="102"/>
      <c r="AD725" s="102"/>
      <c r="AE725" s="102"/>
      <c r="AF725" s="102"/>
      <c r="AG725" s="102"/>
      <c r="AH725" s="102"/>
      <c r="AI725" s="102"/>
      <c r="AJ725" s="102"/>
      <c r="AK725" s="102"/>
      <c r="AL725" s="102"/>
      <c r="AM725" s="102"/>
      <c r="AN725" s="102"/>
      <c r="AO725" s="102"/>
    </row>
    <row r="726" spans="1:41" s="11" customFormat="1" ht="26.25" customHeight="1">
      <c r="A726" s="131" t="s">
        <v>800</v>
      </c>
      <c r="B726" s="115" t="s">
        <v>825</v>
      </c>
      <c r="C726" s="120"/>
      <c r="D726" s="120"/>
      <c r="E726" s="120"/>
      <c r="F726" s="117"/>
      <c r="G726" s="182">
        <f>G727</f>
        <v>0.4</v>
      </c>
      <c r="H726" s="102"/>
      <c r="I726" s="102"/>
      <c r="J726" s="102"/>
      <c r="K726" s="102"/>
      <c r="L726" s="102"/>
      <c r="M726" s="102"/>
      <c r="N726" s="102"/>
      <c r="O726" s="102"/>
      <c r="P726" s="102"/>
      <c r="Q726" s="102"/>
      <c r="R726" s="102"/>
      <c r="S726" s="102"/>
      <c r="T726" s="102"/>
      <c r="U726" s="102"/>
      <c r="V726" s="102"/>
      <c r="W726" s="102"/>
      <c r="X726" s="102"/>
      <c r="Y726" s="102"/>
      <c r="Z726" s="102"/>
      <c r="AA726" s="102"/>
      <c r="AB726" s="102"/>
      <c r="AC726" s="102"/>
      <c r="AD726" s="102"/>
      <c r="AE726" s="102"/>
      <c r="AF726" s="102"/>
      <c r="AG726" s="102"/>
      <c r="AH726" s="102"/>
      <c r="AI726" s="102"/>
      <c r="AJ726" s="102"/>
      <c r="AK726" s="102"/>
      <c r="AL726" s="102"/>
      <c r="AM726" s="102"/>
      <c r="AN726" s="102"/>
      <c r="AO726" s="102"/>
    </row>
    <row r="727" spans="1:41" s="11" customFormat="1" ht="18" customHeight="1">
      <c r="A727" s="136" t="s">
        <v>145</v>
      </c>
      <c r="B727" s="122" t="s">
        <v>825</v>
      </c>
      <c r="C727" s="116" t="s">
        <v>73</v>
      </c>
      <c r="D727" s="116" t="s">
        <v>36</v>
      </c>
      <c r="E727" s="120"/>
      <c r="F727" s="117"/>
      <c r="G727" s="183">
        <f>G728</f>
        <v>0.4</v>
      </c>
      <c r="H727" s="102"/>
      <c r="I727" s="102"/>
      <c r="J727" s="102"/>
      <c r="K727" s="102"/>
      <c r="L727" s="102"/>
      <c r="M727" s="102"/>
      <c r="N727" s="102"/>
      <c r="O727" s="102"/>
      <c r="P727" s="102"/>
      <c r="Q727" s="102"/>
      <c r="R727" s="102"/>
      <c r="S727" s="102"/>
      <c r="T727" s="102"/>
      <c r="U727" s="102"/>
      <c r="V727" s="102"/>
      <c r="W727" s="102"/>
      <c r="X727" s="102"/>
      <c r="Y727" s="102"/>
      <c r="Z727" s="102"/>
      <c r="AA727" s="102"/>
      <c r="AB727" s="102"/>
      <c r="AC727" s="102"/>
      <c r="AD727" s="102"/>
      <c r="AE727" s="102"/>
      <c r="AF727" s="102"/>
      <c r="AG727" s="102"/>
      <c r="AH727" s="102"/>
      <c r="AI727" s="102"/>
      <c r="AJ727" s="102"/>
      <c r="AK727" s="102"/>
      <c r="AL727" s="102"/>
      <c r="AM727" s="102"/>
      <c r="AN727" s="102"/>
      <c r="AO727" s="102"/>
    </row>
    <row r="728" spans="1:41" s="11" customFormat="1" ht="24.75" customHeight="1">
      <c r="A728" s="134" t="s">
        <v>105</v>
      </c>
      <c r="B728" s="122" t="s">
        <v>825</v>
      </c>
      <c r="C728" s="120" t="s">
        <v>73</v>
      </c>
      <c r="D728" s="120" t="s">
        <v>66</v>
      </c>
      <c r="E728" s="120" t="s">
        <v>106</v>
      </c>
      <c r="F728" s="117"/>
      <c r="G728" s="183">
        <f>G729</f>
        <v>0.4</v>
      </c>
      <c r="H728" s="102"/>
      <c r="I728" s="102"/>
      <c r="J728" s="102"/>
      <c r="K728" s="102"/>
      <c r="L728" s="102"/>
      <c r="M728" s="102"/>
      <c r="N728" s="102"/>
      <c r="O728" s="102"/>
      <c r="P728" s="102"/>
      <c r="Q728" s="102"/>
      <c r="R728" s="102"/>
      <c r="S728" s="102"/>
      <c r="T728" s="102"/>
      <c r="U728" s="102"/>
      <c r="V728" s="102"/>
      <c r="W728" s="102"/>
      <c r="X728" s="102"/>
      <c r="Y728" s="102"/>
      <c r="Z728" s="102"/>
      <c r="AA728" s="102"/>
      <c r="AB728" s="102"/>
      <c r="AC728" s="102"/>
      <c r="AD728" s="102"/>
      <c r="AE728" s="102"/>
      <c r="AF728" s="102"/>
      <c r="AG728" s="102"/>
      <c r="AH728" s="102"/>
      <c r="AI728" s="102"/>
      <c r="AJ728" s="102"/>
      <c r="AK728" s="102"/>
      <c r="AL728" s="102"/>
      <c r="AM728" s="102"/>
      <c r="AN728" s="102"/>
      <c r="AO728" s="102"/>
    </row>
    <row r="729" spans="1:41" s="11" customFormat="1" ht="17.25" customHeight="1">
      <c r="A729" s="134" t="s">
        <v>111</v>
      </c>
      <c r="B729" s="122" t="s">
        <v>825</v>
      </c>
      <c r="C729" s="120" t="s">
        <v>73</v>
      </c>
      <c r="D729" s="120" t="s">
        <v>66</v>
      </c>
      <c r="E729" s="120" t="s">
        <v>112</v>
      </c>
      <c r="F729" s="117"/>
      <c r="G729" s="183">
        <f>G730</f>
        <v>0.4</v>
      </c>
      <c r="H729" s="102"/>
      <c r="I729" s="102"/>
      <c r="J729" s="102"/>
      <c r="K729" s="102"/>
      <c r="L729" s="102"/>
      <c r="M729" s="102"/>
      <c r="N729" s="102"/>
      <c r="O729" s="102"/>
      <c r="P729" s="102"/>
      <c r="Q729" s="102"/>
      <c r="R729" s="102"/>
      <c r="S729" s="102"/>
      <c r="T729" s="102"/>
      <c r="U729" s="102"/>
      <c r="V729" s="102"/>
      <c r="W729" s="102"/>
      <c r="X729" s="102"/>
      <c r="Y729" s="102"/>
      <c r="Z729" s="102"/>
      <c r="AA729" s="102"/>
      <c r="AB729" s="102"/>
      <c r="AC729" s="102"/>
      <c r="AD729" s="102"/>
      <c r="AE729" s="102"/>
      <c r="AF729" s="102"/>
      <c r="AG729" s="102"/>
      <c r="AH729" s="102"/>
      <c r="AI729" s="102"/>
      <c r="AJ729" s="102"/>
      <c r="AK729" s="102"/>
      <c r="AL729" s="102"/>
      <c r="AM729" s="102"/>
      <c r="AN729" s="102"/>
      <c r="AO729" s="102"/>
    </row>
    <row r="730" spans="1:41" s="11" customFormat="1" ht="24.75" customHeight="1">
      <c r="A730" s="134" t="s">
        <v>115</v>
      </c>
      <c r="B730" s="122" t="s">
        <v>825</v>
      </c>
      <c r="C730" s="120" t="s">
        <v>73</v>
      </c>
      <c r="D730" s="120" t="s">
        <v>66</v>
      </c>
      <c r="E730" s="120" t="s">
        <v>116</v>
      </c>
      <c r="F730" s="117"/>
      <c r="G730" s="183">
        <f>G731</f>
        <v>0.4</v>
      </c>
      <c r="H730" s="102"/>
      <c r="I730" s="102"/>
      <c r="J730" s="102"/>
      <c r="K730" s="102"/>
      <c r="L730" s="102"/>
      <c r="M730" s="102"/>
      <c r="N730" s="102"/>
      <c r="O730" s="102"/>
      <c r="P730" s="102"/>
      <c r="Q730" s="102"/>
      <c r="R730" s="102"/>
      <c r="S730" s="102"/>
      <c r="T730" s="102"/>
      <c r="U730" s="102"/>
      <c r="V730" s="102"/>
      <c r="W730" s="102"/>
      <c r="X730" s="102"/>
      <c r="Y730" s="102"/>
      <c r="Z730" s="102"/>
      <c r="AA730" s="102"/>
      <c r="AB730" s="102"/>
      <c r="AC730" s="102"/>
      <c r="AD730" s="102"/>
      <c r="AE730" s="102"/>
      <c r="AF730" s="102"/>
      <c r="AG730" s="102"/>
      <c r="AH730" s="102"/>
      <c r="AI730" s="102"/>
      <c r="AJ730" s="102"/>
      <c r="AK730" s="102"/>
      <c r="AL730" s="102"/>
      <c r="AM730" s="102"/>
      <c r="AN730" s="102"/>
      <c r="AO730" s="102"/>
    </row>
    <row r="731" spans="1:41" s="11" customFormat="1" ht="24.75" customHeight="1">
      <c r="A731" s="132" t="s">
        <v>157</v>
      </c>
      <c r="B731" s="122" t="s">
        <v>825</v>
      </c>
      <c r="C731" s="120" t="s">
        <v>73</v>
      </c>
      <c r="D731" s="120" t="s">
        <v>66</v>
      </c>
      <c r="E731" s="120" t="s">
        <v>116</v>
      </c>
      <c r="F731" s="117">
        <v>726</v>
      </c>
      <c r="G731" s="183">
        <v>0.4</v>
      </c>
      <c r="H731" s="102"/>
      <c r="I731" s="102"/>
      <c r="J731" s="102"/>
      <c r="K731" s="102"/>
      <c r="L731" s="102"/>
      <c r="M731" s="102"/>
      <c r="N731" s="102"/>
      <c r="O731" s="102"/>
      <c r="P731" s="102"/>
      <c r="Q731" s="102"/>
      <c r="R731" s="102"/>
      <c r="S731" s="102"/>
      <c r="T731" s="102"/>
      <c r="U731" s="102"/>
      <c r="V731" s="102"/>
      <c r="W731" s="102"/>
      <c r="X731" s="102"/>
      <c r="Y731" s="102"/>
      <c r="Z731" s="102"/>
      <c r="AA731" s="102"/>
      <c r="AB731" s="102"/>
      <c r="AC731" s="102"/>
      <c r="AD731" s="102"/>
      <c r="AE731" s="102"/>
      <c r="AF731" s="102"/>
      <c r="AG731" s="102"/>
      <c r="AH731" s="102"/>
      <c r="AI731" s="102"/>
      <c r="AJ731" s="102"/>
      <c r="AK731" s="102"/>
      <c r="AL731" s="102"/>
      <c r="AM731" s="102"/>
      <c r="AN731" s="102"/>
      <c r="AO731" s="102"/>
    </row>
    <row r="732" spans="1:41" s="69" customFormat="1" ht="21" customHeight="1">
      <c r="A732" s="136" t="s">
        <v>804</v>
      </c>
      <c r="B732" s="121" t="s">
        <v>554</v>
      </c>
      <c r="C732" s="121"/>
      <c r="D732" s="121"/>
      <c r="E732" s="121"/>
      <c r="F732" s="113"/>
      <c r="G732" s="182">
        <f aca="true" t="shared" si="39" ref="G732:G737">G733</f>
        <v>103.6</v>
      </c>
      <c r="H732" s="210"/>
      <c r="I732" s="210"/>
      <c r="J732" s="210"/>
      <c r="K732" s="210"/>
      <c r="L732" s="210"/>
      <c r="M732" s="210"/>
      <c r="N732" s="210"/>
      <c r="O732" s="210"/>
      <c r="P732" s="210"/>
      <c r="Q732" s="210"/>
      <c r="R732" s="210"/>
      <c r="S732" s="210"/>
      <c r="T732" s="210"/>
      <c r="U732" s="210"/>
      <c r="V732" s="210"/>
      <c r="W732" s="210"/>
      <c r="X732" s="210"/>
      <c r="Y732" s="210"/>
      <c r="Z732" s="210"/>
      <c r="AA732" s="210"/>
      <c r="AB732" s="210"/>
      <c r="AC732" s="210"/>
      <c r="AD732" s="210"/>
      <c r="AE732" s="210"/>
      <c r="AF732" s="210"/>
      <c r="AG732" s="210"/>
      <c r="AH732" s="210"/>
      <c r="AI732" s="210"/>
      <c r="AJ732" s="210"/>
      <c r="AK732" s="210"/>
      <c r="AL732" s="210"/>
      <c r="AM732" s="210"/>
      <c r="AN732" s="210"/>
      <c r="AO732" s="210"/>
    </row>
    <row r="733" spans="1:41" s="69" customFormat="1" ht="12.75" customHeight="1">
      <c r="A733" s="136" t="s">
        <v>145</v>
      </c>
      <c r="B733" s="121" t="s">
        <v>554</v>
      </c>
      <c r="C733" s="121" t="s">
        <v>73</v>
      </c>
      <c r="D733" s="121" t="s">
        <v>36</v>
      </c>
      <c r="E733" s="121"/>
      <c r="F733" s="113"/>
      <c r="G733" s="182">
        <f t="shared" si="39"/>
        <v>103.6</v>
      </c>
      <c r="H733" s="210"/>
      <c r="I733" s="210"/>
      <c r="J733" s="210"/>
      <c r="K733" s="210"/>
      <c r="L733" s="210"/>
      <c r="M733" s="210"/>
      <c r="N733" s="210"/>
      <c r="O733" s="210"/>
      <c r="P733" s="210"/>
      <c r="Q733" s="210"/>
      <c r="R733" s="210"/>
      <c r="S733" s="210"/>
      <c r="T733" s="210"/>
      <c r="U733" s="210"/>
      <c r="V733" s="210"/>
      <c r="W733" s="210"/>
      <c r="X733" s="210"/>
      <c r="Y733" s="210"/>
      <c r="Z733" s="210"/>
      <c r="AA733" s="210"/>
      <c r="AB733" s="210"/>
      <c r="AC733" s="210"/>
      <c r="AD733" s="210"/>
      <c r="AE733" s="210"/>
      <c r="AF733" s="210"/>
      <c r="AG733" s="210"/>
      <c r="AH733" s="210"/>
      <c r="AI733" s="210"/>
      <c r="AJ733" s="210"/>
      <c r="AK733" s="210"/>
      <c r="AL733" s="210"/>
      <c r="AM733" s="210"/>
      <c r="AN733" s="210"/>
      <c r="AO733" s="210"/>
    </row>
    <row r="734" spans="1:41" s="72" customFormat="1" ht="12.75" customHeight="1">
      <c r="A734" s="134" t="s">
        <v>12</v>
      </c>
      <c r="B734" s="120" t="s">
        <v>554</v>
      </c>
      <c r="C734" s="120" t="s">
        <v>73</v>
      </c>
      <c r="D734" s="120" t="s">
        <v>66</v>
      </c>
      <c r="E734" s="120"/>
      <c r="F734" s="117"/>
      <c r="G734" s="183">
        <f t="shared" si="39"/>
        <v>103.6</v>
      </c>
      <c r="H734" s="212"/>
      <c r="I734" s="212"/>
      <c r="J734" s="212"/>
      <c r="K734" s="212"/>
      <c r="L734" s="212"/>
      <c r="M734" s="212"/>
      <c r="N734" s="212"/>
      <c r="O734" s="212"/>
      <c r="P734" s="212"/>
      <c r="Q734" s="212"/>
      <c r="R734" s="212"/>
      <c r="S734" s="212"/>
      <c r="T734" s="212"/>
      <c r="U734" s="212"/>
      <c r="V734" s="212"/>
      <c r="W734" s="212"/>
      <c r="X734" s="212"/>
      <c r="Y734" s="212"/>
      <c r="Z734" s="212"/>
      <c r="AA734" s="212"/>
      <c r="AB734" s="212"/>
      <c r="AC734" s="212"/>
      <c r="AD734" s="212"/>
      <c r="AE734" s="212"/>
      <c r="AF734" s="212"/>
      <c r="AG734" s="212"/>
      <c r="AH734" s="212"/>
      <c r="AI734" s="212"/>
      <c r="AJ734" s="212"/>
      <c r="AK734" s="212"/>
      <c r="AL734" s="212"/>
      <c r="AM734" s="212"/>
      <c r="AN734" s="212"/>
      <c r="AO734" s="212"/>
    </row>
    <row r="735" spans="1:41" s="72" customFormat="1" ht="24.75" customHeight="1">
      <c r="A735" s="134" t="s">
        <v>105</v>
      </c>
      <c r="B735" s="120" t="s">
        <v>554</v>
      </c>
      <c r="C735" s="120" t="s">
        <v>73</v>
      </c>
      <c r="D735" s="120" t="s">
        <v>66</v>
      </c>
      <c r="E735" s="120" t="s">
        <v>106</v>
      </c>
      <c r="F735" s="117"/>
      <c r="G735" s="183">
        <f t="shared" si="39"/>
        <v>103.6</v>
      </c>
      <c r="H735" s="212"/>
      <c r="I735" s="212"/>
      <c r="J735" s="212"/>
      <c r="K735" s="212"/>
      <c r="L735" s="212"/>
      <c r="M735" s="212"/>
      <c r="N735" s="212"/>
      <c r="O735" s="212"/>
      <c r="P735" s="212"/>
      <c r="Q735" s="212"/>
      <c r="R735" s="212"/>
      <c r="S735" s="212"/>
      <c r="T735" s="212"/>
      <c r="U735" s="212"/>
      <c r="V735" s="212"/>
      <c r="W735" s="212"/>
      <c r="X735" s="212"/>
      <c r="Y735" s="212"/>
      <c r="Z735" s="212"/>
      <c r="AA735" s="212"/>
      <c r="AB735" s="212"/>
      <c r="AC735" s="212"/>
      <c r="AD735" s="212"/>
      <c r="AE735" s="212"/>
      <c r="AF735" s="212"/>
      <c r="AG735" s="212"/>
      <c r="AH735" s="212"/>
      <c r="AI735" s="212"/>
      <c r="AJ735" s="212"/>
      <c r="AK735" s="212"/>
      <c r="AL735" s="212"/>
      <c r="AM735" s="212"/>
      <c r="AN735" s="212"/>
      <c r="AO735" s="212"/>
    </row>
    <row r="736" spans="1:41" s="72" customFormat="1" ht="12.75" customHeight="1">
      <c r="A736" s="134" t="s">
        <v>111</v>
      </c>
      <c r="B736" s="120" t="s">
        <v>554</v>
      </c>
      <c r="C736" s="120" t="s">
        <v>73</v>
      </c>
      <c r="D736" s="120" t="s">
        <v>66</v>
      </c>
      <c r="E736" s="120" t="s">
        <v>112</v>
      </c>
      <c r="F736" s="117"/>
      <c r="G736" s="183">
        <f t="shared" si="39"/>
        <v>103.6</v>
      </c>
      <c r="H736" s="212"/>
      <c r="I736" s="212"/>
      <c r="J736" s="212"/>
      <c r="K736" s="212"/>
      <c r="L736" s="212"/>
      <c r="M736" s="212"/>
      <c r="N736" s="212"/>
      <c r="O736" s="212"/>
      <c r="P736" s="212"/>
      <c r="Q736" s="212"/>
      <c r="R736" s="212"/>
      <c r="S736" s="212"/>
      <c r="T736" s="212"/>
      <c r="U736" s="212"/>
      <c r="V736" s="212"/>
      <c r="W736" s="212"/>
      <c r="X736" s="212"/>
      <c r="Y736" s="212"/>
      <c r="Z736" s="212"/>
      <c r="AA736" s="212"/>
      <c r="AB736" s="212"/>
      <c r="AC736" s="212"/>
      <c r="AD736" s="212"/>
      <c r="AE736" s="212"/>
      <c r="AF736" s="212"/>
      <c r="AG736" s="212"/>
      <c r="AH736" s="212"/>
      <c r="AI736" s="212"/>
      <c r="AJ736" s="212"/>
      <c r="AK736" s="212"/>
      <c r="AL736" s="212"/>
      <c r="AM736" s="212"/>
      <c r="AN736" s="212"/>
      <c r="AO736" s="212"/>
    </row>
    <row r="737" spans="1:41" s="72" customFormat="1" ht="12" customHeight="1">
      <c r="A737" s="134" t="s">
        <v>115</v>
      </c>
      <c r="B737" s="120" t="s">
        <v>554</v>
      </c>
      <c r="C737" s="120" t="s">
        <v>73</v>
      </c>
      <c r="D737" s="120" t="s">
        <v>66</v>
      </c>
      <c r="E737" s="120" t="s">
        <v>116</v>
      </c>
      <c r="F737" s="117"/>
      <c r="G737" s="183">
        <f t="shared" si="39"/>
        <v>103.6</v>
      </c>
      <c r="H737" s="212"/>
      <c r="I737" s="212"/>
      <c r="J737" s="212"/>
      <c r="K737" s="212"/>
      <c r="L737" s="212"/>
      <c r="M737" s="212"/>
      <c r="N737" s="212"/>
      <c r="O737" s="212"/>
      <c r="P737" s="212"/>
      <c r="Q737" s="212"/>
      <c r="R737" s="212"/>
      <c r="S737" s="212"/>
      <c r="T737" s="212"/>
      <c r="U737" s="212"/>
      <c r="V737" s="212"/>
      <c r="W737" s="212"/>
      <c r="X737" s="212"/>
      <c r="Y737" s="212"/>
      <c r="Z737" s="212"/>
      <c r="AA737" s="212"/>
      <c r="AB737" s="212"/>
      <c r="AC737" s="212"/>
      <c r="AD737" s="212"/>
      <c r="AE737" s="212"/>
      <c r="AF737" s="212"/>
      <c r="AG737" s="212"/>
      <c r="AH737" s="212"/>
      <c r="AI737" s="212"/>
      <c r="AJ737" s="212"/>
      <c r="AK737" s="212"/>
      <c r="AL737" s="212"/>
      <c r="AM737" s="212"/>
      <c r="AN737" s="212"/>
      <c r="AO737" s="212"/>
    </row>
    <row r="738" spans="1:41" s="72" customFormat="1" ht="23.25" customHeight="1">
      <c r="A738" s="132" t="s">
        <v>157</v>
      </c>
      <c r="B738" s="120" t="s">
        <v>554</v>
      </c>
      <c r="C738" s="120" t="s">
        <v>73</v>
      </c>
      <c r="D738" s="120" t="s">
        <v>66</v>
      </c>
      <c r="E738" s="120" t="s">
        <v>116</v>
      </c>
      <c r="F738" s="117">
        <v>726</v>
      </c>
      <c r="G738" s="183">
        <v>103.6</v>
      </c>
      <c r="H738" s="212"/>
      <c r="I738" s="212"/>
      <c r="J738" s="212"/>
      <c r="K738" s="212"/>
      <c r="L738" s="212"/>
      <c r="M738" s="212"/>
      <c r="N738" s="212"/>
      <c r="O738" s="212"/>
      <c r="P738" s="212"/>
      <c r="Q738" s="212"/>
      <c r="R738" s="212"/>
      <c r="S738" s="212"/>
      <c r="T738" s="212"/>
      <c r="U738" s="212"/>
      <c r="V738" s="212"/>
      <c r="W738" s="212"/>
      <c r="X738" s="212"/>
      <c r="Y738" s="212"/>
      <c r="Z738" s="212"/>
      <c r="AA738" s="212"/>
      <c r="AB738" s="212"/>
      <c r="AC738" s="212"/>
      <c r="AD738" s="212"/>
      <c r="AE738" s="212"/>
      <c r="AF738" s="212"/>
      <c r="AG738" s="212"/>
      <c r="AH738" s="212"/>
      <c r="AI738" s="212"/>
      <c r="AJ738" s="212"/>
      <c r="AK738" s="212"/>
      <c r="AL738" s="212"/>
      <c r="AM738" s="212"/>
      <c r="AN738" s="212"/>
      <c r="AO738" s="212"/>
    </row>
    <row r="739" spans="1:41" s="11" customFormat="1" ht="22.5" customHeight="1">
      <c r="A739" s="136" t="s">
        <v>805</v>
      </c>
      <c r="B739" s="121" t="s">
        <v>555</v>
      </c>
      <c r="C739" s="119"/>
      <c r="D739" s="119"/>
      <c r="E739" s="120"/>
      <c r="F739" s="117"/>
      <c r="G739" s="182">
        <f aca="true" t="shared" si="40" ref="G739:G744">G740</f>
        <v>9.6</v>
      </c>
      <c r="H739" s="102"/>
      <c r="I739" s="102"/>
      <c r="J739" s="102"/>
      <c r="K739" s="102"/>
      <c r="L739" s="102"/>
      <c r="M739" s="102"/>
      <c r="N739" s="102"/>
      <c r="O739" s="102"/>
      <c r="P739" s="102"/>
      <c r="Q739" s="102"/>
      <c r="R739" s="102"/>
      <c r="S739" s="102"/>
      <c r="T739" s="102"/>
      <c r="U739" s="102"/>
      <c r="V739" s="102"/>
      <c r="W739" s="102"/>
      <c r="X739" s="102"/>
      <c r="Y739" s="102"/>
      <c r="Z739" s="102"/>
      <c r="AA739" s="102"/>
      <c r="AB739" s="102"/>
      <c r="AC739" s="102"/>
      <c r="AD739" s="102"/>
      <c r="AE739" s="102"/>
      <c r="AF739" s="102"/>
      <c r="AG739" s="102"/>
      <c r="AH739" s="102"/>
      <c r="AI739" s="102"/>
      <c r="AJ739" s="102"/>
      <c r="AK739" s="102"/>
      <c r="AL739" s="102"/>
      <c r="AM739" s="102"/>
      <c r="AN739" s="102"/>
      <c r="AO739" s="102"/>
    </row>
    <row r="740" spans="1:41" s="11" customFormat="1" ht="15.75" customHeight="1">
      <c r="A740" s="131" t="s">
        <v>145</v>
      </c>
      <c r="B740" s="120" t="s">
        <v>555</v>
      </c>
      <c r="C740" s="119" t="s">
        <v>73</v>
      </c>
      <c r="D740" s="119" t="s">
        <v>36</v>
      </c>
      <c r="E740" s="120"/>
      <c r="F740" s="117"/>
      <c r="G740" s="182">
        <f t="shared" si="40"/>
        <v>9.6</v>
      </c>
      <c r="H740" s="102"/>
      <c r="I740" s="102"/>
      <c r="J740" s="102"/>
      <c r="K740" s="102"/>
      <c r="L740" s="102"/>
      <c r="M740" s="102"/>
      <c r="N740" s="102"/>
      <c r="O740" s="102"/>
      <c r="P740" s="102"/>
      <c r="Q740" s="102"/>
      <c r="R740" s="102"/>
      <c r="S740" s="102"/>
      <c r="T740" s="102"/>
      <c r="U740" s="102"/>
      <c r="V740" s="102"/>
      <c r="W740" s="102"/>
      <c r="X740" s="102"/>
      <c r="Y740" s="102"/>
      <c r="Z740" s="102"/>
      <c r="AA740" s="102"/>
      <c r="AB740" s="102"/>
      <c r="AC740" s="102"/>
      <c r="AD740" s="102"/>
      <c r="AE740" s="102"/>
      <c r="AF740" s="102"/>
      <c r="AG740" s="102"/>
      <c r="AH740" s="102"/>
      <c r="AI740" s="102"/>
      <c r="AJ740" s="102"/>
      <c r="AK740" s="102"/>
      <c r="AL740" s="102"/>
      <c r="AM740" s="102"/>
      <c r="AN740" s="102"/>
      <c r="AO740" s="102"/>
    </row>
    <row r="741" spans="1:41" s="11" customFormat="1" ht="13.5" customHeight="1">
      <c r="A741" s="132" t="s">
        <v>12</v>
      </c>
      <c r="B741" s="120" t="s">
        <v>555</v>
      </c>
      <c r="C741" s="119" t="s">
        <v>73</v>
      </c>
      <c r="D741" s="119" t="s">
        <v>66</v>
      </c>
      <c r="E741" s="120"/>
      <c r="F741" s="117"/>
      <c r="G741" s="183">
        <f t="shared" si="40"/>
        <v>9.6</v>
      </c>
      <c r="H741" s="102"/>
      <c r="I741" s="102"/>
      <c r="J741" s="102"/>
      <c r="K741" s="102"/>
      <c r="L741" s="102"/>
      <c r="M741" s="102"/>
      <c r="N741" s="102"/>
      <c r="O741" s="102"/>
      <c r="P741" s="102"/>
      <c r="Q741" s="102"/>
      <c r="R741" s="102"/>
      <c r="S741" s="102"/>
      <c r="T741" s="102"/>
      <c r="U741" s="102"/>
      <c r="V741" s="102"/>
      <c r="W741" s="102"/>
      <c r="X741" s="102"/>
      <c r="Y741" s="102"/>
      <c r="Z741" s="102"/>
      <c r="AA741" s="102"/>
      <c r="AB741" s="102"/>
      <c r="AC741" s="102"/>
      <c r="AD741" s="102"/>
      <c r="AE741" s="102"/>
      <c r="AF741" s="102"/>
      <c r="AG741" s="102"/>
      <c r="AH741" s="102"/>
      <c r="AI741" s="102"/>
      <c r="AJ741" s="102"/>
      <c r="AK741" s="102"/>
      <c r="AL741" s="102"/>
      <c r="AM741" s="102"/>
      <c r="AN741" s="102"/>
      <c r="AO741" s="102"/>
    </row>
    <row r="742" spans="1:41" s="11" customFormat="1" ht="24" customHeight="1">
      <c r="A742" s="134" t="s">
        <v>105</v>
      </c>
      <c r="B742" s="120" t="s">
        <v>555</v>
      </c>
      <c r="C742" s="119" t="s">
        <v>73</v>
      </c>
      <c r="D742" s="119" t="s">
        <v>66</v>
      </c>
      <c r="E742" s="120" t="s">
        <v>106</v>
      </c>
      <c r="F742" s="117"/>
      <c r="G742" s="183">
        <f t="shared" si="40"/>
        <v>9.6</v>
      </c>
      <c r="H742" s="102"/>
      <c r="I742" s="102"/>
      <c r="J742" s="102"/>
      <c r="K742" s="102"/>
      <c r="L742" s="102"/>
      <c r="M742" s="102"/>
      <c r="N742" s="102"/>
      <c r="O742" s="102"/>
      <c r="P742" s="102"/>
      <c r="Q742" s="102"/>
      <c r="R742" s="102"/>
      <c r="S742" s="102"/>
      <c r="T742" s="102"/>
      <c r="U742" s="102"/>
      <c r="V742" s="102"/>
      <c r="W742" s="102"/>
      <c r="X742" s="102"/>
      <c r="Y742" s="102"/>
      <c r="Z742" s="102"/>
      <c r="AA742" s="102"/>
      <c r="AB742" s="102"/>
      <c r="AC742" s="102"/>
      <c r="AD742" s="102"/>
      <c r="AE742" s="102"/>
      <c r="AF742" s="102"/>
      <c r="AG742" s="102"/>
      <c r="AH742" s="102"/>
      <c r="AI742" s="102"/>
      <c r="AJ742" s="102"/>
      <c r="AK742" s="102"/>
      <c r="AL742" s="102"/>
      <c r="AM742" s="102"/>
      <c r="AN742" s="102"/>
      <c r="AO742" s="102"/>
    </row>
    <row r="743" spans="1:41" s="11" customFormat="1" ht="12.75" customHeight="1">
      <c r="A743" s="134" t="s">
        <v>111</v>
      </c>
      <c r="B743" s="120" t="s">
        <v>555</v>
      </c>
      <c r="C743" s="119" t="s">
        <v>73</v>
      </c>
      <c r="D743" s="119" t="s">
        <v>66</v>
      </c>
      <c r="E743" s="120" t="s">
        <v>112</v>
      </c>
      <c r="F743" s="117"/>
      <c r="G743" s="183">
        <f t="shared" si="40"/>
        <v>9.6</v>
      </c>
      <c r="H743" s="102"/>
      <c r="I743" s="102"/>
      <c r="J743" s="102"/>
      <c r="K743" s="102"/>
      <c r="L743" s="102"/>
      <c r="M743" s="102"/>
      <c r="N743" s="102"/>
      <c r="O743" s="102"/>
      <c r="P743" s="102"/>
      <c r="Q743" s="102"/>
      <c r="R743" s="102"/>
      <c r="S743" s="102"/>
      <c r="T743" s="102"/>
      <c r="U743" s="102"/>
      <c r="V743" s="102"/>
      <c r="W743" s="102"/>
      <c r="X743" s="102"/>
      <c r="Y743" s="102"/>
      <c r="Z743" s="102"/>
      <c r="AA743" s="102"/>
      <c r="AB743" s="102"/>
      <c r="AC743" s="102"/>
      <c r="AD743" s="102"/>
      <c r="AE743" s="102"/>
      <c r="AF743" s="102"/>
      <c r="AG743" s="102"/>
      <c r="AH743" s="102"/>
      <c r="AI743" s="102"/>
      <c r="AJ743" s="102"/>
      <c r="AK743" s="102"/>
      <c r="AL743" s="102"/>
      <c r="AM743" s="102"/>
      <c r="AN743" s="102"/>
      <c r="AO743" s="102"/>
    </row>
    <row r="744" spans="1:41" s="11" customFormat="1" ht="12.75" customHeight="1">
      <c r="A744" s="134" t="s">
        <v>115</v>
      </c>
      <c r="B744" s="120" t="s">
        <v>555</v>
      </c>
      <c r="C744" s="119" t="s">
        <v>73</v>
      </c>
      <c r="D744" s="119" t="s">
        <v>66</v>
      </c>
      <c r="E744" s="120" t="s">
        <v>116</v>
      </c>
      <c r="F744" s="117"/>
      <c r="G744" s="183">
        <f t="shared" si="40"/>
        <v>9.6</v>
      </c>
      <c r="H744" s="102"/>
      <c r="I744" s="102"/>
      <c r="J744" s="102"/>
      <c r="K744" s="102"/>
      <c r="L744" s="102"/>
      <c r="M744" s="102"/>
      <c r="N744" s="102"/>
      <c r="O744" s="102"/>
      <c r="P744" s="102"/>
      <c r="Q744" s="102"/>
      <c r="R744" s="102"/>
      <c r="S744" s="102"/>
      <c r="T744" s="102"/>
      <c r="U744" s="102"/>
      <c r="V744" s="102"/>
      <c r="W744" s="102"/>
      <c r="X744" s="102"/>
      <c r="Y744" s="102"/>
      <c r="Z744" s="102"/>
      <c r="AA744" s="102"/>
      <c r="AB744" s="102"/>
      <c r="AC744" s="102"/>
      <c r="AD744" s="102"/>
      <c r="AE744" s="102"/>
      <c r="AF744" s="102"/>
      <c r="AG744" s="102"/>
      <c r="AH744" s="102"/>
      <c r="AI744" s="102"/>
      <c r="AJ744" s="102"/>
      <c r="AK744" s="102"/>
      <c r="AL744" s="102"/>
      <c r="AM744" s="102"/>
      <c r="AN744" s="102"/>
      <c r="AO744" s="102"/>
    </row>
    <row r="745" spans="1:41" s="11" customFormat="1" ht="24.75" customHeight="1">
      <c r="A745" s="132" t="s">
        <v>157</v>
      </c>
      <c r="B745" s="120" t="s">
        <v>555</v>
      </c>
      <c r="C745" s="119" t="s">
        <v>73</v>
      </c>
      <c r="D745" s="119" t="s">
        <v>66</v>
      </c>
      <c r="E745" s="120" t="s">
        <v>116</v>
      </c>
      <c r="F745" s="117">
        <v>726</v>
      </c>
      <c r="G745" s="183">
        <f>10-0.4</f>
        <v>9.6</v>
      </c>
      <c r="H745" s="102"/>
      <c r="I745" s="102"/>
      <c r="J745" s="102"/>
      <c r="K745" s="102"/>
      <c r="L745" s="102"/>
      <c r="M745" s="102"/>
      <c r="N745" s="102"/>
      <c r="O745" s="102"/>
      <c r="P745" s="102"/>
      <c r="Q745" s="102"/>
      <c r="R745" s="102"/>
      <c r="S745" s="102"/>
      <c r="T745" s="102"/>
      <c r="U745" s="102"/>
      <c r="V745" s="102"/>
      <c r="W745" s="102"/>
      <c r="X745" s="102"/>
      <c r="Y745" s="102"/>
      <c r="Z745" s="102"/>
      <c r="AA745" s="102"/>
      <c r="AB745" s="102"/>
      <c r="AC745" s="102"/>
      <c r="AD745" s="102"/>
      <c r="AE745" s="102"/>
      <c r="AF745" s="102"/>
      <c r="AG745" s="102"/>
      <c r="AH745" s="102"/>
      <c r="AI745" s="102"/>
      <c r="AJ745" s="102"/>
      <c r="AK745" s="102"/>
      <c r="AL745" s="102"/>
      <c r="AM745" s="102"/>
      <c r="AN745" s="102"/>
      <c r="AO745" s="102"/>
    </row>
    <row r="746" spans="1:41" s="5" customFormat="1" ht="21.75" customHeight="1">
      <c r="A746" s="131" t="s">
        <v>259</v>
      </c>
      <c r="B746" s="114" t="s">
        <v>558</v>
      </c>
      <c r="C746" s="119"/>
      <c r="D746" s="119"/>
      <c r="E746" s="120"/>
      <c r="F746" s="117"/>
      <c r="G746" s="182">
        <f>G754+G747</f>
        <v>336.1</v>
      </c>
      <c r="H746" s="102"/>
      <c r="I746" s="102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  <c r="AH746" s="24"/>
      <c r="AI746" s="24"/>
      <c r="AJ746" s="24"/>
      <c r="AK746" s="24"/>
      <c r="AL746" s="24"/>
      <c r="AM746" s="24"/>
      <c r="AN746" s="24"/>
      <c r="AO746" s="24"/>
    </row>
    <row r="747" spans="1:41" s="68" customFormat="1" ht="13.5" customHeight="1">
      <c r="A747" s="136" t="s">
        <v>691</v>
      </c>
      <c r="B747" s="114" t="s">
        <v>692</v>
      </c>
      <c r="C747" s="116"/>
      <c r="D747" s="116"/>
      <c r="E747" s="121"/>
      <c r="F747" s="113"/>
      <c r="G747" s="182">
        <f aca="true" t="shared" si="41" ref="G747:G752">G748</f>
        <v>96</v>
      </c>
      <c r="H747" s="106"/>
      <c r="I747" s="106"/>
      <c r="J747" s="100"/>
      <c r="K747" s="100"/>
      <c r="L747" s="100"/>
      <c r="M747" s="100"/>
      <c r="N747" s="100"/>
      <c r="O747" s="100"/>
      <c r="P747" s="100"/>
      <c r="Q747" s="100"/>
      <c r="R747" s="100"/>
      <c r="S747" s="100"/>
      <c r="T747" s="100"/>
      <c r="U747" s="100"/>
      <c r="V747" s="100"/>
      <c r="W747" s="100"/>
      <c r="X747" s="100"/>
      <c r="Y747" s="100"/>
      <c r="Z747" s="100"/>
      <c r="AA747" s="100"/>
      <c r="AB747" s="100"/>
      <c r="AC747" s="100"/>
      <c r="AD747" s="100"/>
      <c r="AE747" s="100"/>
      <c r="AF747" s="100"/>
      <c r="AG747" s="100"/>
      <c r="AH747" s="100"/>
      <c r="AI747" s="100"/>
      <c r="AJ747" s="100"/>
      <c r="AK747" s="100"/>
      <c r="AL747" s="100"/>
      <c r="AM747" s="100"/>
      <c r="AN747" s="100"/>
      <c r="AO747" s="100"/>
    </row>
    <row r="748" spans="1:41" s="68" customFormat="1" ht="14.25" customHeight="1">
      <c r="A748" s="136" t="s">
        <v>145</v>
      </c>
      <c r="B748" s="114" t="s">
        <v>692</v>
      </c>
      <c r="C748" s="116" t="s">
        <v>73</v>
      </c>
      <c r="D748" s="116" t="s">
        <v>36</v>
      </c>
      <c r="E748" s="121"/>
      <c r="F748" s="113"/>
      <c r="G748" s="182">
        <f t="shared" si="41"/>
        <v>96</v>
      </c>
      <c r="H748" s="106"/>
      <c r="I748" s="106"/>
      <c r="J748" s="100"/>
      <c r="K748" s="100"/>
      <c r="L748" s="100"/>
      <c r="M748" s="100"/>
      <c r="N748" s="100"/>
      <c r="O748" s="100"/>
      <c r="P748" s="100"/>
      <c r="Q748" s="100"/>
      <c r="R748" s="100"/>
      <c r="S748" s="100"/>
      <c r="T748" s="100"/>
      <c r="U748" s="100"/>
      <c r="V748" s="100"/>
      <c r="W748" s="100"/>
      <c r="X748" s="100"/>
      <c r="Y748" s="100"/>
      <c r="Z748" s="100"/>
      <c r="AA748" s="100"/>
      <c r="AB748" s="100"/>
      <c r="AC748" s="100"/>
      <c r="AD748" s="100"/>
      <c r="AE748" s="100"/>
      <c r="AF748" s="100"/>
      <c r="AG748" s="100"/>
      <c r="AH748" s="100"/>
      <c r="AI748" s="100"/>
      <c r="AJ748" s="100"/>
      <c r="AK748" s="100"/>
      <c r="AL748" s="100"/>
      <c r="AM748" s="100"/>
      <c r="AN748" s="100"/>
      <c r="AO748" s="100"/>
    </row>
    <row r="749" spans="1:41" s="5" customFormat="1" ht="10.5" customHeight="1">
      <c r="A749" s="134" t="s">
        <v>12</v>
      </c>
      <c r="B749" s="118" t="s">
        <v>692</v>
      </c>
      <c r="C749" s="119" t="s">
        <v>73</v>
      </c>
      <c r="D749" s="119" t="s">
        <v>66</v>
      </c>
      <c r="E749" s="120"/>
      <c r="F749" s="117"/>
      <c r="G749" s="183">
        <f t="shared" si="41"/>
        <v>96</v>
      </c>
      <c r="H749" s="102"/>
      <c r="I749" s="102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  <c r="AI749" s="24"/>
      <c r="AJ749" s="24"/>
      <c r="AK749" s="24"/>
      <c r="AL749" s="24"/>
      <c r="AM749" s="24"/>
      <c r="AN749" s="24"/>
      <c r="AO749" s="24"/>
    </row>
    <row r="750" spans="1:41" s="5" customFormat="1" ht="23.25" customHeight="1">
      <c r="A750" s="134" t="s">
        <v>105</v>
      </c>
      <c r="B750" s="118" t="s">
        <v>692</v>
      </c>
      <c r="C750" s="119" t="s">
        <v>73</v>
      </c>
      <c r="D750" s="119" t="s">
        <v>66</v>
      </c>
      <c r="E750" s="120" t="s">
        <v>106</v>
      </c>
      <c r="F750" s="117"/>
      <c r="G750" s="183">
        <f t="shared" si="41"/>
        <v>96</v>
      </c>
      <c r="H750" s="102"/>
      <c r="I750" s="102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  <c r="AH750" s="24"/>
      <c r="AI750" s="24"/>
      <c r="AJ750" s="24"/>
      <c r="AK750" s="24"/>
      <c r="AL750" s="24"/>
      <c r="AM750" s="24"/>
      <c r="AN750" s="24"/>
      <c r="AO750" s="24"/>
    </row>
    <row r="751" spans="1:41" s="5" customFormat="1" ht="12.75" customHeight="1">
      <c r="A751" s="134" t="s">
        <v>111</v>
      </c>
      <c r="B751" s="118" t="s">
        <v>692</v>
      </c>
      <c r="C751" s="119" t="s">
        <v>73</v>
      </c>
      <c r="D751" s="119" t="s">
        <v>66</v>
      </c>
      <c r="E751" s="120" t="s">
        <v>112</v>
      </c>
      <c r="F751" s="117"/>
      <c r="G751" s="183">
        <f t="shared" si="41"/>
        <v>96</v>
      </c>
      <c r="H751" s="102"/>
      <c r="I751" s="102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  <c r="AH751" s="24"/>
      <c r="AI751" s="24"/>
      <c r="AJ751" s="24"/>
      <c r="AK751" s="24"/>
      <c r="AL751" s="24"/>
      <c r="AM751" s="24"/>
      <c r="AN751" s="24"/>
      <c r="AO751" s="24"/>
    </row>
    <row r="752" spans="1:41" s="5" customFormat="1" ht="13.5" customHeight="1">
      <c r="A752" s="134" t="s">
        <v>115</v>
      </c>
      <c r="B752" s="118" t="s">
        <v>692</v>
      </c>
      <c r="C752" s="119" t="s">
        <v>73</v>
      </c>
      <c r="D752" s="119" t="s">
        <v>66</v>
      </c>
      <c r="E752" s="120" t="s">
        <v>116</v>
      </c>
      <c r="F752" s="117"/>
      <c r="G752" s="183">
        <f t="shared" si="41"/>
        <v>96</v>
      </c>
      <c r="H752" s="102"/>
      <c r="I752" s="102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  <c r="AH752" s="24"/>
      <c r="AI752" s="24"/>
      <c r="AJ752" s="24"/>
      <c r="AK752" s="24"/>
      <c r="AL752" s="24"/>
      <c r="AM752" s="24"/>
      <c r="AN752" s="24"/>
      <c r="AO752" s="24"/>
    </row>
    <row r="753" spans="1:41" s="5" customFormat="1" ht="23.25" customHeight="1">
      <c r="A753" s="132" t="s">
        <v>157</v>
      </c>
      <c r="B753" s="118" t="s">
        <v>692</v>
      </c>
      <c r="C753" s="119" t="s">
        <v>73</v>
      </c>
      <c r="D753" s="119" t="s">
        <v>66</v>
      </c>
      <c r="E753" s="120" t="s">
        <v>116</v>
      </c>
      <c r="F753" s="117">
        <v>726</v>
      </c>
      <c r="G753" s="183">
        <v>96</v>
      </c>
      <c r="H753" s="102"/>
      <c r="I753" s="102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  <c r="AH753" s="24"/>
      <c r="AI753" s="24"/>
      <c r="AJ753" s="24"/>
      <c r="AK753" s="24"/>
      <c r="AL753" s="24"/>
      <c r="AM753" s="24"/>
      <c r="AN753" s="24"/>
      <c r="AO753" s="24"/>
    </row>
    <row r="754" spans="1:41" s="5" customFormat="1" ht="21.75">
      <c r="A754" s="136" t="s">
        <v>627</v>
      </c>
      <c r="B754" s="114" t="s">
        <v>628</v>
      </c>
      <c r="C754" s="116"/>
      <c r="D754" s="116"/>
      <c r="E754" s="121"/>
      <c r="F754" s="113"/>
      <c r="G754" s="182">
        <f>G755</f>
        <v>240.1</v>
      </c>
      <c r="H754" s="102"/>
      <c r="I754" s="102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  <c r="AH754" s="24"/>
      <c r="AI754" s="24"/>
      <c r="AJ754" s="24"/>
      <c r="AK754" s="24"/>
      <c r="AL754" s="24"/>
      <c r="AM754" s="24"/>
      <c r="AN754" s="24"/>
      <c r="AO754" s="24"/>
    </row>
    <row r="755" spans="1:41" s="5" customFormat="1" ht="12.75">
      <c r="A755" s="136" t="s">
        <v>649</v>
      </c>
      <c r="B755" s="114" t="s">
        <v>628</v>
      </c>
      <c r="C755" s="116" t="s">
        <v>73</v>
      </c>
      <c r="D755" s="116" t="s">
        <v>36</v>
      </c>
      <c r="E755" s="121"/>
      <c r="F755" s="113"/>
      <c r="G755" s="182">
        <f>G756</f>
        <v>240.1</v>
      </c>
      <c r="H755" s="102"/>
      <c r="I755" s="102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  <c r="AH755" s="24"/>
      <c r="AI755" s="24"/>
      <c r="AJ755" s="24"/>
      <c r="AK755" s="24"/>
      <c r="AL755" s="24"/>
      <c r="AM755" s="24"/>
      <c r="AN755" s="24"/>
      <c r="AO755" s="24"/>
    </row>
    <row r="756" spans="1:41" s="5" customFormat="1" ht="12.75">
      <c r="A756" s="134" t="s">
        <v>86</v>
      </c>
      <c r="B756" s="118" t="s">
        <v>628</v>
      </c>
      <c r="C756" s="119" t="s">
        <v>73</v>
      </c>
      <c r="D756" s="119" t="s">
        <v>68</v>
      </c>
      <c r="E756" s="120"/>
      <c r="F756" s="117"/>
      <c r="G756" s="183">
        <f>G757+G761</f>
        <v>240.1</v>
      </c>
      <c r="H756" s="102"/>
      <c r="I756" s="102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G756" s="24"/>
      <c r="AH756" s="24"/>
      <c r="AI756" s="24"/>
      <c r="AJ756" s="24"/>
      <c r="AK756" s="24"/>
      <c r="AL756" s="24"/>
      <c r="AM756" s="24"/>
      <c r="AN756" s="24"/>
      <c r="AO756" s="24"/>
    </row>
    <row r="757" spans="1:41" s="5" customFormat="1" ht="45">
      <c r="A757" s="134" t="s">
        <v>102</v>
      </c>
      <c r="B757" s="118" t="s">
        <v>628</v>
      </c>
      <c r="C757" s="119" t="s">
        <v>73</v>
      </c>
      <c r="D757" s="119" t="s">
        <v>68</v>
      </c>
      <c r="E757" s="120" t="s">
        <v>103</v>
      </c>
      <c r="F757" s="117"/>
      <c r="G757" s="183">
        <f>G758</f>
        <v>84</v>
      </c>
      <c r="H757" s="102"/>
      <c r="I757" s="102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  <c r="AG757" s="24"/>
      <c r="AH757" s="24"/>
      <c r="AI757" s="24"/>
      <c r="AJ757" s="24"/>
      <c r="AK757" s="24"/>
      <c r="AL757" s="24"/>
      <c r="AM757" s="24"/>
      <c r="AN757" s="24"/>
      <c r="AO757" s="24"/>
    </row>
    <row r="758" spans="1:41" s="5" customFormat="1" ht="12.75">
      <c r="A758" s="134" t="s">
        <v>295</v>
      </c>
      <c r="B758" s="118" t="s">
        <v>628</v>
      </c>
      <c r="C758" s="119" t="s">
        <v>73</v>
      </c>
      <c r="D758" s="119" t="s">
        <v>68</v>
      </c>
      <c r="E758" s="120" t="s">
        <v>297</v>
      </c>
      <c r="F758" s="117"/>
      <c r="G758" s="183">
        <f>G759</f>
        <v>84</v>
      </c>
      <c r="H758" s="102"/>
      <c r="I758" s="102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  <c r="AG758" s="24"/>
      <c r="AH758" s="24"/>
      <c r="AI758" s="24"/>
      <c r="AJ758" s="24"/>
      <c r="AK758" s="24"/>
      <c r="AL758" s="24"/>
      <c r="AM758" s="24"/>
      <c r="AN758" s="24"/>
      <c r="AO758" s="24"/>
    </row>
    <row r="759" spans="1:41" s="5" customFormat="1" ht="33.75">
      <c r="A759" s="134" t="s">
        <v>548</v>
      </c>
      <c r="B759" s="118" t="s">
        <v>628</v>
      </c>
      <c r="C759" s="119" t="s">
        <v>73</v>
      </c>
      <c r="D759" s="119" t="s">
        <v>68</v>
      </c>
      <c r="E759" s="120" t="s">
        <v>549</v>
      </c>
      <c r="F759" s="117"/>
      <c r="G759" s="183">
        <f>G760</f>
        <v>84</v>
      </c>
      <c r="H759" s="102"/>
      <c r="I759" s="102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  <c r="AG759" s="24"/>
      <c r="AH759" s="24"/>
      <c r="AI759" s="24"/>
      <c r="AJ759" s="24"/>
      <c r="AK759" s="24"/>
      <c r="AL759" s="24"/>
      <c r="AM759" s="24"/>
      <c r="AN759" s="24"/>
      <c r="AO759" s="24"/>
    </row>
    <row r="760" spans="1:41" s="5" customFormat="1" ht="22.5">
      <c r="A760" s="132" t="s">
        <v>157</v>
      </c>
      <c r="B760" s="118" t="s">
        <v>628</v>
      </c>
      <c r="C760" s="119" t="s">
        <v>73</v>
      </c>
      <c r="D760" s="119" t="s">
        <v>68</v>
      </c>
      <c r="E760" s="120" t="s">
        <v>549</v>
      </c>
      <c r="F760" s="117">
        <v>726</v>
      </c>
      <c r="G760" s="183">
        <f>90-6</f>
        <v>84</v>
      </c>
      <c r="H760" s="102"/>
      <c r="I760" s="102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  <c r="AG760" s="24"/>
      <c r="AH760" s="24"/>
      <c r="AI760" s="24"/>
      <c r="AJ760" s="24"/>
      <c r="AK760" s="24"/>
      <c r="AL760" s="24"/>
      <c r="AM760" s="24"/>
      <c r="AN760" s="24"/>
      <c r="AO760" s="24"/>
    </row>
    <row r="761" spans="1:41" s="5" customFormat="1" ht="22.5">
      <c r="A761" s="134" t="s">
        <v>610</v>
      </c>
      <c r="B761" s="118" t="s">
        <v>628</v>
      </c>
      <c r="C761" s="119" t="s">
        <v>73</v>
      </c>
      <c r="D761" s="119" t="s">
        <v>68</v>
      </c>
      <c r="E761" s="120" t="s">
        <v>104</v>
      </c>
      <c r="F761" s="117"/>
      <c r="G761" s="183">
        <f>G762</f>
        <v>156.1</v>
      </c>
      <c r="H761" s="102"/>
      <c r="I761" s="102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  <c r="AG761" s="24"/>
      <c r="AH761" s="24"/>
      <c r="AI761" s="24"/>
      <c r="AJ761" s="24"/>
      <c r="AK761" s="24"/>
      <c r="AL761" s="24"/>
      <c r="AM761" s="24"/>
      <c r="AN761" s="24"/>
      <c r="AO761" s="24"/>
    </row>
    <row r="762" spans="1:41" s="5" customFormat="1" ht="12.75" customHeight="1">
      <c r="A762" s="134" t="s">
        <v>98</v>
      </c>
      <c r="B762" s="118" t="s">
        <v>628</v>
      </c>
      <c r="C762" s="119" t="s">
        <v>73</v>
      </c>
      <c r="D762" s="119" t="s">
        <v>68</v>
      </c>
      <c r="E762" s="120" t="s">
        <v>99</v>
      </c>
      <c r="F762" s="117"/>
      <c r="G762" s="183">
        <f>G763</f>
        <v>156.1</v>
      </c>
      <c r="H762" s="102"/>
      <c r="I762" s="102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  <c r="AG762" s="24"/>
      <c r="AH762" s="24"/>
      <c r="AI762" s="24"/>
      <c r="AJ762" s="24"/>
      <c r="AK762" s="24"/>
      <c r="AL762" s="24"/>
      <c r="AM762" s="24"/>
      <c r="AN762" s="24"/>
      <c r="AO762" s="24"/>
    </row>
    <row r="763" spans="1:41" s="5" customFormat="1" ht="22.5">
      <c r="A763" s="134" t="s">
        <v>100</v>
      </c>
      <c r="B763" s="118" t="s">
        <v>628</v>
      </c>
      <c r="C763" s="119" t="s">
        <v>73</v>
      </c>
      <c r="D763" s="119" t="s">
        <v>68</v>
      </c>
      <c r="E763" s="120" t="s">
        <v>101</v>
      </c>
      <c r="F763" s="117"/>
      <c r="G763" s="183">
        <f>G764</f>
        <v>156.1</v>
      </c>
      <c r="H763" s="102"/>
      <c r="I763" s="102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  <c r="AG763" s="24"/>
      <c r="AH763" s="24"/>
      <c r="AI763" s="24"/>
      <c r="AJ763" s="24"/>
      <c r="AK763" s="24"/>
      <c r="AL763" s="24"/>
      <c r="AM763" s="24"/>
      <c r="AN763" s="24"/>
      <c r="AO763" s="24"/>
    </row>
    <row r="764" spans="1:41" s="5" customFormat="1" ht="22.5">
      <c r="A764" s="132" t="s">
        <v>157</v>
      </c>
      <c r="B764" s="118" t="s">
        <v>628</v>
      </c>
      <c r="C764" s="119" t="s">
        <v>73</v>
      </c>
      <c r="D764" s="119" t="s">
        <v>68</v>
      </c>
      <c r="E764" s="120" t="s">
        <v>101</v>
      </c>
      <c r="F764" s="117">
        <v>726</v>
      </c>
      <c r="G764" s="183">
        <f>171.6-15.5</f>
        <v>156.1</v>
      </c>
      <c r="H764" s="102"/>
      <c r="I764" s="102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  <c r="AG764" s="24"/>
      <c r="AH764" s="24"/>
      <c r="AI764" s="24"/>
      <c r="AJ764" s="24"/>
      <c r="AK764" s="24"/>
      <c r="AL764" s="24"/>
      <c r="AM764" s="24"/>
      <c r="AN764" s="24"/>
      <c r="AO764" s="24"/>
    </row>
    <row r="765" spans="1:41" s="68" customFormat="1" ht="31.5" customHeight="1">
      <c r="A765" s="136" t="s">
        <v>473</v>
      </c>
      <c r="B765" s="114" t="s">
        <v>556</v>
      </c>
      <c r="C765" s="121"/>
      <c r="D765" s="121"/>
      <c r="E765" s="121"/>
      <c r="F765" s="113"/>
      <c r="G765" s="182">
        <f>G766</f>
        <v>1032.4</v>
      </c>
      <c r="H765" s="106"/>
      <c r="I765" s="106"/>
      <c r="J765" s="100"/>
      <c r="K765" s="100"/>
      <c r="L765" s="100"/>
      <c r="M765" s="100"/>
      <c r="N765" s="100"/>
      <c r="O765" s="100"/>
      <c r="P765" s="100"/>
      <c r="Q765" s="100"/>
      <c r="R765" s="100"/>
      <c r="S765" s="100"/>
      <c r="T765" s="100"/>
      <c r="U765" s="100"/>
      <c r="V765" s="100"/>
      <c r="W765" s="100"/>
      <c r="X765" s="100"/>
      <c r="Y765" s="100"/>
      <c r="Z765" s="100"/>
      <c r="AA765" s="100"/>
      <c r="AB765" s="100"/>
      <c r="AC765" s="100"/>
      <c r="AD765" s="100"/>
      <c r="AE765" s="100"/>
      <c r="AF765" s="100"/>
      <c r="AG765" s="100"/>
      <c r="AH765" s="100"/>
      <c r="AI765" s="100"/>
      <c r="AJ765" s="100"/>
      <c r="AK765" s="100"/>
      <c r="AL765" s="100"/>
      <c r="AM765" s="100"/>
      <c r="AN765" s="100"/>
      <c r="AO765" s="100"/>
    </row>
    <row r="766" spans="1:41" s="70" customFormat="1" ht="41.25" customHeight="1">
      <c r="A766" s="136" t="s">
        <v>506</v>
      </c>
      <c r="B766" s="114" t="s">
        <v>557</v>
      </c>
      <c r="C766" s="121"/>
      <c r="D766" s="121"/>
      <c r="E766" s="121"/>
      <c r="F766" s="113"/>
      <c r="G766" s="182">
        <f aca="true" t="shared" si="42" ref="G766:G771">G767</f>
        <v>1032.4</v>
      </c>
      <c r="H766" s="210"/>
      <c r="I766" s="210"/>
      <c r="J766" s="211"/>
      <c r="K766" s="211"/>
      <c r="L766" s="211"/>
      <c r="M766" s="211"/>
      <c r="N766" s="211"/>
      <c r="O766" s="211"/>
      <c r="P766" s="211"/>
      <c r="Q766" s="211"/>
      <c r="R766" s="211"/>
      <c r="S766" s="211"/>
      <c r="T766" s="211"/>
      <c r="U766" s="211"/>
      <c r="V766" s="211"/>
      <c r="W766" s="211"/>
      <c r="X766" s="211"/>
      <c r="Y766" s="211"/>
      <c r="Z766" s="211"/>
      <c r="AA766" s="211"/>
      <c r="AB766" s="211"/>
      <c r="AC766" s="211"/>
      <c r="AD766" s="211"/>
      <c r="AE766" s="211"/>
      <c r="AF766" s="211"/>
      <c r="AG766" s="211"/>
      <c r="AH766" s="211"/>
      <c r="AI766" s="211"/>
      <c r="AJ766" s="211"/>
      <c r="AK766" s="211"/>
      <c r="AL766" s="211"/>
      <c r="AM766" s="211"/>
      <c r="AN766" s="211"/>
      <c r="AO766" s="211"/>
    </row>
    <row r="767" spans="1:41" s="70" customFormat="1" ht="12.75">
      <c r="A767" s="136" t="s">
        <v>145</v>
      </c>
      <c r="B767" s="114" t="s">
        <v>557</v>
      </c>
      <c r="C767" s="121" t="s">
        <v>73</v>
      </c>
      <c r="D767" s="121" t="s">
        <v>36</v>
      </c>
      <c r="E767" s="121"/>
      <c r="F767" s="113"/>
      <c r="G767" s="182">
        <f t="shared" si="42"/>
        <v>1032.4</v>
      </c>
      <c r="H767" s="210"/>
      <c r="I767" s="210"/>
      <c r="J767" s="211"/>
      <c r="K767" s="211"/>
      <c r="L767" s="211"/>
      <c r="M767" s="211"/>
      <c r="N767" s="211"/>
      <c r="O767" s="211"/>
      <c r="P767" s="211"/>
      <c r="Q767" s="211"/>
      <c r="R767" s="211"/>
      <c r="S767" s="211"/>
      <c r="T767" s="211"/>
      <c r="U767" s="211"/>
      <c r="V767" s="211"/>
      <c r="W767" s="211"/>
      <c r="X767" s="211"/>
      <c r="Y767" s="211"/>
      <c r="Z767" s="211"/>
      <c r="AA767" s="211"/>
      <c r="AB767" s="211"/>
      <c r="AC767" s="211"/>
      <c r="AD767" s="211"/>
      <c r="AE767" s="211"/>
      <c r="AF767" s="211"/>
      <c r="AG767" s="211"/>
      <c r="AH767" s="211"/>
      <c r="AI767" s="211"/>
      <c r="AJ767" s="211"/>
      <c r="AK767" s="211"/>
      <c r="AL767" s="211"/>
      <c r="AM767" s="211"/>
      <c r="AN767" s="211"/>
      <c r="AO767" s="211"/>
    </row>
    <row r="768" spans="1:41" s="73" customFormat="1" ht="12.75">
      <c r="A768" s="134" t="s">
        <v>12</v>
      </c>
      <c r="B768" s="118" t="s">
        <v>557</v>
      </c>
      <c r="C768" s="120" t="s">
        <v>73</v>
      </c>
      <c r="D768" s="120" t="s">
        <v>66</v>
      </c>
      <c r="E768" s="120"/>
      <c r="F768" s="117"/>
      <c r="G768" s="183">
        <f t="shared" si="42"/>
        <v>1032.4</v>
      </c>
      <c r="H768" s="212"/>
      <c r="I768" s="212"/>
      <c r="J768" s="213"/>
      <c r="K768" s="213"/>
      <c r="L768" s="213"/>
      <c r="M768" s="213"/>
      <c r="N768" s="213"/>
      <c r="O768" s="213"/>
      <c r="P768" s="213"/>
      <c r="Q768" s="213"/>
      <c r="R768" s="213"/>
      <c r="S768" s="213"/>
      <c r="T768" s="213"/>
      <c r="U768" s="213"/>
      <c r="V768" s="213"/>
      <c r="W768" s="213"/>
      <c r="X768" s="213"/>
      <c r="Y768" s="213"/>
      <c r="Z768" s="213"/>
      <c r="AA768" s="213"/>
      <c r="AB768" s="213"/>
      <c r="AC768" s="213"/>
      <c r="AD768" s="213"/>
      <c r="AE768" s="213"/>
      <c r="AF768" s="213"/>
      <c r="AG768" s="213"/>
      <c r="AH768" s="213"/>
      <c r="AI768" s="213"/>
      <c r="AJ768" s="213"/>
      <c r="AK768" s="213"/>
      <c r="AL768" s="213"/>
      <c r="AM768" s="213"/>
      <c r="AN768" s="213"/>
      <c r="AO768" s="213"/>
    </row>
    <row r="769" spans="1:41" s="73" customFormat="1" ht="22.5">
      <c r="A769" s="134" t="s">
        <v>105</v>
      </c>
      <c r="B769" s="118" t="s">
        <v>557</v>
      </c>
      <c r="C769" s="120" t="s">
        <v>73</v>
      </c>
      <c r="D769" s="120" t="s">
        <v>66</v>
      </c>
      <c r="E769" s="120" t="s">
        <v>106</v>
      </c>
      <c r="F769" s="117"/>
      <c r="G769" s="183">
        <f t="shared" si="42"/>
        <v>1032.4</v>
      </c>
      <c r="H769" s="212"/>
      <c r="I769" s="212"/>
      <c r="J769" s="213"/>
      <c r="K769" s="213"/>
      <c r="L769" s="213"/>
      <c r="M769" s="213"/>
      <c r="N769" s="213"/>
      <c r="O769" s="213"/>
      <c r="P769" s="213"/>
      <c r="Q769" s="213"/>
      <c r="R769" s="213"/>
      <c r="S769" s="213"/>
      <c r="T769" s="213"/>
      <c r="U769" s="213"/>
      <c r="V769" s="213"/>
      <c r="W769" s="213"/>
      <c r="X769" s="213"/>
      <c r="Y769" s="213"/>
      <c r="Z769" s="213"/>
      <c r="AA769" s="213"/>
      <c r="AB769" s="213"/>
      <c r="AC769" s="213"/>
      <c r="AD769" s="213"/>
      <c r="AE769" s="213"/>
      <c r="AF769" s="213"/>
      <c r="AG769" s="213"/>
      <c r="AH769" s="213"/>
      <c r="AI769" s="213"/>
      <c r="AJ769" s="213"/>
      <c r="AK769" s="213"/>
      <c r="AL769" s="213"/>
      <c r="AM769" s="213"/>
      <c r="AN769" s="213"/>
      <c r="AO769" s="213"/>
    </row>
    <row r="770" spans="1:41" s="73" customFormat="1" ht="12.75">
      <c r="A770" s="134" t="s">
        <v>111</v>
      </c>
      <c r="B770" s="118" t="s">
        <v>557</v>
      </c>
      <c r="C770" s="120" t="s">
        <v>73</v>
      </c>
      <c r="D770" s="120" t="s">
        <v>66</v>
      </c>
      <c r="E770" s="120" t="s">
        <v>112</v>
      </c>
      <c r="F770" s="117"/>
      <c r="G770" s="183">
        <f t="shared" si="42"/>
        <v>1032.4</v>
      </c>
      <c r="H770" s="212"/>
      <c r="I770" s="212"/>
      <c r="J770" s="213"/>
      <c r="K770" s="213"/>
      <c r="L770" s="213"/>
      <c r="M770" s="213"/>
      <c r="N770" s="213"/>
      <c r="O770" s="213"/>
      <c r="P770" s="213"/>
      <c r="Q770" s="213"/>
      <c r="R770" s="213"/>
      <c r="S770" s="213"/>
      <c r="T770" s="213"/>
      <c r="U770" s="213"/>
      <c r="V770" s="213"/>
      <c r="W770" s="213"/>
      <c r="X770" s="213"/>
      <c r="Y770" s="213"/>
      <c r="Z770" s="213"/>
      <c r="AA770" s="213"/>
      <c r="AB770" s="213"/>
      <c r="AC770" s="213"/>
      <c r="AD770" s="213"/>
      <c r="AE770" s="213"/>
      <c r="AF770" s="213"/>
      <c r="AG770" s="213"/>
      <c r="AH770" s="213"/>
      <c r="AI770" s="213"/>
      <c r="AJ770" s="213"/>
      <c r="AK770" s="213"/>
      <c r="AL770" s="213"/>
      <c r="AM770" s="213"/>
      <c r="AN770" s="213"/>
      <c r="AO770" s="213"/>
    </row>
    <row r="771" spans="1:41" s="73" customFormat="1" ht="12.75">
      <c r="A771" s="134" t="s">
        <v>115</v>
      </c>
      <c r="B771" s="118" t="s">
        <v>557</v>
      </c>
      <c r="C771" s="120" t="s">
        <v>73</v>
      </c>
      <c r="D771" s="120" t="s">
        <v>66</v>
      </c>
      <c r="E771" s="120" t="s">
        <v>116</v>
      </c>
      <c r="F771" s="117"/>
      <c r="G771" s="183">
        <f t="shared" si="42"/>
        <v>1032.4</v>
      </c>
      <c r="H771" s="212"/>
      <c r="I771" s="212"/>
      <c r="J771" s="213"/>
      <c r="K771" s="213"/>
      <c r="L771" s="213"/>
      <c r="M771" s="213"/>
      <c r="N771" s="213"/>
      <c r="O771" s="213"/>
      <c r="P771" s="213"/>
      <c r="Q771" s="213"/>
      <c r="R771" s="213"/>
      <c r="S771" s="213"/>
      <c r="T771" s="213"/>
      <c r="U771" s="213"/>
      <c r="V771" s="213"/>
      <c r="W771" s="213"/>
      <c r="X771" s="213"/>
      <c r="Y771" s="213"/>
      <c r="Z771" s="213"/>
      <c r="AA771" s="213"/>
      <c r="AB771" s="213"/>
      <c r="AC771" s="213"/>
      <c r="AD771" s="213"/>
      <c r="AE771" s="213"/>
      <c r="AF771" s="213"/>
      <c r="AG771" s="213"/>
      <c r="AH771" s="213"/>
      <c r="AI771" s="213"/>
      <c r="AJ771" s="213"/>
      <c r="AK771" s="213"/>
      <c r="AL771" s="213"/>
      <c r="AM771" s="213"/>
      <c r="AN771" s="213"/>
      <c r="AO771" s="213"/>
    </row>
    <row r="772" spans="1:41" s="73" customFormat="1" ht="22.5">
      <c r="A772" s="132" t="s">
        <v>157</v>
      </c>
      <c r="B772" s="118" t="s">
        <v>557</v>
      </c>
      <c r="C772" s="120" t="s">
        <v>73</v>
      </c>
      <c r="D772" s="120" t="s">
        <v>66</v>
      </c>
      <c r="E772" s="120" t="s">
        <v>116</v>
      </c>
      <c r="F772" s="117">
        <v>726</v>
      </c>
      <c r="G772" s="183">
        <f>841.4+191</f>
        <v>1032.4</v>
      </c>
      <c r="H772" s="212"/>
      <c r="I772" s="212"/>
      <c r="J772" s="213"/>
      <c r="K772" s="213"/>
      <c r="L772" s="213"/>
      <c r="M772" s="213"/>
      <c r="N772" s="213"/>
      <c r="O772" s="213"/>
      <c r="P772" s="213"/>
      <c r="Q772" s="213"/>
      <c r="R772" s="213"/>
      <c r="S772" s="213"/>
      <c r="T772" s="213"/>
      <c r="U772" s="213"/>
      <c r="V772" s="213"/>
      <c r="W772" s="213"/>
      <c r="X772" s="213"/>
      <c r="Y772" s="213"/>
      <c r="Z772" s="213"/>
      <c r="AA772" s="213"/>
      <c r="AB772" s="213"/>
      <c r="AC772" s="213"/>
      <c r="AD772" s="213"/>
      <c r="AE772" s="213"/>
      <c r="AF772" s="213"/>
      <c r="AG772" s="213"/>
      <c r="AH772" s="213"/>
      <c r="AI772" s="213"/>
      <c r="AJ772" s="213"/>
      <c r="AK772" s="213"/>
      <c r="AL772" s="213"/>
      <c r="AM772" s="213"/>
      <c r="AN772" s="213"/>
      <c r="AO772" s="213"/>
    </row>
    <row r="773" spans="1:41" s="70" customFormat="1" ht="21.75">
      <c r="A773" s="136" t="s">
        <v>671</v>
      </c>
      <c r="B773" s="114" t="s">
        <v>674</v>
      </c>
      <c r="C773" s="121"/>
      <c r="D773" s="121"/>
      <c r="E773" s="121"/>
      <c r="F773" s="113"/>
      <c r="G773" s="182">
        <f>G774+G781</f>
        <v>1150</v>
      </c>
      <c r="H773" s="210"/>
      <c r="I773" s="210"/>
      <c r="J773" s="211"/>
      <c r="K773" s="211"/>
      <c r="L773" s="211"/>
      <c r="M773" s="211"/>
      <c r="N773" s="211"/>
      <c r="O773" s="211"/>
      <c r="P773" s="211"/>
      <c r="Q773" s="211"/>
      <c r="R773" s="211"/>
      <c r="S773" s="211"/>
      <c r="T773" s="211"/>
      <c r="U773" s="211"/>
      <c r="V773" s="211"/>
      <c r="W773" s="211"/>
      <c r="X773" s="211"/>
      <c r="Y773" s="211"/>
      <c r="Z773" s="211"/>
      <c r="AA773" s="211"/>
      <c r="AB773" s="211"/>
      <c r="AC773" s="211"/>
      <c r="AD773" s="211"/>
      <c r="AE773" s="211"/>
      <c r="AF773" s="211"/>
      <c r="AG773" s="211"/>
      <c r="AH773" s="211"/>
      <c r="AI773" s="211"/>
      <c r="AJ773" s="211"/>
      <c r="AK773" s="211"/>
      <c r="AL773" s="211"/>
      <c r="AM773" s="211"/>
      <c r="AN773" s="211"/>
      <c r="AO773" s="211"/>
    </row>
    <row r="774" spans="1:41" s="70" customFormat="1" ht="33.75" customHeight="1">
      <c r="A774" s="136" t="s">
        <v>672</v>
      </c>
      <c r="B774" s="114" t="s">
        <v>675</v>
      </c>
      <c r="C774" s="121"/>
      <c r="D774" s="121"/>
      <c r="E774" s="121"/>
      <c r="F774" s="113"/>
      <c r="G774" s="182">
        <f>G777</f>
        <v>1000</v>
      </c>
      <c r="H774" s="210"/>
      <c r="I774" s="210"/>
      <c r="J774" s="211"/>
      <c r="K774" s="211"/>
      <c r="L774" s="211"/>
      <c r="M774" s="211"/>
      <c r="N774" s="211"/>
      <c r="O774" s="211"/>
      <c r="P774" s="211"/>
      <c r="Q774" s="211"/>
      <c r="R774" s="211"/>
      <c r="S774" s="211"/>
      <c r="T774" s="211"/>
      <c r="U774" s="211"/>
      <c r="V774" s="211"/>
      <c r="W774" s="211"/>
      <c r="X774" s="211"/>
      <c r="Y774" s="211"/>
      <c r="Z774" s="211"/>
      <c r="AA774" s="211"/>
      <c r="AB774" s="211"/>
      <c r="AC774" s="211"/>
      <c r="AD774" s="211"/>
      <c r="AE774" s="211"/>
      <c r="AF774" s="211"/>
      <c r="AG774" s="211"/>
      <c r="AH774" s="211"/>
      <c r="AI774" s="211"/>
      <c r="AJ774" s="211"/>
      <c r="AK774" s="211"/>
      <c r="AL774" s="211"/>
      <c r="AM774" s="211"/>
      <c r="AN774" s="211"/>
      <c r="AO774" s="211"/>
    </row>
    <row r="775" spans="1:41" s="70" customFormat="1" ht="12.75">
      <c r="A775" s="136" t="s">
        <v>145</v>
      </c>
      <c r="B775" s="114" t="s">
        <v>675</v>
      </c>
      <c r="C775" s="121" t="s">
        <v>73</v>
      </c>
      <c r="D775" s="121" t="s">
        <v>36</v>
      </c>
      <c r="E775" s="121"/>
      <c r="F775" s="113"/>
      <c r="G775" s="182">
        <f>G776</f>
        <v>1000</v>
      </c>
      <c r="H775" s="210"/>
      <c r="I775" s="210"/>
      <c r="J775" s="211"/>
      <c r="K775" s="211"/>
      <c r="L775" s="211"/>
      <c r="M775" s="211"/>
      <c r="N775" s="211"/>
      <c r="O775" s="211"/>
      <c r="P775" s="211"/>
      <c r="Q775" s="211"/>
      <c r="R775" s="211"/>
      <c r="S775" s="211"/>
      <c r="T775" s="211"/>
      <c r="U775" s="211"/>
      <c r="V775" s="211"/>
      <c r="W775" s="211"/>
      <c r="X775" s="211"/>
      <c r="Y775" s="211"/>
      <c r="Z775" s="211"/>
      <c r="AA775" s="211"/>
      <c r="AB775" s="211"/>
      <c r="AC775" s="211"/>
      <c r="AD775" s="211"/>
      <c r="AE775" s="211"/>
      <c r="AF775" s="211"/>
      <c r="AG775" s="211"/>
      <c r="AH775" s="211"/>
      <c r="AI775" s="211"/>
      <c r="AJ775" s="211"/>
      <c r="AK775" s="211"/>
      <c r="AL775" s="211"/>
      <c r="AM775" s="211"/>
      <c r="AN775" s="211"/>
      <c r="AO775" s="211"/>
    </row>
    <row r="776" spans="1:41" s="70" customFormat="1" ht="12.75">
      <c r="A776" s="134" t="s">
        <v>12</v>
      </c>
      <c r="B776" s="118" t="s">
        <v>675</v>
      </c>
      <c r="C776" s="120" t="s">
        <v>73</v>
      </c>
      <c r="D776" s="120" t="s">
        <v>66</v>
      </c>
      <c r="E776" s="121"/>
      <c r="F776" s="113"/>
      <c r="G776" s="183">
        <f>G777</f>
        <v>1000</v>
      </c>
      <c r="H776" s="210"/>
      <c r="I776" s="210"/>
      <c r="J776" s="211"/>
      <c r="K776" s="211"/>
      <c r="L776" s="211"/>
      <c r="M776" s="211"/>
      <c r="N776" s="211"/>
      <c r="O776" s="211"/>
      <c r="P776" s="211"/>
      <c r="Q776" s="211"/>
      <c r="R776" s="211"/>
      <c r="S776" s="211"/>
      <c r="T776" s="211"/>
      <c r="U776" s="211"/>
      <c r="V776" s="211"/>
      <c r="W776" s="211"/>
      <c r="X776" s="211"/>
      <c r="Y776" s="211"/>
      <c r="Z776" s="211"/>
      <c r="AA776" s="211"/>
      <c r="AB776" s="211"/>
      <c r="AC776" s="211"/>
      <c r="AD776" s="211"/>
      <c r="AE776" s="211"/>
      <c r="AF776" s="211"/>
      <c r="AG776" s="211"/>
      <c r="AH776" s="211"/>
      <c r="AI776" s="211"/>
      <c r="AJ776" s="211"/>
      <c r="AK776" s="211"/>
      <c r="AL776" s="211"/>
      <c r="AM776" s="211"/>
      <c r="AN776" s="211"/>
      <c r="AO776" s="211"/>
    </row>
    <row r="777" spans="1:41" s="73" customFormat="1" ht="22.5">
      <c r="A777" s="134" t="s">
        <v>105</v>
      </c>
      <c r="B777" s="118" t="s">
        <v>675</v>
      </c>
      <c r="C777" s="120" t="s">
        <v>73</v>
      </c>
      <c r="D777" s="120" t="s">
        <v>66</v>
      </c>
      <c r="E777" s="120" t="s">
        <v>106</v>
      </c>
      <c r="F777" s="117"/>
      <c r="G777" s="183">
        <f>G778</f>
        <v>1000</v>
      </c>
      <c r="H777" s="212"/>
      <c r="I777" s="212"/>
      <c r="J777" s="213"/>
      <c r="K777" s="213"/>
      <c r="L777" s="213"/>
      <c r="M777" s="213"/>
      <c r="N777" s="213"/>
      <c r="O777" s="213"/>
      <c r="P777" s="213"/>
      <c r="Q777" s="213"/>
      <c r="R777" s="213"/>
      <c r="S777" s="213"/>
      <c r="T777" s="213"/>
      <c r="U777" s="213"/>
      <c r="V777" s="213"/>
      <c r="W777" s="213"/>
      <c r="X777" s="213"/>
      <c r="Y777" s="213"/>
      <c r="Z777" s="213"/>
      <c r="AA777" s="213"/>
      <c r="AB777" s="213"/>
      <c r="AC777" s="213"/>
      <c r="AD777" s="213"/>
      <c r="AE777" s="213"/>
      <c r="AF777" s="213"/>
      <c r="AG777" s="213"/>
      <c r="AH777" s="213"/>
      <c r="AI777" s="213"/>
      <c r="AJ777" s="213"/>
      <c r="AK777" s="213"/>
      <c r="AL777" s="213"/>
      <c r="AM777" s="213"/>
      <c r="AN777" s="213"/>
      <c r="AO777" s="213"/>
    </row>
    <row r="778" spans="1:41" s="73" customFormat="1" ht="12.75">
      <c r="A778" s="134" t="s">
        <v>111</v>
      </c>
      <c r="B778" s="118" t="s">
        <v>675</v>
      </c>
      <c r="C778" s="120" t="s">
        <v>73</v>
      </c>
      <c r="D778" s="120" t="s">
        <v>66</v>
      </c>
      <c r="E778" s="120" t="s">
        <v>112</v>
      </c>
      <c r="F778" s="117"/>
      <c r="G778" s="183">
        <f>G779</f>
        <v>1000</v>
      </c>
      <c r="H778" s="212"/>
      <c r="I778" s="212"/>
      <c r="J778" s="213"/>
      <c r="K778" s="213"/>
      <c r="L778" s="213"/>
      <c r="M778" s="213"/>
      <c r="N778" s="213"/>
      <c r="O778" s="213"/>
      <c r="P778" s="213"/>
      <c r="Q778" s="213"/>
      <c r="R778" s="213"/>
      <c r="S778" s="213"/>
      <c r="T778" s="213"/>
      <c r="U778" s="213"/>
      <c r="V778" s="213"/>
      <c r="W778" s="213"/>
      <c r="X778" s="213"/>
      <c r="Y778" s="213"/>
      <c r="Z778" s="213"/>
      <c r="AA778" s="213"/>
      <c r="AB778" s="213"/>
      <c r="AC778" s="213"/>
      <c r="AD778" s="213"/>
      <c r="AE778" s="213"/>
      <c r="AF778" s="213"/>
      <c r="AG778" s="213"/>
      <c r="AH778" s="213"/>
      <c r="AI778" s="213"/>
      <c r="AJ778" s="213"/>
      <c r="AK778" s="213"/>
      <c r="AL778" s="213"/>
      <c r="AM778" s="213"/>
      <c r="AN778" s="213"/>
      <c r="AO778" s="213"/>
    </row>
    <row r="779" spans="1:41" s="73" customFormat="1" ht="12.75">
      <c r="A779" s="134" t="s">
        <v>115</v>
      </c>
      <c r="B779" s="118" t="s">
        <v>675</v>
      </c>
      <c r="C779" s="120" t="s">
        <v>73</v>
      </c>
      <c r="D779" s="120" t="s">
        <v>66</v>
      </c>
      <c r="E779" s="120" t="s">
        <v>116</v>
      </c>
      <c r="F779" s="117"/>
      <c r="G779" s="183">
        <f>G780</f>
        <v>1000</v>
      </c>
      <c r="H779" s="212"/>
      <c r="I779" s="212"/>
      <c r="J779" s="213"/>
      <c r="K779" s="213"/>
      <c r="L779" s="213"/>
      <c r="M779" s="213"/>
      <c r="N779" s="213"/>
      <c r="O779" s="213"/>
      <c r="P779" s="213"/>
      <c r="Q779" s="213"/>
      <c r="R779" s="213"/>
      <c r="S779" s="213"/>
      <c r="T779" s="213"/>
      <c r="U779" s="213"/>
      <c r="V779" s="213"/>
      <c r="W779" s="213"/>
      <c r="X779" s="213"/>
      <c r="Y779" s="213"/>
      <c r="Z779" s="213"/>
      <c r="AA779" s="213"/>
      <c r="AB779" s="213"/>
      <c r="AC779" s="213"/>
      <c r="AD779" s="213"/>
      <c r="AE779" s="213"/>
      <c r="AF779" s="213"/>
      <c r="AG779" s="213"/>
      <c r="AH779" s="213"/>
      <c r="AI779" s="213"/>
      <c r="AJ779" s="213"/>
      <c r="AK779" s="213"/>
      <c r="AL779" s="213"/>
      <c r="AM779" s="213"/>
      <c r="AN779" s="213"/>
      <c r="AO779" s="213"/>
    </row>
    <row r="780" spans="1:41" s="73" customFormat="1" ht="22.5">
      <c r="A780" s="132" t="s">
        <v>157</v>
      </c>
      <c r="B780" s="118" t="s">
        <v>675</v>
      </c>
      <c r="C780" s="120" t="s">
        <v>73</v>
      </c>
      <c r="D780" s="120" t="s">
        <v>66</v>
      </c>
      <c r="E780" s="120" t="s">
        <v>116</v>
      </c>
      <c r="F780" s="117">
        <v>726</v>
      </c>
      <c r="G780" s="183">
        <v>1000</v>
      </c>
      <c r="H780" s="212"/>
      <c r="I780" s="212"/>
      <c r="J780" s="213"/>
      <c r="K780" s="213"/>
      <c r="L780" s="213"/>
      <c r="M780" s="213"/>
      <c r="N780" s="213"/>
      <c r="O780" s="213"/>
      <c r="P780" s="213"/>
      <c r="Q780" s="213"/>
      <c r="R780" s="213"/>
      <c r="S780" s="213"/>
      <c r="T780" s="213"/>
      <c r="U780" s="213"/>
      <c r="V780" s="213"/>
      <c r="W780" s="213"/>
      <c r="X780" s="213"/>
      <c r="Y780" s="213"/>
      <c r="Z780" s="213"/>
      <c r="AA780" s="213"/>
      <c r="AB780" s="213"/>
      <c r="AC780" s="213"/>
      <c r="AD780" s="213"/>
      <c r="AE780" s="213"/>
      <c r="AF780" s="213"/>
      <c r="AG780" s="213"/>
      <c r="AH780" s="213"/>
      <c r="AI780" s="213"/>
      <c r="AJ780" s="213"/>
      <c r="AK780" s="213"/>
      <c r="AL780" s="213"/>
      <c r="AM780" s="213"/>
      <c r="AN780" s="213"/>
      <c r="AO780" s="213"/>
    </row>
    <row r="781" spans="1:41" s="70" customFormat="1" ht="32.25">
      <c r="A781" s="136" t="s">
        <v>673</v>
      </c>
      <c r="B781" s="114" t="s">
        <v>676</v>
      </c>
      <c r="C781" s="121"/>
      <c r="D781" s="121"/>
      <c r="E781" s="121"/>
      <c r="F781" s="113"/>
      <c r="G781" s="182">
        <f aca="true" t="shared" si="43" ref="G781:G786">G782</f>
        <v>150</v>
      </c>
      <c r="H781" s="210"/>
      <c r="I781" s="210"/>
      <c r="J781" s="211"/>
      <c r="K781" s="211"/>
      <c r="L781" s="211"/>
      <c r="M781" s="211"/>
      <c r="N781" s="211"/>
      <c r="O781" s="211"/>
      <c r="P781" s="211"/>
      <c r="Q781" s="211"/>
      <c r="R781" s="211"/>
      <c r="S781" s="211"/>
      <c r="T781" s="211"/>
      <c r="U781" s="211"/>
      <c r="V781" s="211"/>
      <c r="W781" s="211"/>
      <c r="X781" s="211"/>
      <c r="Y781" s="211"/>
      <c r="Z781" s="211"/>
      <c r="AA781" s="211"/>
      <c r="AB781" s="211"/>
      <c r="AC781" s="211"/>
      <c r="AD781" s="211"/>
      <c r="AE781" s="211"/>
      <c r="AF781" s="211"/>
      <c r="AG781" s="211"/>
      <c r="AH781" s="211"/>
      <c r="AI781" s="211"/>
      <c r="AJ781" s="211"/>
      <c r="AK781" s="211"/>
      <c r="AL781" s="211"/>
      <c r="AM781" s="211"/>
      <c r="AN781" s="211"/>
      <c r="AO781" s="211"/>
    </row>
    <row r="782" spans="1:41" s="70" customFormat="1" ht="12.75">
      <c r="A782" s="136" t="s">
        <v>145</v>
      </c>
      <c r="B782" s="114" t="s">
        <v>676</v>
      </c>
      <c r="C782" s="121" t="s">
        <v>73</v>
      </c>
      <c r="D782" s="121" t="s">
        <v>36</v>
      </c>
      <c r="E782" s="121"/>
      <c r="F782" s="113"/>
      <c r="G782" s="182">
        <f t="shared" si="43"/>
        <v>150</v>
      </c>
      <c r="H782" s="210"/>
      <c r="I782" s="210"/>
      <c r="J782" s="211"/>
      <c r="K782" s="211"/>
      <c r="L782" s="211"/>
      <c r="M782" s="211"/>
      <c r="N782" s="211"/>
      <c r="O782" s="211"/>
      <c r="P782" s="211"/>
      <c r="Q782" s="211"/>
      <c r="R782" s="211"/>
      <c r="S782" s="211"/>
      <c r="T782" s="211"/>
      <c r="U782" s="211"/>
      <c r="V782" s="211"/>
      <c r="W782" s="211"/>
      <c r="X782" s="211"/>
      <c r="Y782" s="211"/>
      <c r="Z782" s="211"/>
      <c r="AA782" s="211"/>
      <c r="AB782" s="211"/>
      <c r="AC782" s="211"/>
      <c r="AD782" s="211"/>
      <c r="AE782" s="211"/>
      <c r="AF782" s="211"/>
      <c r="AG782" s="211"/>
      <c r="AH782" s="211"/>
      <c r="AI782" s="211"/>
      <c r="AJ782" s="211"/>
      <c r="AK782" s="211"/>
      <c r="AL782" s="211"/>
      <c r="AM782" s="211"/>
      <c r="AN782" s="211"/>
      <c r="AO782" s="211"/>
    </row>
    <row r="783" spans="1:41" s="70" customFormat="1" ht="12.75">
      <c r="A783" s="134" t="s">
        <v>12</v>
      </c>
      <c r="B783" s="118" t="s">
        <v>676</v>
      </c>
      <c r="C783" s="120" t="s">
        <v>73</v>
      </c>
      <c r="D783" s="120" t="s">
        <v>66</v>
      </c>
      <c r="E783" s="121"/>
      <c r="F783" s="113"/>
      <c r="G783" s="183">
        <f t="shared" si="43"/>
        <v>150</v>
      </c>
      <c r="H783" s="210"/>
      <c r="I783" s="210"/>
      <c r="J783" s="211"/>
      <c r="K783" s="211"/>
      <c r="L783" s="211"/>
      <c r="M783" s="211"/>
      <c r="N783" s="211"/>
      <c r="O783" s="211"/>
      <c r="P783" s="211"/>
      <c r="Q783" s="211"/>
      <c r="R783" s="211"/>
      <c r="S783" s="211"/>
      <c r="T783" s="211"/>
      <c r="U783" s="211"/>
      <c r="V783" s="211"/>
      <c r="W783" s="211"/>
      <c r="X783" s="211"/>
      <c r="Y783" s="211"/>
      <c r="Z783" s="211"/>
      <c r="AA783" s="211"/>
      <c r="AB783" s="211"/>
      <c r="AC783" s="211"/>
      <c r="AD783" s="211"/>
      <c r="AE783" s="211"/>
      <c r="AF783" s="211"/>
      <c r="AG783" s="211"/>
      <c r="AH783" s="211"/>
      <c r="AI783" s="211"/>
      <c r="AJ783" s="211"/>
      <c r="AK783" s="211"/>
      <c r="AL783" s="211"/>
      <c r="AM783" s="211"/>
      <c r="AN783" s="211"/>
      <c r="AO783" s="211"/>
    </row>
    <row r="784" spans="1:41" s="73" customFormat="1" ht="22.5">
      <c r="A784" s="134" t="s">
        <v>105</v>
      </c>
      <c r="B784" s="118" t="s">
        <v>676</v>
      </c>
      <c r="C784" s="120" t="s">
        <v>73</v>
      </c>
      <c r="D784" s="120" t="s">
        <v>66</v>
      </c>
      <c r="E784" s="120" t="s">
        <v>106</v>
      </c>
      <c r="F784" s="117"/>
      <c r="G784" s="183">
        <f t="shared" si="43"/>
        <v>150</v>
      </c>
      <c r="H784" s="212"/>
      <c r="I784" s="212"/>
      <c r="J784" s="213"/>
      <c r="K784" s="213"/>
      <c r="L784" s="213"/>
      <c r="M784" s="213"/>
      <c r="N784" s="213"/>
      <c r="O784" s="213"/>
      <c r="P784" s="213"/>
      <c r="Q784" s="213"/>
      <c r="R784" s="213"/>
      <c r="S784" s="213"/>
      <c r="T784" s="213"/>
      <c r="U784" s="213"/>
      <c r="V784" s="213"/>
      <c r="W784" s="213"/>
      <c r="X784" s="213"/>
      <c r="Y784" s="213"/>
      <c r="Z784" s="213"/>
      <c r="AA784" s="213"/>
      <c r="AB784" s="213"/>
      <c r="AC784" s="213"/>
      <c r="AD784" s="213"/>
      <c r="AE784" s="213"/>
      <c r="AF784" s="213"/>
      <c r="AG784" s="213"/>
      <c r="AH784" s="213"/>
      <c r="AI784" s="213"/>
      <c r="AJ784" s="213"/>
      <c r="AK784" s="213"/>
      <c r="AL784" s="213"/>
      <c r="AM784" s="213"/>
      <c r="AN784" s="213"/>
      <c r="AO784" s="213"/>
    </row>
    <row r="785" spans="1:41" s="73" customFormat="1" ht="12.75">
      <c r="A785" s="134" t="s">
        <v>111</v>
      </c>
      <c r="B785" s="118" t="s">
        <v>676</v>
      </c>
      <c r="C785" s="120" t="s">
        <v>73</v>
      </c>
      <c r="D785" s="120" t="s">
        <v>66</v>
      </c>
      <c r="E785" s="120" t="s">
        <v>112</v>
      </c>
      <c r="F785" s="117"/>
      <c r="G785" s="183">
        <f t="shared" si="43"/>
        <v>150</v>
      </c>
      <c r="H785" s="212"/>
      <c r="I785" s="212"/>
      <c r="J785" s="213"/>
      <c r="K785" s="213"/>
      <c r="L785" s="213"/>
      <c r="M785" s="213"/>
      <c r="N785" s="213"/>
      <c r="O785" s="213"/>
      <c r="P785" s="213"/>
      <c r="Q785" s="213"/>
      <c r="R785" s="213"/>
      <c r="S785" s="213"/>
      <c r="T785" s="213"/>
      <c r="U785" s="213"/>
      <c r="V785" s="213"/>
      <c r="W785" s="213"/>
      <c r="X785" s="213"/>
      <c r="Y785" s="213"/>
      <c r="Z785" s="213"/>
      <c r="AA785" s="213"/>
      <c r="AB785" s="213"/>
      <c r="AC785" s="213"/>
      <c r="AD785" s="213"/>
      <c r="AE785" s="213"/>
      <c r="AF785" s="213"/>
      <c r="AG785" s="213"/>
      <c r="AH785" s="213"/>
      <c r="AI785" s="213"/>
      <c r="AJ785" s="213"/>
      <c r="AK785" s="213"/>
      <c r="AL785" s="213"/>
      <c r="AM785" s="213"/>
      <c r="AN785" s="213"/>
      <c r="AO785" s="213"/>
    </row>
    <row r="786" spans="1:41" s="73" customFormat="1" ht="12.75">
      <c r="A786" s="134" t="s">
        <v>115</v>
      </c>
      <c r="B786" s="118" t="s">
        <v>676</v>
      </c>
      <c r="C786" s="120" t="s">
        <v>73</v>
      </c>
      <c r="D786" s="120" t="s">
        <v>66</v>
      </c>
      <c r="E786" s="120" t="s">
        <v>116</v>
      </c>
      <c r="F786" s="117"/>
      <c r="G786" s="183">
        <f t="shared" si="43"/>
        <v>150</v>
      </c>
      <c r="H786" s="212"/>
      <c r="I786" s="212"/>
      <c r="J786" s="213"/>
      <c r="K786" s="213"/>
      <c r="L786" s="213"/>
      <c r="M786" s="213"/>
      <c r="N786" s="213"/>
      <c r="O786" s="213"/>
      <c r="P786" s="213"/>
      <c r="Q786" s="213"/>
      <c r="R786" s="213"/>
      <c r="S786" s="213"/>
      <c r="T786" s="213"/>
      <c r="U786" s="213"/>
      <c r="V786" s="213"/>
      <c r="W786" s="213"/>
      <c r="X786" s="213"/>
      <c r="Y786" s="213"/>
      <c r="Z786" s="213"/>
      <c r="AA786" s="213"/>
      <c r="AB786" s="213"/>
      <c r="AC786" s="213"/>
      <c r="AD786" s="213"/>
      <c r="AE786" s="213"/>
      <c r="AF786" s="213"/>
      <c r="AG786" s="213"/>
      <c r="AH786" s="213"/>
      <c r="AI786" s="213"/>
      <c r="AJ786" s="213"/>
      <c r="AK786" s="213"/>
      <c r="AL786" s="213"/>
      <c r="AM786" s="213"/>
      <c r="AN786" s="213"/>
      <c r="AO786" s="213"/>
    </row>
    <row r="787" spans="1:41" s="73" customFormat="1" ht="22.5">
      <c r="A787" s="132" t="s">
        <v>157</v>
      </c>
      <c r="B787" s="118" t="s">
        <v>676</v>
      </c>
      <c r="C787" s="120" t="s">
        <v>73</v>
      </c>
      <c r="D787" s="120" t="s">
        <v>66</v>
      </c>
      <c r="E787" s="120" t="s">
        <v>116</v>
      </c>
      <c r="F787" s="117">
        <v>726</v>
      </c>
      <c r="G787" s="183">
        <v>150</v>
      </c>
      <c r="H787" s="212"/>
      <c r="I787" s="212"/>
      <c r="J787" s="213"/>
      <c r="K787" s="213"/>
      <c r="L787" s="213"/>
      <c r="M787" s="213"/>
      <c r="N787" s="213"/>
      <c r="O787" s="213"/>
      <c r="P787" s="213"/>
      <c r="Q787" s="213"/>
      <c r="R787" s="213"/>
      <c r="S787" s="213"/>
      <c r="T787" s="213"/>
      <c r="U787" s="213"/>
      <c r="V787" s="213"/>
      <c r="W787" s="213"/>
      <c r="X787" s="213"/>
      <c r="Y787" s="213"/>
      <c r="Z787" s="213"/>
      <c r="AA787" s="213"/>
      <c r="AB787" s="213"/>
      <c r="AC787" s="213"/>
      <c r="AD787" s="213"/>
      <c r="AE787" s="213"/>
      <c r="AF787" s="213"/>
      <c r="AG787" s="213"/>
      <c r="AH787" s="213"/>
      <c r="AI787" s="213"/>
      <c r="AJ787" s="213"/>
      <c r="AK787" s="213"/>
      <c r="AL787" s="213"/>
      <c r="AM787" s="213"/>
      <c r="AN787" s="213"/>
      <c r="AO787" s="213"/>
    </row>
    <row r="788" spans="1:41" s="5" customFormat="1" ht="21.75">
      <c r="A788" s="136" t="s">
        <v>441</v>
      </c>
      <c r="B788" s="114" t="s">
        <v>174</v>
      </c>
      <c r="C788" s="119"/>
      <c r="D788" s="119"/>
      <c r="E788" s="120"/>
      <c r="F788" s="117"/>
      <c r="G788" s="182">
        <f>G789</f>
        <v>509</v>
      </c>
      <c r="H788" s="102"/>
      <c r="I788" s="102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  <c r="AF788" s="24"/>
      <c r="AG788" s="24"/>
      <c r="AH788" s="24"/>
      <c r="AI788" s="24"/>
      <c r="AJ788" s="24"/>
      <c r="AK788" s="24"/>
      <c r="AL788" s="24"/>
      <c r="AM788" s="24"/>
      <c r="AN788" s="24"/>
      <c r="AO788" s="24"/>
    </row>
    <row r="789" spans="1:41" s="5" customFormat="1" ht="42.75">
      <c r="A789" s="136" t="s">
        <v>248</v>
      </c>
      <c r="B789" s="114" t="s">
        <v>323</v>
      </c>
      <c r="C789" s="119"/>
      <c r="D789" s="119"/>
      <c r="E789" s="120"/>
      <c r="F789" s="117"/>
      <c r="G789" s="182">
        <f>G797+G790</f>
        <v>509</v>
      </c>
      <c r="H789" s="102"/>
      <c r="I789" s="102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  <c r="AF789" s="24"/>
      <c r="AG789" s="24"/>
      <c r="AH789" s="24"/>
      <c r="AI789" s="24"/>
      <c r="AJ789" s="24"/>
      <c r="AK789" s="24"/>
      <c r="AL789" s="24"/>
      <c r="AM789" s="24"/>
      <c r="AN789" s="24"/>
      <c r="AO789" s="24"/>
    </row>
    <row r="790" spans="1:41" s="75" customFormat="1" ht="22.5" customHeight="1">
      <c r="A790" s="176" t="s">
        <v>818</v>
      </c>
      <c r="B790" s="114" t="s">
        <v>442</v>
      </c>
      <c r="C790" s="116"/>
      <c r="D790" s="116"/>
      <c r="E790" s="121"/>
      <c r="F790" s="113"/>
      <c r="G790" s="182">
        <f aca="true" t="shared" si="44" ref="G790:G795">G791</f>
        <v>459</v>
      </c>
      <c r="H790" s="107"/>
      <c r="I790" s="107"/>
      <c r="J790" s="216"/>
      <c r="K790" s="216"/>
      <c r="L790" s="216"/>
      <c r="M790" s="216"/>
      <c r="N790" s="216"/>
      <c r="O790" s="216"/>
      <c r="P790" s="216"/>
      <c r="Q790" s="216"/>
      <c r="R790" s="216"/>
      <c r="S790" s="216"/>
      <c r="T790" s="216"/>
      <c r="U790" s="216"/>
      <c r="V790" s="216"/>
      <c r="W790" s="216"/>
      <c r="X790" s="216"/>
      <c r="Y790" s="216"/>
      <c r="Z790" s="216"/>
      <c r="AA790" s="216"/>
      <c r="AB790" s="216"/>
      <c r="AC790" s="216"/>
      <c r="AD790" s="216"/>
      <c r="AE790" s="216"/>
      <c r="AF790" s="216"/>
      <c r="AG790" s="216"/>
      <c r="AH790" s="216"/>
      <c r="AI790" s="216"/>
      <c r="AJ790" s="216"/>
      <c r="AK790" s="216"/>
      <c r="AL790" s="216"/>
      <c r="AM790" s="216"/>
      <c r="AN790" s="216"/>
      <c r="AO790" s="216"/>
    </row>
    <row r="791" spans="1:41" s="70" customFormat="1" ht="12.75">
      <c r="A791" s="131" t="s">
        <v>5</v>
      </c>
      <c r="B791" s="118" t="s">
        <v>442</v>
      </c>
      <c r="C791" s="116" t="s">
        <v>68</v>
      </c>
      <c r="D791" s="116" t="s">
        <v>36</v>
      </c>
      <c r="E791" s="121"/>
      <c r="F791" s="113"/>
      <c r="G791" s="182">
        <f>G792</f>
        <v>459</v>
      </c>
      <c r="H791" s="210"/>
      <c r="I791" s="210"/>
      <c r="J791" s="211"/>
      <c r="K791" s="211"/>
      <c r="L791" s="211"/>
      <c r="M791" s="211"/>
      <c r="N791" s="211"/>
      <c r="O791" s="211"/>
      <c r="P791" s="211"/>
      <c r="Q791" s="211"/>
      <c r="R791" s="211"/>
      <c r="S791" s="211"/>
      <c r="T791" s="211"/>
      <c r="U791" s="211"/>
      <c r="V791" s="211"/>
      <c r="W791" s="211"/>
      <c r="X791" s="211"/>
      <c r="Y791" s="211"/>
      <c r="Z791" s="211"/>
      <c r="AA791" s="211"/>
      <c r="AB791" s="211"/>
      <c r="AC791" s="211"/>
      <c r="AD791" s="211"/>
      <c r="AE791" s="211"/>
      <c r="AF791" s="211"/>
      <c r="AG791" s="211"/>
      <c r="AH791" s="211"/>
      <c r="AI791" s="211"/>
      <c r="AJ791" s="211"/>
      <c r="AK791" s="211"/>
      <c r="AL791" s="211"/>
      <c r="AM791" s="211"/>
      <c r="AN791" s="211"/>
      <c r="AO791" s="211"/>
    </row>
    <row r="792" spans="1:41" s="73" customFormat="1" ht="12.75">
      <c r="A792" s="134" t="s">
        <v>7</v>
      </c>
      <c r="B792" s="118" t="s">
        <v>442</v>
      </c>
      <c r="C792" s="119" t="s">
        <v>68</v>
      </c>
      <c r="D792" s="119" t="s">
        <v>78</v>
      </c>
      <c r="E792" s="120"/>
      <c r="F792" s="117"/>
      <c r="G792" s="183">
        <f t="shared" si="44"/>
        <v>459</v>
      </c>
      <c r="H792" s="212"/>
      <c r="I792" s="212"/>
      <c r="J792" s="213"/>
      <c r="K792" s="213"/>
      <c r="L792" s="213"/>
      <c r="M792" s="213"/>
      <c r="N792" s="213"/>
      <c r="O792" s="213"/>
      <c r="P792" s="213"/>
      <c r="Q792" s="213"/>
      <c r="R792" s="213"/>
      <c r="S792" s="213"/>
      <c r="T792" s="213"/>
      <c r="U792" s="213"/>
      <c r="V792" s="213"/>
      <c r="W792" s="213"/>
      <c r="X792" s="213"/>
      <c r="Y792" s="213"/>
      <c r="Z792" s="213"/>
      <c r="AA792" s="213"/>
      <c r="AB792" s="213"/>
      <c r="AC792" s="213"/>
      <c r="AD792" s="213"/>
      <c r="AE792" s="213"/>
      <c r="AF792" s="213"/>
      <c r="AG792" s="213"/>
      <c r="AH792" s="213"/>
      <c r="AI792" s="213"/>
      <c r="AJ792" s="213"/>
      <c r="AK792" s="213"/>
      <c r="AL792" s="213"/>
      <c r="AM792" s="213"/>
      <c r="AN792" s="213"/>
      <c r="AO792" s="213"/>
    </row>
    <row r="793" spans="1:41" s="73" customFormat="1" ht="22.5">
      <c r="A793" s="134" t="s">
        <v>610</v>
      </c>
      <c r="B793" s="118" t="s">
        <v>442</v>
      </c>
      <c r="C793" s="119" t="s">
        <v>68</v>
      </c>
      <c r="D793" s="119" t="s">
        <v>78</v>
      </c>
      <c r="E793" s="120" t="s">
        <v>104</v>
      </c>
      <c r="F793" s="117"/>
      <c r="G793" s="183">
        <f t="shared" si="44"/>
        <v>459</v>
      </c>
      <c r="H793" s="212"/>
      <c r="I793" s="212"/>
      <c r="J793" s="213"/>
      <c r="K793" s="213"/>
      <c r="L793" s="213"/>
      <c r="M793" s="213"/>
      <c r="N793" s="213"/>
      <c r="O793" s="213"/>
      <c r="P793" s="213"/>
      <c r="Q793" s="213"/>
      <c r="R793" s="213"/>
      <c r="S793" s="213"/>
      <c r="T793" s="213"/>
      <c r="U793" s="213"/>
      <c r="V793" s="213"/>
      <c r="W793" s="213"/>
      <c r="X793" s="213"/>
      <c r="Y793" s="213"/>
      <c r="Z793" s="213"/>
      <c r="AA793" s="213"/>
      <c r="AB793" s="213"/>
      <c r="AC793" s="213"/>
      <c r="AD793" s="213"/>
      <c r="AE793" s="213"/>
      <c r="AF793" s="213"/>
      <c r="AG793" s="213"/>
      <c r="AH793" s="213"/>
      <c r="AI793" s="213"/>
      <c r="AJ793" s="213"/>
      <c r="AK793" s="213"/>
      <c r="AL793" s="213"/>
      <c r="AM793" s="213"/>
      <c r="AN793" s="213"/>
      <c r="AO793" s="213"/>
    </row>
    <row r="794" spans="1:41" s="73" customFormat="1" ht="22.5">
      <c r="A794" s="134" t="s">
        <v>98</v>
      </c>
      <c r="B794" s="118" t="s">
        <v>442</v>
      </c>
      <c r="C794" s="119" t="s">
        <v>68</v>
      </c>
      <c r="D794" s="119" t="s">
        <v>78</v>
      </c>
      <c r="E794" s="120" t="s">
        <v>99</v>
      </c>
      <c r="F794" s="117"/>
      <c r="G794" s="183">
        <f t="shared" si="44"/>
        <v>459</v>
      </c>
      <c r="H794" s="212"/>
      <c r="I794" s="212"/>
      <c r="J794" s="213"/>
      <c r="K794" s="213"/>
      <c r="L794" s="213"/>
      <c r="M794" s="213"/>
      <c r="N794" s="213"/>
      <c r="O794" s="213"/>
      <c r="P794" s="213"/>
      <c r="Q794" s="213"/>
      <c r="R794" s="213"/>
      <c r="S794" s="213"/>
      <c r="T794" s="213"/>
      <c r="U794" s="213"/>
      <c r="V794" s="213"/>
      <c r="W794" s="213"/>
      <c r="X794" s="213"/>
      <c r="Y794" s="213"/>
      <c r="Z794" s="213"/>
      <c r="AA794" s="213"/>
      <c r="AB794" s="213"/>
      <c r="AC794" s="213"/>
      <c r="AD794" s="213"/>
      <c r="AE794" s="213"/>
      <c r="AF794" s="213"/>
      <c r="AG794" s="213"/>
      <c r="AH794" s="213"/>
      <c r="AI794" s="213"/>
      <c r="AJ794" s="213"/>
      <c r="AK794" s="213"/>
      <c r="AL794" s="213"/>
      <c r="AM794" s="213"/>
      <c r="AN794" s="213"/>
      <c r="AO794" s="213"/>
    </row>
    <row r="795" spans="1:41" s="73" customFormat="1" ht="22.5">
      <c r="A795" s="134" t="s">
        <v>100</v>
      </c>
      <c r="B795" s="118" t="s">
        <v>442</v>
      </c>
      <c r="C795" s="119" t="s">
        <v>68</v>
      </c>
      <c r="D795" s="119" t="s">
        <v>78</v>
      </c>
      <c r="E795" s="120" t="s">
        <v>101</v>
      </c>
      <c r="F795" s="117"/>
      <c r="G795" s="183">
        <f t="shared" si="44"/>
        <v>459</v>
      </c>
      <c r="H795" s="212"/>
      <c r="I795" s="212"/>
      <c r="J795" s="213"/>
      <c r="K795" s="213"/>
      <c r="L795" s="213"/>
      <c r="M795" s="213"/>
      <c r="N795" s="213"/>
      <c r="O795" s="213"/>
      <c r="P795" s="213"/>
      <c r="Q795" s="213"/>
      <c r="R795" s="213"/>
      <c r="S795" s="213"/>
      <c r="T795" s="213"/>
      <c r="U795" s="213"/>
      <c r="V795" s="213"/>
      <c r="W795" s="213"/>
      <c r="X795" s="213"/>
      <c r="Y795" s="213"/>
      <c r="Z795" s="213"/>
      <c r="AA795" s="213"/>
      <c r="AB795" s="213"/>
      <c r="AC795" s="213"/>
      <c r="AD795" s="213"/>
      <c r="AE795" s="213"/>
      <c r="AF795" s="213"/>
      <c r="AG795" s="213"/>
      <c r="AH795" s="213"/>
      <c r="AI795" s="213"/>
      <c r="AJ795" s="213"/>
      <c r="AK795" s="213"/>
      <c r="AL795" s="213"/>
      <c r="AM795" s="213"/>
      <c r="AN795" s="213"/>
      <c r="AO795" s="213"/>
    </row>
    <row r="796" spans="1:41" s="73" customFormat="1" ht="12.75">
      <c r="A796" s="132" t="s">
        <v>153</v>
      </c>
      <c r="B796" s="118" t="s">
        <v>442</v>
      </c>
      <c r="C796" s="119" t="s">
        <v>68</v>
      </c>
      <c r="D796" s="119" t="s">
        <v>78</v>
      </c>
      <c r="E796" s="120" t="s">
        <v>101</v>
      </c>
      <c r="F796" s="117">
        <v>721</v>
      </c>
      <c r="G796" s="183">
        <v>459</v>
      </c>
      <c r="H796" s="212"/>
      <c r="I796" s="212"/>
      <c r="J796" s="213"/>
      <c r="K796" s="213"/>
      <c r="L796" s="213"/>
      <c r="M796" s="213"/>
      <c r="N796" s="213"/>
      <c r="O796" s="213"/>
      <c r="P796" s="213"/>
      <c r="Q796" s="213"/>
      <c r="R796" s="213"/>
      <c r="S796" s="213"/>
      <c r="T796" s="213"/>
      <c r="U796" s="213"/>
      <c r="V796" s="213"/>
      <c r="W796" s="213"/>
      <c r="X796" s="213"/>
      <c r="Y796" s="213"/>
      <c r="Z796" s="213"/>
      <c r="AA796" s="213"/>
      <c r="AB796" s="213"/>
      <c r="AC796" s="213"/>
      <c r="AD796" s="213"/>
      <c r="AE796" s="213"/>
      <c r="AF796" s="213"/>
      <c r="AG796" s="213"/>
      <c r="AH796" s="213"/>
      <c r="AI796" s="213"/>
      <c r="AJ796" s="213"/>
      <c r="AK796" s="213"/>
      <c r="AL796" s="213"/>
      <c r="AM796" s="213"/>
      <c r="AN796" s="213"/>
      <c r="AO796" s="213"/>
    </row>
    <row r="797" spans="1:41" s="75" customFormat="1" ht="33.75">
      <c r="A797" s="172" t="s">
        <v>819</v>
      </c>
      <c r="B797" s="114" t="s">
        <v>443</v>
      </c>
      <c r="C797" s="116"/>
      <c r="D797" s="116"/>
      <c r="E797" s="121"/>
      <c r="F797" s="113"/>
      <c r="G797" s="182">
        <f aca="true" t="shared" si="45" ref="G797:G802">G798</f>
        <v>50</v>
      </c>
      <c r="H797" s="107"/>
      <c r="I797" s="107"/>
      <c r="J797" s="216"/>
      <c r="K797" s="216"/>
      <c r="L797" s="216"/>
      <c r="M797" s="216"/>
      <c r="N797" s="216"/>
      <c r="O797" s="216"/>
      <c r="P797" s="216"/>
      <c r="Q797" s="216"/>
      <c r="R797" s="216"/>
      <c r="S797" s="216"/>
      <c r="T797" s="216"/>
      <c r="U797" s="216"/>
      <c r="V797" s="216"/>
      <c r="W797" s="216"/>
      <c r="X797" s="216"/>
      <c r="Y797" s="216"/>
      <c r="Z797" s="216"/>
      <c r="AA797" s="216"/>
      <c r="AB797" s="216"/>
      <c r="AC797" s="216"/>
      <c r="AD797" s="216"/>
      <c r="AE797" s="216"/>
      <c r="AF797" s="216"/>
      <c r="AG797" s="216"/>
      <c r="AH797" s="216"/>
      <c r="AI797" s="216"/>
      <c r="AJ797" s="216"/>
      <c r="AK797" s="216"/>
      <c r="AL797" s="216"/>
      <c r="AM797" s="216"/>
      <c r="AN797" s="216"/>
      <c r="AO797" s="216"/>
    </row>
    <row r="798" spans="1:41" s="68" customFormat="1" ht="12.75">
      <c r="A798" s="131" t="s">
        <v>5</v>
      </c>
      <c r="B798" s="114" t="s">
        <v>443</v>
      </c>
      <c r="C798" s="116" t="s">
        <v>68</v>
      </c>
      <c r="D798" s="116" t="s">
        <v>36</v>
      </c>
      <c r="E798" s="121"/>
      <c r="F798" s="113"/>
      <c r="G798" s="182">
        <f t="shared" si="45"/>
        <v>50</v>
      </c>
      <c r="H798" s="106"/>
      <c r="I798" s="106"/>
      <c r="J798" s="100"/>
      <c r="K798" s="100"/>
      <c r="L798" s="100"/>
      <c r="M798" s="100"/>
      <c r="N798" s="100"/>
      <c r="O798" s="100"/>
      <c r="P798" s="100"/>
      <c r="Q798" s="100"/>
      <c r="R798" s="100"/>
      <c r="S798" s="100"/>
      <c r="T798" s="100"/>
      <c r="U798" s="100"/>
      <c r="V798" s="100"/>
      <c r="W798" s="100"/>
      <c r="X798" s="100"/>
      <c r="Y798" s="100"/>
      <c r="Z798" s="100"/>
      <c r="AA798" s="100"/>
      <c r="AB798" s="100"/>
      <c r="AC798" s="100"/>
      <c r="AD798" s="100"/>
      <c r="AE798" s="100"/>
      <c r="AF798" s="100"/>
      <c r="AG798" s="100"/>
      <c r="AH798" s="100"/>
      <c r="AI798" s="100"/>
      <c r="AJ798" s="100"/>
      <c r="AK798" s="100"/>
      <c r="AL798" s="100"/>
      <c r="AM798" s="100"/>
      <c r="AN798" s="100"/>
      <c r="AO798" s="100"/>
    </row>
    <row r="799" spans="1:41" s="5" customFormat="1" ht="12.75">
      <c r="A799" s="134" t="s">
        <v>7</v>
      </c>
      <c r="B799" s="118" t="s">
        <v>443</v>
      </c>
      <c r="C799" s="119" t="s">
        <v>68</v>
      </c>
      <c r="D799" s="119" t="s">
        <v>78</v>
      </c>
      <c r="E799" s="120"/>
      <c r="F799" s="117"/>
      <c r="G799" s="183">
        <f t="shared" si="45"/>
        <v>50</v>
      </c>
      <c r="H799" s="102"/>
      <c r="I799" s="102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  <c r="AF799" s="24"/>
      <c r="AG799" s="24"/>
      <c r="AH799" s="24"/>
      <c r="AI799" s="24"/>
      <c r="AJ799" s="24"/>
      <c r="AK799" s="24"/>
      <c r="AL799" s="24"/>
      <c r="AM799" s="24"/>
      <c r="AN799" s="24"/>
      <c r="AO799" s="24"/>
    </row>
    <row r="800" spans="1:41" s="5" customFormat="1" ht="22.5">
      <c r="A800" s="134" t="s">
        <v>610</v>
      </c>
      <c r="B800" s="118" t="s">
        <v>443</v>
      </c>
      <c r="C800" s="119" t="s">
        <v>68</v>
      </c>
      <c r="D800" s="119" t="s">
        <v>78</v>
      </c>
      <c r="E800" s="119" t="s">
        <v>104</v>
      </c>
      <c r="F800" s="117"/>
      <c r="G800" s="183">
        <f t="shared" si="45"/>
        <v>50</v>
      </c>
      <c r="H800" s="102"/>
      <c r="I800" s="102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  <c r="AF800" s="24"/>
      <c r="AG800" s="24"/>
      <c r="AH800" s="24"/>
      <c r="AI800" s="24"/>
      <c r="AJ800" s="24"/>
      <c r="AK800" s="24"/>
      <c r="AL800" s="24"/>
      <c r="AM800" s="24"/>
      <c r="AN800" s="24"/>
      <c r="AO800" s="24"/>
    </row>
    <row r="801" spans="1:41" s="5" customFormat="1" ht="23.25" customHeight="1">
      <c r="A801" s="134" t="s">
        <v>98</v>
      </c>
      <c r="B801" s="118" t="s">
        <v>443</v>
      </c>
      <c r="C801" s="119" t="s">
        <v>68</v>
      </c>
      <c r="D801" s="119" t="s">
        <v>78</v>
      </c>
      <c r="E801" s="119" t="s">
        <v>99</v>
      </c>
      <c r="F801" s="117"/>
      <c r="G801" s="183">
        <f t="shared" si="45"/>
        <v>50</v>
      </c>
      <c r="H801" s="102"/>
      <c r="I801" s="102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  <c r="AF801" s="24"/>
      <c r="AG801" s="24"/>
      <c r="AH801" s="24"/>
      <c r="AI801" s="24"/>
      <c r="AJ801" s="24"/>
      <c r="AK801" s="24"/>
      <c r="AL801" s="24"/>
      <c r="AM801" s="24"/>
      <c r="AN801" s="24"/>
      <c r="AO801" s="24"/>
    </row>
    <row r="802" spans="1:41" s="5" customFormat="1" ht="22.5">
      <c r="A802" s="134" t="s">
        <v>100</v>
      </c>
      <c r="B802" s="118" t="s">
        <v>443</v>
      </c>
      <c r="C802" s="119" t="s">
        <v>68</v>
      </c>
      <c r="D802" s="119" t="s">
        <v>78</v>
      </c>
      <c r="E802" s="119" t="s">
        <v>101</v>
      </c>
      <c r="F802" s="117"/>
      <c r="G802" s="183">
        <f t="shared" si="45"/>
        <v>50</v>
      </c>
      <c r="H802" s="102"/>
      <c r="I802" s="102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  <c r="AF802" s="24"/>
      <c r="AG802" s="24"/>
      <c r="AH802" s="24"/>
      <c r="AI802" s="24"/>
      <c r="AJ802" s="24"/>
      <c r="AK802" s="24"/>
      <c r="AL802" s="24"/>
      <c r="AM802" s="24"/>
      <c r="AN802" s="24"/>
      <c r="AO802" s="24"/>
    </row>
    <row r="803" spans="1:41" s="5" customFormat="1" ht="12.75">
      <c r="A803" s="132" t="s">
        <v>153</v>
      </c>
      <c r="B803" s="118" t="s">
        <v>443</v>
      </c>
      <c r="C803" s="119" t="s">
        <v>68</v>
      </c>
      <c r="D803" s="119" t="s">
        <v>78</v>
      </c>
      <c r="E803" s="119" t="s">
        <v>101</v>
      </c>
      <c r="F803" s="117">
        <v>721</v>
      </c>
      <c r="G803" s="183">
        <f>20+30</f>
        <v>50</v>
      </c>
      <c r="H803" s="102"/>
      <c r="I803" s="102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  <c r="AG803" s="24"/>
      <c r="AH803" s="24"/>
      <c r="AI803" s="24"/>
      <c r="AJ803" s="24"/>
      <c r="AK803" s="24"/>
      <c r="AL803" s="24"/>
      <c r="AM803" s="24"/>
      <c r="AN803" s="24"/>
      <c r="AO803" s="24"/>
    </row>
    <row r="804" spans="1:41" s="5" customFormat="1" ht="32.25" customHeight="1">
      <c r="A804" s="136" t="s">
        <v>431</v>
      </c>
      <c r="B804" s="114" t="s">
        <v>171</v>
      </c>
      <c r="C804" s="119"/>
      <c r="D804" s="119"/>
      <c r="E804" s="121"/>
      <c r="F804" s="113"/>
      <c r="G804" s="182">
        <f>G805+G813</f>
        <v>1344.8</v>
      </c>
      <c r="H804" s="102"/>
      <c r="I804" s="102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  <c r="AF804" s="24"/>
      <c r="AG804" s="24"/>
      <c r="AH804" s="24"/>
      <c r="AI804" s="24"/>
      <c r="AJ804" s="24"/>
      <c r="AK804" s="24"/>
      <c r="AL804" s="24"/>
      <c r="AM804" s="24"/>
      <c r="AN804" s="24"/>
      <c r="AO804" s="24"/>
    </row>
    <row r="805" spans="1:41" s="5" customFormat="1" ht="33" customHeight="1">
      <c r="A805" s="134" t="s">
        <v>432</v>
      </c>
      <c r="B805" s="114" t="s">
        <v>319</v>
      </c>
      <c r="C805" s="119"/>
      <c r="D805" s="119"/>
      <c r="E805" s="121"/>
      <c r="F805" s="113"/>
      <c r="G805" s="182">
        <f aca="true" t="shared" si="46" ref="G805:G810">G806</f>
        <v>300</v>
      </c>
      <c r="H805" s="102"/>
      <c r="I805" s="102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  <c r="AF805" s="24"/>
      <c r="AG805" s="24"/>
      <c r="AH805" s="24"/>
      <c r="AI805" s="24"/>
      <c r="AJ805" s="24"/>
      <c r="AK805" s="24"/>
      <c r="AL805" s="24"/>
      <c r="AM805" s="24"/>
      <c r="AN805" s="24"/>
      <c r="AO805" s="24"/>
    </row>
    <row r="806" spans="1:41" s="5" customFormat="1" ht="21.75" customHeight="1">
      <c r="A806" s="136" t="s">
        <v>170</v>
      </c>
      <c r="B806" s="114" t="s">
        <v>320</v>
      </c>
      <c r="C806" s="119"/>
      <c r="D806" s="119"/>
      <c r="E806" s="121"/>
      <c r="F806" s="113"/>
      <c r="G806" s="182">
        <f t="shared" si="46"/>
        <v>300</v>
      </c>
      <c r="H806" s="102"/>
      <c r="I806" s="102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  <c r="AF806" s="24"/>
      <c r="AG806" s="24"/>
      <c r="AH806" s="24"/>
      <c r="AI806" s="24"/>
      <c r="AJ806" s="24"/>
      <c r="AK806" s="24"/>
      <c r="AL806" s="24"/>
      <c r="AM806" s="24"/>
      <c r="AN806" s="24"/>
      <c r="AO806" s="24"/>
    </row>
    <row r="807" spans="1:41" s="5" customFormat="1" ht="21.75">
      <c r="A807" s="136" t="s">
        <v>4</v>
      </c>
      <c r="B807" s="114" t="s">
        <v>320</v>
      </c>
      <c r="C807" s="116" t="s">
        <v>70</v>
      </c>
      <c r="D807" s="116" t="s">
        <v>36</v>
      </c>
      <c r="E807" s="121"/>
      <c r="F807" s="113"/>
      <c r="G807" s="182">
        <f t="shared" si="46"/>
        <v>300</v>
      </c>
      <c r="H807" s="102"/>
      <c r="I807" s="102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  <c r="AF807" s="24"/>
      <c r="AG807" s="24"/>
      <c r="AH807" s="24"/>
      <c r="AI807" s="24"/>
      <c r="AJ807" s="24"/>
      <c r="AK807" s="24"/>
      <c r="AL807" s="24"/>
      <c r="AM807" s="24"/>
      <c r="AN807" s="24"/>
      <c r="AO807" s="24"/>
    </row>
    <row r="808" spans="1:41" s="5" customFormat="1" ht="22.5">
      <c r="A808" s="134" t="s">
        <v>80</v>
      </c>
      <c r="B808" s="118" t="s">
        <v>320</v>
      </c>
      <c r="C808" s="119" t="s">
        <v>70</v>
      </c>
      <c r="D808" s="119" t="s">
        <v>75</v>
      </c>
      <c r="E808" s="120"/>
      <c r="F808" s="117"/>
      <c r="G808" s="183">
        <f t="shared" si="46"/>
        <v>300</v>
      </c>
      <c r="H808" s="102"/>
      <c r="I808" s="102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  <c r="AF808" s="24"/>
      <c r="AG808" s="24"/>
      <c r="AH808" s="24"/>
      <c r="AI808" s="24"/>
      <c r="AJ808" s="24"/>
      <c r="AK808" s="24"/>
      <c r="AL808" s="24"/>
      <c r="AM808" s="24"/>
      <c r="AN808" s="24"/>
      <c r="AO808" s="24"/>
    </row>
    <row r="809" spans="1:41" s="5" customFormat="1" ht="22.5">
      <c r="A809" s="134" t="s">
        <v>610</v>
      </c>
      <c r="B809" s="118" t="s">
        <v>320</v>
      </c>
      <c r="C809" s="119" t="s">
        <v>70</v>
      </c>
      <c r="D809" s="119" t="s">
        <v>75</v>
      </c>
      <c r="E809" s="123" t="s">
        <v>104</v>
      </c>
      <c r="F809" s="117"/>
      <c r="G809" s="183">
        <f t="shared" si="46"/>
        <v>300</v>
      </c>
      <c r="H809" s="102"/>
      <c r="I809" s="102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  <c r="AF809" s="24"/>
      <c r="AG809" s="24"/>
      <c r="AH809" s="24"/>
      <c r="AI809" s="24"/>
      <c r="AJ809" s="24"/>
      <c r="AK809" s="24"/>
      <c r="AL809" s="24"/>
      <c r="AM809" s="24"/>
      <c r="AN809" s="24"/>
      <c r="AO809" s="24"/>
    </row>
    <row r="810" spans="1:41" s="5" customFormat="1" ht="27" customHeight="1">
      <c r="A810" s="134" t="s">
        <v>98</v>
      </c>
      <c r="B810" s="118" t="s">
        <v>320</v>
      </c>
      <c r="C810" s="119" t="s">
        <v>70</v>
      </c>
      <c r="D810" s="119" t="s">
        <v>75</v>
      </c>
      <c r="E810" s="123" t="s">
        <v>99</v>
      </c>
      <c r="F810" s="117"/>
      <c r="G810" s="183">
        <f t="shared" si="46"/>
        <v>300</v>
      </c>
      <c r="H810" s="102"/>
      <c r="I810" s="102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  <c r="AF810" s="24"/>
      <c r="AG810" s="24"/>
      <c r="AH810" s="24"/>
      <c r="AI810" s="24"/>
      <c r="AJ810" s="24"/>
      <c r="AK810" s="24"/>
      <c r="AL810" s="24"/>
      <c r="AM810" s="24"/>
      <c r="AN810" s="24"/>
      <c r="AO810" s="24"/>
    </row>
    <row r="811" spans="1:41" s="5" customFormat="1" ht="22.5">
      <c r="A811" s="134" t="s">
        <v>100</v>
      </c>
      <c r="B811" s="118" t="s">
        <v>320</v>
      </c>
      <c r="C811" s="119" t="s">
        <v>70</v>
      </c>
      <c r="D811" s="119" t="s">
        <v>75</v>
      </c>
      <c r="E811" s="123" t="s">
        <v>101</v>
      </c>
      <c r="F811" s="117"/>
      <c r="G811" s="183">
        <f>G812</f>
        <v>300</v>
      </c>
      <c r="H811" s="102"/>
      <c r="I811" s="102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  <c r="AF811" s="24"/>
      <c r="AG811" s="24"/>
      <c r="AH811" s="24"/>
      <c r="AI811" s="24"/>
      <c r="AJ811" s="24"/>
      <c r="AK811" s="24"/>
      <c r="AL811" s="24"/>
      <c r="AM811" s="24"/>
      <c r="AN811" s="24"/>
      <c r="AO811" s="24"/>
    </row>
    <row r="812" spans="1:41" s="5" customFormat="1" ht="12.75">
      <c r="A812" s="132" t="s">
        <v>153</v>
      </c>
      <c r="B812" s="118" t="s">
        <v>320</v>
      </c>
      <c r="C812" s="119" t="s">
        <v>70</v>
      </c>
      <c r="D812" s="119" t="s">
        <v>75</v>
      </c>
      <c r="E812" s="120" t="s">
        <v>101</v>
      </c>
      <c r="F812" s="117">
        <v>721</v>
      </c>
      <c r="G812" s="183">
        <v>300</v>
      </c>
      <c r="H812" s="102"/>
      <c r="I812" s="102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  <c r="AF812" s="24"/>
      <c r="AG812" s="24"/>
      <c r="AH812" s="24"/>
      <c r="AI812" s="24"/>
      <c r="AJ812" s="24"/>
      <c r="AK812" s="24"/>
      <c r="AL812" s="24"/>
      <c r="AM812" s="24"/>
      <c r="AN812" s="24"/>
      <c r="AO812" s="24"/>
    </row>
    <row r="813" spans="1:41" s="5" customFormat="1" ht="33.75">
      <c r="A813" s="134" t="s">
        <v>568</v>
      </c>
      <c r="B813" s="118" t="s">
        <v>569</v>
      </c>
      <c r="C813" s="120"/>
      <c r="D813" s="120"/>
      <c r="E813" s="120"/>
      <c r="F813" s="117"/>
      <c r="G813" s="183">
        <f>G814+G821</f>
        <v>1044.8</v>
      </c>
      <c r="H813" s="102"/>
      <c r="I813" s="102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  <c r="AF813" s="24"/>
      <c r="AG813" s="24"/>
      <c r="AH813" s="24"/>
      <c r="AI813" s="24"/>
      <c r="AJ813" s="24"/>
      <c r="AK813" s="24"/>
      <c r="AL813" s="24"/>
      <c r="AM813" s="24"/>
      <c r="AN813" s="24"/>
      <c r="AO813" s="24"/>
    </row>
    <row r="814" spans="1:41" s="70" customFormat="1" ht="44.25" customHeight="1">
      <c r="A814" s="136" t="s">
        <v>820</v>
      </c>
      <c r="B814" s="114" t="s">
        <v>570</v>
      </c>
      <c r="C814" s="121"/>
      <c r="D814" s="121"/>
      <c r="E814" s="121"/>
      <c r="F814" s="113"/>
      <c r="G814" s="182">
        <f aca="true" t="shared" si="47" ref="G814:G819">G815</f>
        <v>991.8</v>
      </c>
      <c r="H814" s="210"/>
      <c r="I814" s="210"/>
      <c r="J814" s="211"/>
      <c r="K814" s="211"/>
      <c r="L814" s="211"/>
      <c r="M814" s="211"/>
      <c r="N814" s="211"/>
      <c r="O814" s="211"/>
      <c r="P814" s="211"/>
      <c r="Q814" s="211"/>
      <c r="R814" s="211"/>
      <c r="S814" s="211"/>
      <c r="T814" s="211"/>
      <c r="U814" s="211"/>
      <c r="V814" s="211"/>
      <c r="W814" s="211"/>
      <c r="X814" s="211"/>
      <c r="Y814" s="211"/>
      <c r="Z814" s="211"/>
      <c r="AA814" s="211"/>
      <c r="AB814" s="211"/>
      <c r="AC814" s="211"/>
      <c r="AD814" s="211"/>
      <c r="AE814" s="211"/>
      <c r="AF814" s="211"/>
      <c r="AG814" s="211"/>
      <c r="AH814" s="211"/>
      <c r="AI814" s="211"/>
      <c r="AJ814" s="211"/>
      <c r="AK814" s="211"/>
      <c r="AL814" s="211"/>
      <c r="AM814" s="211"/>
      <c r="AN814" s="211"/>
      <c r="AO814" s="211"/>
    </row>
    <row r="815" spans="1:41" s="70" customFormat="1" ht="12.75">
      <c r="A815" s="136" t="s">
        <v>5</v>
      </c>
      <c r="B815" s="114" t="s">
        <v>656</v>
      </c>
      <c r="C815" s="121" t="s">
        <v>68</v>
      </c>
      <c r="D815" s="121" t="s">
        <v>36</v>
      </c>
      <c r="E815" s="121"/>
      <c r="F815" s="113"/>
      <c r="G815" s="182">
        <f t="shared" si="47"/>
        <v>991.8</v>
      </c>
      <c r="H815" s="210"/>
      <c r="I815" s="210"/>
      <c r="J815" s="211"/>
      <c r="K815" s="211"/>
      <c r="L815" s="211"/>
      <c r="M815" s="211"/>
      <c r="N815" s="211"/>
      <c r="O815" s="211"/>
      <c r="P815" s="211"/>
      <c r="Q815" s="211"/>
      <c r="R815" s="211"/>
      <c r="S815" s="211"/>
      <c r="T815" s="211"/>
      <c r="U815" s="211"/>
      <c r="V815" s="211"/>
      <c r="W815" s="211"/>
      <c r="X815" s="211"/>
      <c r="Y815" s="211"/>
      <c r="Z815" s="211"/>
      <c r="AA815" s="211"/>
      <c r="AB815" s="211"/>
      <c r="AC815" s="211"/>
      <c r="AD815" s="211"/>
      <c r="AE815" s="211"/>
      <c r="AF815" s="211"/>
      <c r="AG815" s="211"/>
      <c r="AH815" s="211"/>
      <c r="AI815" s="211"/>
      <c r="AJ815" s="211"/>
      <c r="AK815" s="211"/>
      <c r="AL815" s="211"/>
      <c r="AM815" s="211"/>
      <c r="AN815" s="211"/>
      <c r="AO815" s="211"/>
    </row>
    <row r="816" spans="1:41" s="70" customFormat="1" ht="12.75">
      <c r="A816" s="134" t="s">
        <v>567</v>
      </c>
      <c r="B816" s="118" t="s">
        <v>656</v>
      </c>
      <c r="C816" s="120" t="s">
        <v>68</v>
      </c>
      <c r="D816" s="120" t="s">
        <v>76</v>
      </c>
      <c r="E816" s="120"/>
      <c r="F816" s="117"/>
      <c r="G816" s="183">
        <f t="shared" si="47"/>
        <v>991.8</v>
      </c>
      <c r="H816" s="210"/>
      <c r="I816" s="210"/>
      <c r="J816" s="211"/>
      <c r="K816" s="211"/>
      <c r="L816" s="211"/>
      <c r="M816" s="211"/>
      <c r="N816" s="211"/>
      <c r="O816" s="211"/>
      <c r="P816" s="211"/>
      <c r="Q816" s="211"/>
      <c r="R816" s="211"/>
      <c r="S816" s="211"/>
      <c r="T816" s="211"/>
      <c r="U816" s="211"/>
      <c r="V816" s="211"/>
      <c r="W816" s="211"/>
      <c r="X816" s="211"/>
      <c r="Y816" s="211"/>
      <c r="Z816" s="211"/>
      <c r="AA816" s="211"/>
      <c r="AB816" s="211"/>
      <c r="AC816" s="211"/>
      <c r="AD816" s="211"/>
      <c r="AE816" s="211"/>
      <c r="AF816" s="211"/>
      <c r="AG816" s="211"/>
      <c r="AH816" s="211"/>
      <c r="AI816" s="211"/>
      <c r="AJ816" s="211"/>
      <c r="AK816" s="211"/>
      <c r="AL816" s="211"/>
      <c r="AM816" s="211"/>
      <c r="AN816" s="211"/>
      <c r="AO816" s="211"/>
    </row>
    <row r="817" spans="1:41" s="73" customFormat="1" ht="22.5">
      <c r="A817" s="134" t="s">
        <v>610</v>
      </c>
      <c r="B817" s="118" t="s">
        <v>657</v>
      </c>
      <c r="C817" s="120" t="s">
        <v>68</v>
      </c>
      <c r="D817" s="120" t="s">
        <v>76</v>
      </c>
      <c r="E817" s="120" t="s">
        <v>104</v>
      </c>
      <c r="F817" s="117"/>
      <c r="G817" s="183">
        <f t="shared" si="47"/>
        <v>991.8</v>
      </c>
      <c r="H817" s="212"/>
      <c r="I817" s="212"/>
      <c r="J817" s="213"/>
      <c r="K817" s="213"/>
      <c r="L817" s="213"/>
      <c r="M817" s="213"/>
      <c r="N817" s="213"/>
      <c r="O817" s="213"/>
      <c r="P817" s="213"/>
      <c r="Q817" s="213"/>
      <c r="R817" s="213"/>
      <c r="S817" s="213"/>
      <c r="T817" s="213"/>
      <c r="U817" s="213"/>
      <c r="V817" s="213"/>
      <c r="W817" s="213"/>
      <c r="X817" s="213"/>
      <c r="Y817" s="213"/>
      <c r="Z817" s="213"/>
      <c r="AA817" s="213"/>
      <c r="AB817" s="213"/>
      <c r="AC817" s="213"/>
      <c r="AD817" s="213"/>
      <c r="AE817" s="213"/>
      <c r="AF817" s="213"/>
      <c r="AG817" s="213"/>
      <c r="AH817" s="213"/>
      <c r="AI817" s="213"/>
      <c r="AJ817" s="213"/>
      <c r="AK817" s="213"/>
      <c r="AL817" s="213"/>
      <c r="AM817" s="213"/>
      <c r="AN817" s="213"/>
      <c r="AO817" s="213"/>
    </row>
    <row r="818" spans="1:41" s="73" customFormat="1" ht="21" customHeight="1">
      <c r="A818" s="134" t="s">
        <v>98</v>
      </c>
      <c r="B818" s="118" t="s">
        <v>656</v>
      </c>
      <c r="C818" s="120" t="s">
        <v>68</v>
      </c>
      <c r="D818" s="120" t="s">
        <v>76</v>
      </c>
      <c r="E818" s="120" t="s">
        <v>99</v>
      </c>
      <c r="F818" s="117"/>
      <c r="G818" s="183">
        <f t="shared" si="47"/>
        <v>991.8</v>
      </c>
      <c r="H818" s="212"/>
      <c r="I818" s="212"/>
      <c r="J818" s="213"/>
      <c r="K818" s="213"/>
      <c r="L818" s="213"/>
      <c r="M818" s="213"/>
      <c r="N818" s="213"/>
      <c r="O818" s="213"/>
      <c r="P818" s="213"/>
      <c r="Q818" s="213"/>
      <c r="R818" s="213"/>
      <c r="S818" s="213"/>
      <c r="T818" s="213"/>
      <c r="U818" s="213"/>
      <c r="V818" s="213"/>
      <c r="W818" s="213"/>
      <c r="X818" s="213"/>
      <c r="Y818" s="213"/>
      <c r="Z818" s="213"/>
      <c r="AA818" s="213"/>
      <c r="AB818" s="213"/>
      <c r="AC818" s="213"/>
      <c r="AD818" s="213"/>
      <c r="AE818" s="213"/>
      <c r="AF818" s="213"/>
      <c r="AG818" s="213"/>
      <c r="AH818" s="213"/>
      <c r="AI818" s="213"/>
      <c r="AJ818" s="213"/>
      <c r="AK818" s="213"/>
      <c r="AL818" s="213"/>
      <c r="AM818" s="213"/>
      <c r="AN818" s="213"/>
      <c r="AO818" s="213"/>
    </row>
    <row r="819" spans="1:41" s="73" customFormat="1" ht="22.5">
      <c r="A819" s="134" t="s">
        <v>100</v>
      </c>
      <c r="B819" s="118" t="s">
        <v>656</v>
      </c>
      <c r="C819" s="120" t="s">
        <v>68</v>
      </c>
      <c r="D819" s="120" t="s">
        <v>76</v>
      </c>
      <c r="E819" s="120" t="s">
        <v>101</v>
      </c>
      <c r="F819" s="117"/>
      <c r="G819" s="183">
        <f t="shared" si="47"/>
        <v>991.8</v>
      </c>
      <c r="H819" s="212"/>
      <c r="I819" s="212"/>
      <c r="J819" s="213"/>
      <c r="K819" s="213"/>
      <c r="L819" s="213"/>
      <c r="M819" s="213"/>
      <c r="N819" s="213"/>
      <c r="O819" s="213"/>
      <c r="P819" s="213"/>
      <c r="Q819" s="213"/>
      <c r="R819" s="213"/>
      <c r="S819" s="213"/>
      <c r="T819" s="213"/>
      <c r="U819" s="213"/>
      <c r="V819" s="213"/>
      <c r="W819" s="213"/>
      <c r="X819" s="213"/>
      <c r="Y819" s="213"/>
      <c r="Z819" s="213"/>
      <c r="AA819" s="213"/>
      <c r="AB819" s="213"/>
      <c r="AC819" s="213"/>
      <c r="AD819" s="213"/>
      <c r="AE819" s="213"/>
      <c r="AF819" s="213"/>
      <c r="AG819" s="213"/>
      <c r="AH819" s="213"/>
      <c r="AI819" s="213"/>
      <c r="AJ819" s="213"/>
      <c r="AK819" s="213"/>
      <c r="AL819" s="213"/>
      <c r="AM819" s="213"/>
      <c r="AN819" s="213"/>
      <c r="AO819" s="213"/>
    </row>
    <row r="820" spans="1:41" s="73" customFormat="1" ht="22.5">
      <c r="A820" s="134" t="s">
        <v>566</v>
      </c>
      <c r="B820" s="118" t="s">
        <v>656</v>
      </c>
      <c r="C820" s="120" t="s">
        <v>68</v>
      </c>
      <c r="D820" s="120" t="s">
        <v>76</v>
      </c>
      <c r="E820" s="120" t="s">
        <v>101</v>
      </c>
      <c r="F820" s="117">
        <v>727</v>
      </c>
      <c r="G820" s="183">
        <f>1000-8.2</f>
        <v>991.8</v>
      </c>
      <c r="H820" s="212"/>
      <c r="I820" s="212"/>
      <c r="J820" s="213"/>
      <c r="K820" s="213"/>
      <c r="L820" s="213"/>
      <c r="M820" s="213"/>
      <c r="N820" s="213"/>
      <c r="O820" s="213"/>
      <c r="P820" s="213"/>
      <c r="Q820" s="213"/>
      <c r="R820" s="213"/>
      <c r="S820" s="213"/>
      <c r="T820" s="213"/>
      <c r="U820" s="213"/>
      <c r="V820" s="213"/>
      <c r="W820" s="213"/>
      <c r="X820" s="213"/>
      <c r="Y820" s="213"/>
      <c r="Z820" s="213"/>
      <c r="AA820" s="213"/>
      <c r="AB820" s="213"/>
      <c r="AC820" s="213"/>
      <c r="AD820" s="213"/>
      <c r="AE820" s="213"/>
      <c r="AF820" s="213"/>
      <c r="AG820" s="213"/>
      <c r="AH820" s="213"/>
      <c r="AI820" s="213"/>
      <c r="AJ820" s="213"/>
      <c r="AK820" s="213"/>
      <c r="AL820" s="213"/>
      <c r="AM820" s="213"/>
      <c r="AN820" s="213"/>
      <c r="AO820" s="213"/>
    </row>
    <row r="821" spans="1:41" s="68" customFormat="1" ht="42.75">
      <c r="A821" s="136" t="s">
        <v>571</v>
      </c>
      <c r="B821" s="114" t="s">
        <v>572</v>
      </c>
      <c r="C821" s="121"/>
      <c r="D821" s="121"/>
      <c r="E821" s="121"/>
      <c r="F821" s="113"/>
      <c r="G821" s="182">
        <f aca="true" t="shared" si="48" ref="G821:G826">G822</f>
        <v>53</v>
      </c>
      <c r="H821" s="106"/>
      <c r="I821" s="106"/>
      <c r="J821" s="100"/>
      <c r="K821" s="100"/>
      <c r="L821" s="100"/>
      <c r="M821" s="100"/>
      <c r="N821" s="100"/>
      <c r="O821" s="100"/>
      <c r="P821" s="100"/>
      <c r="Q821" s="100"/>
      <c r="R821" s="100"/>
      <c r="S821" s="100"/>
      <c r="T821" s="100"/>
      <c r="U821" s="100"/>
      <c r="V821" s="100"/>
      <c r="W821" s="100"/>
      <c r="X821" s="100"/>
      <c r="Y821" s="100"/>
      <c r="Z821" s="100"/>
      <c r="AA821" s="100"/>
      <c r="AB821" s="100"/>
      <c r="AC821" s="100"/>
      <c r="AD821" s="100"/>
      <c r="AE821" s="100"/>
      <c r="AF821" s="100"/>
      <c r="AG821" s="100"/>
      <c r="AH821" s="100"/>
      <c r="AI821" s="100"/>
      <c r="AJ821" s="100"/>
      <c r="AK821" s="100"/>
      <c r="AL821" s="100"/>
      <c r="AM821" s="100"/>
      <c r="AN821" s="100"/>
      <c r="AO821" s="100"/>
    </row>
    <row r="822" spans="1:41" s="68" customFormat="1" ht="12.75">
      <c r="A822" s="136" t="s">
        <v>5</v>
      </c>
      <c r="B822" s="114" t="s">
        <v>572</v>
      </c>
      <c r="C822" s="121" t="s">
        <v>68</v>
      </c>
      <c r="D822" s="121" t="s">
        <v>36</v>
      </c>
      <c r="E822" s="121"/>
      <c r="F822" s="113"/>
      <c r="G822" s="182">
        <f t="shared" si="48"/>
        <v>53</v>
      </c>
      <c r="H822" s="106"/>
      <c r="I822" s="106"/>
      <c r="J822" s="100"/>
      <c r="K822" s="100"/>
      <c r="L822" s="100"/>
      <c r="M822" s="100"/>
      <c r="N822" s="100"/>
      <c r="O822" s="100"/>
      <c r="P822" s="100"/>
      <c r="Q822" s="100"/>
      <c r="R822" s="100"/>
      <c r="S822" s="100"/>
      <c r="T822" s="100"/>
      <c r="U822" s="100"/>
      <c r="V822" s="100"/>
      <c r="W822" s="100"/>
      <c r="X822" s="100"/>
      <c r="Y822" s="100"/>
      <c r="Z822" s="100"/>
      <c r="AA822" s="100"/>
      <c r="AB822" s="100"/>
      <c r="AC822" s="100"/>
      <c r="AD822" s="100"/>
      <c r="AE822" s="100"/>
      <c r="AF822" s="100"/>
      <c r="AG822" s="100"/>
      <c r="AH822" s="100"/>
      <c r="AI822" s="100"/>
      <c r="AJ822" s="100"/>
      <c r="AK822" s="100"/>
      <c r="AL822" s="100"/>
      <c r="AM822" s="100"/>
      <c r="AN822" s="100"/>
      <c r="AO822" s="100"/>
    </row>
    <row r="823" spans="1:41" s="5" customFormat="1" ht="12.75">
      <c r="A823" s="134" t="s">
        <v>567</v>
      </c>
      <c r="B823" s="118" t="s">
        <v>572</v>
      </c>
      <c r="C823" s="120" t="s">
        <v>68</v>
      </c>
      <c r="D823" s="120" t="s">
        <v>76</v>
      </c>
      <c r="E823" s="120"/>
      <c r="F823" s="117"/>
      <c r="G823" s="183">
        <f t="shared" si="48"/>
        <v>53</v>
      </c>
      <c r="H823" s="102"/>
      <c r="I823" s="102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  <c r="AF823" s="24"/>
      <c r="AG823" s="24"/>
      <c r="AH823" s="24"/>
      <c r="AI823" s="24"/>
      <c r="AJ823" s="24"/>
      <c r="AK823" s="24"/>
      <c r="AL823" s="24"/>
      <c r="AM823" s="24"/>
      <c r="AN823" s="24"/>
      <c r="AO823" s="24"/>
    </row>
    <row r="824" spans="1:41" s="5" customFormat="1" ht="22.5">
      <c r="A824" s="134" t="s">
        <v>610</v>
      </c>
      <c r="B824" s="118" t="s">
        <v>572</v>
      </c>
      <c r="C824" s="120" t="s">
        <v>68</v>
      </c>
      <c r="D824" s="120" t="s">
        <v>76</v>
      </c>
      <c r="E824" s="120" t="s">
        <v>104</v>
      </c>
      <c r="F824" s="117"/>
      <c r="G824" s="183">
        <f t="shared" si="48"/>
        <v>53</v>
      </c>
      <c r="H824" s="102"/>
      <c r="I824" s="102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  <c r="AF824" s="24"/>
      <c r="AG824" s="24"/>
      <c r="AH824" s="24"/>
      <c r="AI824" s="24"/>
      <c r="AJ824" s="24"/>
      <c r="AK824" s="24"/>
      <c r="AL824" s="24"/>
      <c r="AM824" s="24"/>
      <c r="AN824" s="24"/>
      <c r="AO824" s="24"/>
    </row>
    <row r="825" spans="1:41" s="5" customFormat="1" ht="22.5">
      <c r="A825" s="134" t="s">
        <v>98</v>
      </c>
      <c r="B825" s="118" t="s">
        <v>572</v>
      </c>
      <c r="C825" s="120" t="s">
        <v>68</v>
      </c>
      <c r="D825" s="120" t="s">
        <v>76</v>
      </c>
      <c r="E825" s="120" t="s">
        <v>99</v>
      </c>
      <c r="F825" s="117"/>
      <c r="G825" s="183">
        <f t="shared" si="48"/>
        <v>53</v>
      </c>
      <c r="H825" s="102"/>
      <c r="I825" s="102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  <c r="AF825" s="24"/>
      <c r="AG825" s="24"/>
      <c r="AH825" s="24"/>
      <c r="AI825" s="24"/>
      <c r="AJ825" s="24"/>
      <c r="AK825" s="24"/>
      <c r="AL825" s="24"/>
      <c r="AM825" s="24"/>
      <c r="AN825" s="24"/>
      <c r="AO825" s="24"/>
    </row>
    <row r="826" spans="1:41" s="5" customFormat="1" ht="22.5">
      <c r="A826" s="134" t="s">
        <v>100</v>
      </c>
      <c r="B826" s="118" t="s">
        <v>572</v>
      </c>
      <c r="C826" s="120" t="s">
        <v>68</v>
      </c>
      <c r="D826" s="120" t="s">
        <v>76</v>
      </c>
      <c r="E826" s="120" t="s">
        <v>101</v>
      </c>
      <c r="F826" s="117"/>
      <c r="G826" s="183">
        <f t="shared" si="48"/>
        <v>53</v>
      </c>
      <c r="H826" s="102"/>
      <c r="I826" s="102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  <c r="AF826" s="24"/>
      <c r="AG826" s="24"/>
      <c r="AH826" s="24"/>
      <c r="AI826" s="24"/>
      <c r="AJ826" s="24"/>
      <c r="AK826" s="24"/>
      <c r="AL826" s="24"/>
      <c r="AM826" s="24"/>
      <c r="AN826" s="24"/>
      <c r="AO826" s="24"/>
    </row>
    <row r="827" spans="1:41" s="5" customFormat="1" ht="22.5">
      <c r="A827" s="134" t="s">
        <v>566</v>
      </c>
      <c r="B827" s="118" t="s">
        <v>572</v>
      </c>
      <c r="C827" s="120" t="s">
        <v>68</v>
      </c>
      <c r="D827" s="120" t="s">
        <v>76</v>
      </c>
      <c r="E827" s="120" t="s">
        <v>101</v>
      </c>
      <c r="F827" s="117">
        <v>727</v>
      </c>
      <c r="G827" s="183">
        <f>50+3</f>
        <v>53</v>
      </c>
      <c r="H827" s="102"/>
      <c r="I827" s="102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  <c r="AF827" s="24"/>
      <c r="AG827" s="24"/>
      <c r="AH827" s="24"/>
      <c r="AI827" s="24"/>
      <c r="AJ827" s="24"/>
      <c r="AK827" s="24"/>
      <c r="AL827" s="24"/>
      <c r="AM827" s="24"/>
      <c r="AN827" s="24"/>
      <c r="AO827" s="24"/>
    </row>
    <row r="828" spans="1:41" s="5" customFormat="1" ht="21.75">
      <c r="A828" s="136" t="s">
        <v>588</v>
      </c>
      <c r="B828" s="114" t="s">
        <v>589</v>
      </c>
      <c r="C828" s="119"/>
      <c r="D828" s="119"/>
      <c r="E828" s="120"/>
      <c r="F828" s="117"/>
      <c r="G828" s="182">
        <f>G829</f>
        <v>7971.199999999999</v>
      </c>
      <c r="H828" s="102"/>
      <c r="I828" s="102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  <c r="AF828" s="24"/>
      <c r="AG828" s="24"/>
      <c r="AH828" s="24"/>
      <c r="AI828" s="24"/>
      <c r="AJ828" s="24"/>
      <c r="AK828" s="24"/>
      <c r="AL828" s="24"/>
      <c r="AM828" s="24"/>
      <c r="AN828" s="24"/>
      <c r="AO828" s="24"/>
    </row>
    <row r="829" spans="1:41" s="5" customFormat="1" ht="12.75">
      <c r="A829" s="137" t="s">
        <v>281</v>
      </c>
      <c r="B829" s="114" t="s">
        <v>590</v>
      </c>
      <c r="C829" s="116"/>
      <c r="D829" s="116"/>
      <c r="E829" s="121"/>
      <c r="F829" s="113"/>
      <c r="G829" s="182">
        <f>G844+G851+G858+G830+G837</f>
        <v>7971.199999999999</v>
      </c>
      <c r="H829" s="102"/>
      <c r="I829" s="102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  <c r="AF829" s="24"/>
      <c r="AG829" s="24"/>
      <c r="AH829" s="24"/>
      <c r="AI829" s="24"/>
      <c r="AJ829" s="24"/>
      <c r="AK829" s="24"/>
      <c r="AL829" s="24"/>
      <c r="AM829" s="24"/>
      <c r="AN829" s="24"/>
      <c r="AO829" s="24"/>
    </row>
    <row r="830" spans="1:41" s="5" customFormat="1" ht="23.25" customHeight="1">
      <c r="A830" s="136" t="s">
        <v>658</v>
      </c>
      <c r="B830" s="114" t="s">
        <v>592</v>
      </c>
      <c r="C830" s="116"/>
      <c r="D830" s="116"/>
      <c r="E830" s="121"/>
      <c r="F830" s="113"/>
      <c r="G830" s="182">
        <f aca="true" t="shared" si="49" ref="G830:G835">G831</f>
        <v>4602.9</v>
      </c>
      <c r="H830" s="102"/>
      <c r="I830" s="102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  <c r="AF830" s="24"/>
      <c r="AG830" s="24"/>
      <c r="AH830" s="24"/>
      <c r="AI830" s="24"/>
      <c r="AJ830" s="24"/>
      <c r="AK830" s="24"/>
      <c r="AL830" s="24"/>
      <c r="AM830" s="24"/>
      <c r="AN830" s="24"/>
      <c r="AO830" s="24"/>
    </row>
    <row r="831" spans="1:41" s="5" customFormat="1" ht="12.75">
      <c r="A831" s="137" t="s">
        <v>151</v>
      </c>
      <c r="B831" s="114" t="s">
        <v>592</v>
      </c>
      <c r="C831" s="116" t="s">
        <v>72</v>
      </c>
      <c r="D831" s="116" t="s">
        <v>36</v>
      </c>
      <c r="E831" s="121"/>
      <c r="F831" s="113"/>
      <c r="G831" s="182">
        <f t="shared" si="49"/>
        <v>4602.9</v>
      </c>
      <c r="H831" s="102"/>
      <c r="I831" s="102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  <c r="AF831" s="24"/>
      <c r="AG831" s="24"/>
      <c r="AH831" s="24"/>
      <c r="AI831" s="24"/>
      <c r="AJ831" s="24"/>
      <c r="AK831" s="24"/>
      <c r="AL831" s="24"/>
      <c r="AM831" s="24"/>
      <c r="AN831" s="24"/>
      <c r="AO831" s="24"/>
    </row>
    <row r="832" spans="1:41" s="5" customFormat="1" ht="12.75">
      <c r="A832" s="135" t="s">
        <v>210</v>
      </c>
      <c r="B832" s="114" t="s">
        <v>592</v>
      </c>
      <c r="C832" s="116" t="s">
        <v>72</v>
      </c>
      <c r="D832" s="116" t="s">
        <v>70</v>
      </c>
      <c r="E832" s="121"/>
      <c r="F832" s="113"/>
      <c r="G832" s="182">
        <f t="shared" si="49"/>
        <v>4602.9</v>
      </c>
      <c r="H832" s="102"/>
      <c r="I832" s="102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  <c r="AF832" s="24"/>
      <c r="AG832" s="24"/>
      <c r="AH832" s="24"/>
      <c r="AI832" s="24"/>
      <c r="AJ832" s="24"/>
      <c r="AK832" s="24"/>
      <c r="AL832" s="24"/>
      <c r="AM832" s="24"/>
      <c r="AN832" s="24"/>
      <c r="AO832" s="24"/>
    </row>
    <row r="833" spans="1:41" s="5" customFormat="1" ht="22.5">
      <c r="A833" s="134" t="s">
        <v>610</v>
      </c>
      <c r="B833" s="114" t="s">
        <v>592</v>
      </c>
      <c r="C833" s="119" t="s">
        <v>72</v>
      </c>
      <c r="D833" s="119" t="s">
        <v>70</v>
      </c>
      <c r="E833" s="120" t="s">
        <v>104</v>
      </c>
      <c r="F833" s="117"/>
      <c r="G833" s="183">
        <f t="shared" si="49"/>
        <v>4602.9</v>
      </c>
      <c r="H833" s="102"/>
      <c r="I833" s="102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  <c r="AF833" s="24"/>
      <c r="AG833" s="24"/>
      <c r="AH833" s="24"/>
      <c r="AI833" s="24"/>
      <c r="AJ833" s="24"/>
      <c r="AK833" s="24"/>
      <c r="AL833" s="24"/>
      <c r="AM833" s="24"/>
      <c r="AN833" s="24"/>
      <c r="AO833" s="24"/>
    </row>
    <row r="834" spans="1:41" s="5" customFormat="1" ht="22.5">
      <c r="A834" s="134" t="s">
        <v>98</v>
      </c>
      <c r="B834" s="114" t="s">
        <v>592</v>
      </c>
      <c r="C834" s="119" t="s">
        <v>72</v>
      </c>
      <c r="D834" s="119" t="s">
        <v>70</v>
      </c>
      <c r="E834" s="120" t="s">
        <v>99</v>
      </c>
      <c r="F834" s="117"/>
      <c r="G834" s="183">
        <f t="shared" si="49"/>
        <v>4602.9</v>
      </c>
      <c r="H834" s="102"/>
      <c r="I834" s="102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  <c r="AF834" s="24"/>
      <c r="AG834" s="24"/>
      <c r="AH834" s="24"/>
      <c r="AI834" s="24"/>
      <c r="AJ834" s="24"/>
      <c r="AK834" s="24"/>
      <c r="AL834" s="24"/>
      <c r="AM834" s="24"/>
      <c r="AN834" s="24"/>
      <c r="AO834" s="24"/>
    </row>
    <row r="835" spans="1:41" s="5" customFormat="1" ht="22.5">
      <c r="A835" s="134" t="s">
        <v>100</v>
      </c>
      <c r="B835" s="114" t="s">
        <v>592</v>
      </c>
      <c r="C835" s="119" t="s">
        <v>72</v>
      </c>
      <c r="D835" s="119" t="s">
        <v>70</v>
      </c>
      <c r="E835" s="120" t="s">
        <v>101</v>
      </c>
      <c r="F835" s="117"/>
      <c r="G835" s="183">
        <f t="shared" si="49"/>
        <v>4602.9</v>
      </c>
      <c r="H835" s="102"/>
      <c r="I835" s="102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  <c r="AF835" s="24"/>
      <c r="AG835" s="24"/>
      <c r="AH835" s="24"/>
      <c r="AI835" s="24"/>
      <c r="AJ835" s="24"/>
      <c r="AK835" s="24"/>
      <c r="AL835" s="24"/>
      <c r="AM835" s="24"/>
      <c r="AN835" s="24"/>
      <c r="AO835" s="24"/>
    </row>
    <row r="836" spans="1:41" s="5" customFormat="1" ht="22.5">
      <c r="A836" s="134" t="s">
        <v>566</v>
      </c>
      <c r="B836" s="114" t="s">
        <v>592</v>
      </c>
      <c r="C836" s="119" t="s">
        <v>72</v>
      </c>
      <c r="D836" s="119" t="s">
        <v>70</v>
      </c>
      <c r="E836" s="120" t="s">
        <v>101</v>
      </c>
      <c r="F836" s="117">
        <v>727</v>
      </c>
      <c r="G836" s="183">
        <f>5815.7-1212.8</f>
        <v>4602.9</v>
      </c>
      <c r="H836" s="102"/>
      <c r="I836" s="102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  <c r="AF836" s="24"/>
      <c r="AG836" s="24"/>
      <c r="AH836" s="24"/>
      <c r="AI836" s="24"/>
      <c r="AJ836" s="24"/>
      <c r="AK836" s="24"/>
      <c r="AL836" s="24"/>
      <c r="AM836" s="24"/>
      <c r="AN836" s="24"/>
      <c r="AO836" s="24"/>
    </row>
    <row r="837" spans="1:41" s="5" customFormat="1" ht="21.75">
      <c r="A837" s="136" t="s">
        <v>593</v>
      </c>
      <c r="B837" s="114" t="s">
        <v>594</v>
      </c>
      <c r="C837" s="116"/>
      <c r="D837" s="116"/>
      <c r="E837" s="121"/>
      <c r="F837" s="113"/>
      <c r="G837" s="182">
        <f aca="true" t="shared" si="50" ref="G837:G842">G838</f>
        <v>100</v>
      </c>
      <c r="H837" s="102"/>
      <c r="I837" s="102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  <c r="AF837" s="24"/>
      <c r="AG837" s="24"/>
      <c r="AH837" s="24"/>
      <c r="AI837" s="24"/>
      <c r="AJ837" s="24"/>
      <c r="AK837" s="24"/>
      <c r="AL837" s="24"/>
      <c r="AM837" s="24"/>
      <c r="AN837" s="24"/>
      <c r="AO837" s="24"/>
    </row>
    <row r="838" spans="1:41" s="5" customFormat="1" ht="12.75">
      <c r="A838" s="137" t="s">
        <v>151</v>
      </c>
      <c r="B838" s="114" t="s">
        <v>594</v>
      </c>
      <c r="C838" s="116" t="s">
        <v>72</v>
      </c>
      <c r="D838" s="116" t="s">
        <v>36</v>
      </c>
      <c r="E838" s="121"/>
      <c r="F838" s="113"/>
      <c r="G838" s="182">
        <f t="shared" si="50"/>
        <v>100</v>
      </c>
      <c r="H838" s="102"/>
      <c r="I838" s="102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  <c r="AF838" s="24"/>
      <c r="AG838" s="24"/>
      <c r="AH838" s="24"/>
      <c r="AI838" s="24"/>
      <c r="AJ838" s="24"/>
      <c r="AK838" s="24"/>
      <c r="AL838" s="24"/>
      <c r="AM838" s="24"/>
      <c r="AN838" s="24"/>
      <c r="AO838" s="24"/>
    </row>
    <row r="839" spans="1:41" s="5" customFormat="1" ht="12.75">
      <c r="A839" s="135" t="s">
        <v>210</v>
      </c>
      <c r="B839" s="118" t="s">
        <v>594</v>
      </c>
      <c r="C839" s="119" t="s">
        <v>72</v>
      </c>
      <c r="D839" s="119" t="s">
        <v>70</v>
      </c>
      <c r="E839" s="120"/>
      <c r="F839" s="117"/>
      <c r="G839" s="183">
        <f t="shared" si="50"/>
        <v>100</v>
      </c>
      <c r="H839" s="102"/>
      <c r="I839" s="102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  <c r="AF839" s="24"/>
      <c r="AG839" s="24"/>
      <c r="AH839" s="24"/>
      <c r="AI839" s="24"/>
      <c r="AJ839" s="24"/>
      <c r="AK839" s="24"/>
      <c r="AL839" s="24"/>
      <c r="AM839" s="24"/>
      <c r="AN839" s="24"/>
      <c r="AO839" s="24"/>
    </row>
    <row r="840" spans="1:41" s="5" customFormat="1" ht="22.5">
      <c r="A840" s="134" t="s">
        <v>610</v>
      </c>
      <c r="B840" s="118" t="s">
        <v>594</v>
      </c>
      <c r="C840" s="119" t="s">
        <v>72</v>
      </c>
      <c r="D840" s="119" t="s">
        <v>70</v>
      </c>
      <c r="E840" s="120" t="s">
        <v>104</v>
      </c>
      <c r="F840" s="117"/>
      <c r="G840" s="183">
        <f t="shared" si="50"/>
        <v>100</v>
      </c>
      <c r="H840" s="102"/>
      <c r="I840" s="102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  <c r="AF840" s="24"/>
      <c r="AG840" s="24"/>
      <c r="AH840" s="24"/>
      <c r="AI840" s="24"/>
      <c r="AJ840" s="24"/>
      <c r="AK840" s="24"/>
      <c r="AL840" s="24"/>
      <c r="AM840" s="24"/>
      <c r="AN840" s="24"/>
      <c r="AO840" s="24"/>
    </row>
    <row r="841" spans="1:41" s="5" customFormat="1" ht="24.75" customHeight="1">
      <c r="A841" s="134" t="s">
        <v>98</v>
      </c>
      <c r="B841" s="118" t="s">
        <v>594</v>
      </c>
      <c r="C841" s="119" t="s">
        <v>72</v>
      </c>
      <c r="D841" s="119" t="s">
        <v>70</v>
      </c>
      <c r="E841" s="120" t="s">
        <v>99</v>
      </c>
      <c r="F841" s="117"/>
      <c r="G841" s="183">
        <f t="shared" si="50"/>
        <v>100</v>
      </c>
      <c r="H841" s="102"/>
      <c r="I841" s="102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  <c r="AF841" s="24"/>
      <c r="AG841" s="24"/>
      <c r="AH841" s="24"/>
      <c r="AI841" s="24"/>
      <c r="AJ841" s="24"/>
      <c r="AK841" s="24"/>
      <c r="AL841" s="24"/>
      <c r="AM841" s="24"/>
      <c r="AN841" s="24"/>
      <c r="AO841" s="24"/>
    </row>
    <row r="842" spans="1:41" s="5" customFormat="1" ht="22.5">
      <c r="A842" s="134" t="s">
        <v>100</v>
      </c>
      <c r="B842" s="118" t="s">
        <v>594</v>
      </c>
      <c r="C842" s="119" t="s">
        <v>72</v>
      </c>
      <c r="D842" s="119" t="s">
        <v>70</v>
      </c>
      <c r="E842" s="120" t="s">
        <v>101</v>
      </c>
      <c r="F842" s="117"/>
      <c r="G842" s="183">
        <f t="shared" si="50"/>
        <v>100</v>
      </c>
      <c r="H842" s="102"/>
      <c r="I842" s="102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  <c r="AF842" s="24"/>
      <c r="AG842" s="24"/>
      <c r="AH842" s="24"/>
      <c r="AI842" s="24"/>
      <c r="AJ842" s="24"/>
      <c r="AK842" s="24"/>
      <c r="AL842" s="24"/>
      <c r="AM842" s="24"/>
      <c r="AN842" s="24"/>
      <c r="AO842" s="24"/>
    </row>
    <row r="843" spans="1:41" s="5" customFormat="1" ht="22.5">
      <c r="A843" s="134" t="s">
        <v>566</v>
      </c>
      <c r="B843" s="118" t="s">
        <v>594</v>
      </c>
      <c r="C843" s="119" t="s">
        <v>72</v>
      </c>
      <c r="D843" s="119" t="s">
        <v>70</v>
      </c>
      <c r="E843" s="120" t="s">
        <v>101</v>
      </c>
      <c r="F843" s="117">
        <v>727</v>
      </c>
      <c r="G843" s="183">
        <v>100</v>
      </c>
      <c r="H843" s="102"/>
      <c r="I843" s="102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  <c r="AF843" s="24"/>
      <c r="AG843" s="24"/>
      <c r="AH843" s="24"/>
      <c r="AI843" s="24"/>
      <c r="AJ843" s="24"/>
      <c r="AK843" s="24"/>
      <c r="AL843" s="24"/>
      <c r="AM843" s="24"/>
      <c r="AN843" s="24"/>
      <c r="AO843" s="24"/>
    </row>
    <row r="844" spans="1:41" s="5" customFormat="1" ht="12.75">
      <c r="A844" s="136" t="s">
        <v>595</v>
      </c>
      <c r="B844" s="114" t="s">
        <v>596</v>
      </c>
      <c r="C844" s="116"/>
      <c r="D844" s="116"/>
      <c r="E844" s="121"/>
      <c r="F844" s="113"/>
      <c r="G844" s="182">
        <f aca="true" t="shared" si="51" ref="G844:G849">G845</f>
        <v>2050</v>
      </c>
      <c r="H844" s="102"/>
      <c r="I844" s="102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  <c r="AF844" s="24"/>
      <c r="AG844" s="24"/>
      <c r="AH844" s="24"/>
      <c r="AI844" s="24"/>
      <c r="AJ844" s="24"/>
      <c r="AK844" s="24"/>
      <c r="AL844" s="24"/>
      <c r="AM844" s="24"/>
      <c r="AN844" s="24"/>
      <c r="AO844" s="24"/>
    </row>
    <row r="845" spans="1:41" s="68" customFormat="1" ht="12.75">
      <c r="A845" s="137" t="s">
        <v>151</v>
      </c>
      <c r="B845" s="114" t="s">
        <v>596</v>
      </c>
      <c r="C845" s="116" t="s">
        <v>72</v>
      </c>
      <c r="D845" s="116" t="s">
        <v>36</v>
      </c>
      <c r="E845" s="121"/>
      <c r="F845" s="113"/>
      <c r="G845" s="182">
        <f t="shared" si="51"/>
        <v>2050</v>
      </c>
      <c r="H845" s="106"/>
      <c r="I845" s="106"/>
      <c r="J845" s="100"/>
      <c r="K845" s="100"/>
      <c r="L845" s="100"/>
      <c r="M845" s="100"/>
      <c r="N845" s="100"/>
      <c r="O845" s="100"/>
      <c r="P845" s="100"/>
      <c r="Q845" s="100"/>
      <c r="R845" s="100"/>
      <c r="S845" s="100"/>
      <c r="T845" s="100"/>
      <c r="U845" s="100"/>
      <c r="V845" s="100"/>
      <c r="W845" s="100"/>
      <c r="X845" s="100"/>
      <c r="Y845" s="100"/>
      <c r="Z845" s="100"/>
      <c r="AA845" s="100"/>
      <c r="AB845" s="100"/>
      <c r="AC845" s="100"/>
      <c r="AD845" s="100"/>
      <c r="AE845" s="100"/>
      <c r="AF845" s="100"/>
      <c r="AG845" s="100"/>
      <c r="AH845" s="100"/>
      <c r="AI845" s="100"/>
      <c r="AJ845" s="100"/>
      <c r="AK845" s="100"/>
      <c r="AL845" s="100"/>
      <c r="AM845" s="100"/>
      <c r="AN845" s="100"/>
      <c r="AO845" s="100"/>
    </row>
    <row r="846" spans="1:41" s="5" customFormat="1" ht="12.75">
      <c r="A846" s="135" t="s">
        <v>210</v>
      </c>
      <c r="B846" s="118" t="s">
        <v>596</v>
      </c>
      <c r="C846" s="119" t="s">
        <v>72</v>
      </c>
      <c r="D846" s="119" t="s">
        <v>70</v>
      </c>
      <c r="E846" s="120"/>
      <c r="F846" s="117"/>
      <c r="G846" s="183">
        <f t="shared" si="51"/>
        <v>2050</v>
      </c>
      <c r="H846" s="102"/>
      <c r="I846" s="102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  <c r="AF846" s="24"/>
      <c r="AG846" s="24"/>
      <c r="AH846" s="24"/>
      <c r="AI846" s="24"/>
      <c r="AJ846" s="24"/>
      <c r="AK846" s="24"/>
      <c r="AL846" s="24"/>
      <c r="AM846" s="24"/>
      <c r="AN846" s="24"/>
      <c r="AO846" s="24"/>
    </row>
    <row r="847" spans="1:41" s="5" customFormat="1" ht="22.5">
      <c r="A847" s="134" t="s">
        <v>610</v>
      </c>
      <c r="B847" s="118" t="s">
        <v>596</v>
      </c>
      <c r="C847" s="119" t="s">
        <v>72</v>
      </c>
      <c r="D847" s="119" t="s">
        <v>70</v>
      </c>
      <c r="E847" s="120" t="s">
        <v>104</v>
      </c>
      <c r="F847" s="117"/>
      <c r="G847" s="183">
        <f t="shared" si="51"/>
        <v>2050</v>
      </c>
      <c r="H847" s="102"/>
      <c r="I847" s="102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  <c r="AF847" s="24"/>
      <c r="AG847" s="24"/>
      <c r="AH847" s="24"/>
      <c r="AI847" s="24"/>
      <c r="AJ847" s="24"/>
      <c r="AK847" s="24"/>
      <c r="AL847" s="24"/>
      <c r="AM847" s="24"/>
      <c r="AN847" s="24"/>
      <c r="AO847" s="24"/>
    </row>
    <row r="848" spans="1:41" s="5" customFormat="1" ht="21.75" customHeight="1">
      <c r="A848" s="134" t="s">
        <v>98</v>
      </c>
      <c r="B848" s="118" t="s">
        <v>596</v>
      </c>
      <c r="C848" s="119" t="s">
        <v>72</v>
      </c>
      <c r="D848" s="119" t="s">
        <v>70</v>
      </c>
      <c r="E848" s="120" t="s">
        <v>99</v>
      </c>
      <c r="F848" s="117"/>
      <c r="G848" s="183">
        <f t="shared" si="51"/>
        <v>2050</v>
      </c>
      <c r="H848" s="102"/>
      <c r="I848" s="102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  <c r="AF848" s="24"/>
      <c r="AG848" s="24"/>
      <c r="AH848" s="24"/>
      <c r="AI848" s="24"/>
      <c r="AJ848" s="24"/>
      <c r="AK848" s="24"/>
      <c r="AL848" s="24"/>
      <c r="AM848" s="24"/>
      <c r="AN848" s="24"/>
      <c r="AO848" s="24"/>
    </row>
    <row r="849" spans="1:41" s="5" customFormat="1" ht="22.5">
      <c r="A849" s="134" t="s">
        <v>100</v>
      </c>
      <c r="B849" s="118" t="s">
        <v>596</v>
      </c>
      <c r="C849" s="119" t="s">
        <v>72</v>
      </c>
      <c r="D849" s="119" t="s">
        <v>70</v>
      </c>
      <c r="E849" s="120" t="s">
        <v>101</v>
      </c>
      <c r="F849" s="117"/>
      <c r="G849" s="183">
        <f t="shared" si="51"/>
        <v>2050</v>
      </c>
      <c r="H849" s="102"/>
      <c r="I849" s="102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  <c r="AF849" s="24"/>
      <c r="AG849" s="24"/>
      <c r="AH849" s="24"/>
      <c r="AI849" s="24"/>
      <c r="AJ849" s="24"/>
      <c r="AK849" s="24"/>
      <c r="AL849" s="24"/>
      <c r="AM849" s="24"/>
      <c r="AN849" s="24"/>
      <c r="AO849" s="24"/>
    </row>
    <row r="850" spans="1:41" s="5" customFormat="1" ht="22.5">
      <c r="A850" s="134" t="s">
        <v>566</v>
      </c>
      <c r="B850" s="118" t="s">
        <v>596</v>
      </c>
      <c r="C850" s="119" t="s">
        <v>72</v>
      </c>
      <c r="D850" s="119" t="s">
        <v>70</v>
      </c>
      <c r="E850" s="120" t="s">
        <v>101</v>
      </c>
      <c r="F850" s="117">
        <v>727</v>
      </c>
      <c r="G850" s="183">
        <f>2706-656</f>
        <v>2050</v>
      </c>
      <c r="H850" s="102"/>
      <c r="I850" s="102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  <c r="AF850" s="24"/>
      <c r="AG850" s="24"/>
      <c r="AH850" s="24"/>
      <c r="AI850" s="24"/>
      <c r="AJ850" s="24"/>
      <c r="AK850" s="24"/>
      <c r="AL850" s="24"/>
      <c r="AM850" s="24"/>
      <c r="AN850" s="24"/>
      <c r="AO850" s="24"/>
    </row>
    <row r="851" spans="1:41" s="68" customFormat="1" ht="14.25" customHeight="1">
      <c r="A851" s="136" t="s">
        <v>597</v>
      </c>
      <c r="B851" s="114" t="s">
        <v>598</v>
      </c>
      <c r="C851" s="116"/>
      <c r="D851" s="116"/>
      <c r="E851" s="121"/>
      <c r="F851" s="113"/>
      <c r="G851" s="182">
        <f>G852</f>
        <v>1096.6</v>
      </c>
      <c r="H851" s="106"/>
      <c r="I851" s="106"/>
      <c r="J851" s="100"/>
      <c r="K851" s="100"/>
      <c r="L851" s="100"/>
      <c r="M851" s="100"/>
      <c r="N851" s="100"/>
      <c r="O851" s="100"/>
      <c r="P851" s="100"/>
      <c r="Q851" s="100"/>
      <c r="R851" s="100"/>
      <c r="S851" s="100"/>
      <c r="T851" s="100"/>
      <c r="U851" s="100"/>
      <c r="V851" s="100"/>
      <c r="W851" s="100"/>
      <c r="X851" s="100"/>
      <c r="Y851" s="100"/>
      <c r="Z851" s="100"/>
      <c r="AA851" s="100"/>
      <c r="AB851" s="100"/>
      <c r="AC851" s="100"/>
      <c r="AD851" s="100"/>
      <c r="AE851" s="100"/>
      <c r="AF851" s="100"/>
      <c r="AG851" s="100"/>
      <c r="AH851" s="100"/>
      <c r="AI851" s="100"/>
      <c r="AJ851" s="100"/>
      <c r="AK851" s="100"/>
      <c r="AL851" s="100"/>
      <c r="AM851" s="100"/>
      <c r="AN851" s="100"/>
      <c r="AO851" s="100"/>
    </row>
    <row r="852" spans="1:41" s="68" customFormat="1" ht="12.75">
      <c r="A852" s="137" t="s">
        <v>151</v>
      </c>
      <c r="B852" s="114" t="s">
        <v>598</v>
      </c>
      <c r="C852" s="116" t="s">
        <v>72</v>
      </c>
      <c r="D852" s="116" t="s">
        <v>36</v>
      </c>
      <c r="E852" s="121"/>
      <c r="F852" s="113"/>
      <c r="G852" s="182">
        <f>G853</f>
        <v>1096.6</v>
      </c>
      <c r="H852" s="106"/>
      <c r="I852" s="106"/>
      <c r="J852" s="100"/>
      <c r="K852" s="100"/>
      <c r="L852" s="100"/>
      <c r="M852" s="100"/>
      <c r="N852" s="100"/>
      <c r="O852" s="100"/>
      <c r="P852" s="100"/>
      <c r="Q852" s="100"/>
      <c r="R852" s="100"/>
      <c r="S852" s="100"/>
      <c r="T852" s="100"/>
      <c r="U852" s="100"/>
      <c r="V852" s="100"/>
      <c r="W852" s="100"/>
      <c r="X852" s="100"/>
      <c r="Y852" s="100"/>
      <c r="Z852" s="100"/>
      <c r="AA852" s="100"/>
      <c r="AB852" s="100"/>
      <c r="AC852" s="100"/>
      <c r="AD852" s="100"/>
      <c r="AE852" s="100"/>
      <c r="AF852" s="100"/>
      <c r="AG852" s="100"/>
      <c r="AH852" s="100"/>
      <c r="AI852" s="100"/>
      <c r="AJ852" s="100"/>
      <c r="AK852" s="100"/>
      <c r="AL852" s="100"/>
      <c r="AM852" s="100"/>
      <c r="AN852" s="100"/>
      <c r="AO852" s="100"/>
    </row>
    <row r="853" spans="1:41" s="5" customFormat="1" ht="12.75">
      <c r="A853" s="135" t="s">
        <v>210</v>
      </c>
      <c r="B853" s="118" t="s">
        <v>598</v>
      </c>
      <c r="C853" s="119" t="s">
        <v>72</v>
      </c>
      <c r="D853" s="119" t="s">
        <v>70</v>
      </c>
      <c r="E853" s="121"/>
      <c r="F853" s="113"/>
      <c r="G853" s="183">
        <f>G854</f>
        <v>1096.6</v>
      </c>
      <c r="H853" s="102"/>
      <c r="I853" s="102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  <c r="AF853" s="24"/>
      <c r="AG853" s="24"/>
      <c r="AH853" s="24"/>
      <c r="AI853" s="24"/>
      <c r="AJ853" s="24"/>
      <c r="AK853" s="24"/>
      <c r="AL853" s="24"/>
      <c r="AM853" s="24"/>
      <c r="AN853" s="24"/>
      <c r="AO853" s="24"/>
    </row>
    <row r="854" spans="1:41" s="5" customFormat="1" ht="22.5">
      <c r="A854" s="134" t="s">
        <v>610</v>
      </c>
      <c r="B854" s="118" t="s">
        <v>598</v>
      </c>
      <c r="C854" s="119" t="s">
        <v>72</v>
      </c>
      <c r="D854" s="119" t="s">
        <v>70</v>
      </c>
      <c r="E854" s="120" t="s">
        <v>104</v>
      </c>
      <c r="F854" s="117"/>
      <c r="G854" s="183">
        <f>G855</f>
        <v>1096.6</v>
      </c>
      <c r="H854" s="102"/>
      <c r="I854" s="102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  <c r="AF854" s="24"/>
      <c r="AG854" s="24"/>
      <c r="AH854" s="24"/>
      <c r="AI854" s="24"/>
      <c r="AJ854" s="24"/>
      <c r="AK854" s="24"/>
      <c r="AL854" s="24"/>
      <c r="AM854" s="24"/>
      <c r="AN854" s="24"/>
      <c r="AO854" s="24"/>
    </row>
    <row r="855" spans="1:41" s="5" customFormat="1" ht="23.25" customHeight="1">
      <c r="A855" s="134" t="s">
        <v>98</v>
      </c>
      <c r="B855" s="118" t="s">
        <v>598</v>
      </c>
      <c r="C855" s="119" t="s">
        <v>72</v>
      </c>
      <c r="D855" s="119" t="s">
        <v>70</v>
      </c>
      <c r="E855" s="120" t="s">
        <v>99</v>
      </c>
      <c r="F855" s="117"/>
      <c r="G855" s="183">
        <f>G857</f>
        <v>1096.6</v>
      </c>
      <c r="H855" s="102"/>
      <c r="I855" s="102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  <c r="AF855" s="24"/>
      <c r="AG855" s="24"/>
      <c r="AH855" s="24"/>
      <c r="AI855" s="24"/>
      <c r="AJ855" s="24"/>
      <c r="AK855" s="24"/>
      <c r="AL855" s="24"/>
      <c r="AM855" s="24"/>
      <c r="AN855" s="24"/>
      <c r="AO855" s="24"/>
    </row>
    <row r="856" spans="1:41" s="5" customFormat="1" ht="22.5">
      <c r="A856" s="134" t="s">
        <v>100</v>
      </c>
      <c r="B856" s="118" t="s">
        <v>598</v>
      </c>
      <c r="C856" s="119" t="s">
        <v>72</v>
      </c>
      <c r="D856" s="119" t="s">
        <v>70</v>
      </c>
      <c r="E856" s="120" t="s">
        <v>101</v>
      </c>
      <c r="F856" s="117"/>
      <c r="G856" s="183">
        <f>G857</f>
        <v>1096.6</v>
      </c>
      <c r="H856" s="102"/>
      <c r="I856" s="102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  <c r="AF856" s="24"/>
      <c r="AG856" s="24"/>
      <c r="AH856" s="24"/>
      <c r="AI856" s="24"/>
      <c r="AJ856" s="24"/>
      <c r="AK856" s="24"/>
      <c r="AL856" s="24"/>
      <c r="AM856" s="24"/>
      <c r="AN856" s="24"/>
      <c r="AO856" s="24"/>
    </row>
    <row r="857" spans="1:41" s="5" customFormat="1" ht="22.5">
      <c r="A857" s="134" t="s">
        <v>566</v>
      </c>
      <c r="B857" s="118" t="s">
        <v>598</v>
      </c>
      <c r="C857" s="119" t="s">
        <v>72</v>
      </c>
      <c r="D857" s="119" t="s">
        <v>70</v>
      </c>
      <c r="E857" s="120" t="s">
        <v>101</v>
      </c>
      <c r="F857" s="117">
        <v>727</v>
      </c>
      <c r="G857" s="183">
        <f>996.6+100</f>
        <v>1096.6</v>
      </c>
      <c r="H857" s="102"/>
      <c r="I857" s="102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  <c r="AF857" s="24"/>
      <c r="AG857" s="24"/>
      <c r="AH857" s="24"/>
      <c r="AI857" s="24"/>
      <c r="AJ857" s="24"/>
      <c r="AK857" s="24"/>
      <c r="AL857" s="24"/>
      <c r="AM857" s="24"/>
      <c r="AN857" s="24"/>
      <c r="AO857" s="24"/>
    </row>
    <row r="858" spans="1:41" s="68" customFormat="1" ht="12.75">
      <c r="A858" s="134" t="s">
        <v>599</v>
      </c>
      <c r="B858" s="114" t="s">
        <v>600</v>
      </c>
      <c r="C858" s="116" t="s">
        <v>72</v>
      </c>
      <c r="D858" s="116" t="s">
        <v>70</v>
      </c>
      <c r="E858" s="121"/>
      <c r="F858" s="113"/>
      <c r="G858" s="182">
        <f>G859</f>
        <v>121.69999999999999</v>
      </c>
      <c r="H858" s="106"/>
      <c r="I858" s="106"/>
      <c r="J858" s="100"/>
      <c r="K858" s="100"/>
      <c r="L858" s="100"/>
      <c r="M858" s="100"/>
      <c r="N858" s="100"/>
      <c r="O858" s="100"/>
      <c r="P858" s="100"/>
      <c r="Q858" s="100"/>
      <c r="R858" s="100"/>
      <c r="S858" s="100"/>
      <c r="T858" s="100"/>
      <c r="U858" s="100"/>
      <c r="V858" s="100"/>
      <c r="W858" s="100"/>
      <c r="X858" s="100"/>
      <c r="Y858" s="100"/>
      <c r="Z858" s="100"/>
      <c r="AA858" s="100"/>
      <c r="AB858" s="100"/>
      <c r="AC858" s="100"/>
      <c r="AD858" s="100"/>
      <c r="AE858" s="100"/>
      <c r="AF858" s="100"/>
      <c r="AG858" s="100"/>
      <c r="AH858" s="100"/>
      <c r="AI858" s="100"/>
      <c r="AJ858" s="100"/>
      <c r="AK858" s="100"/>
      <c r="AL858" s="100"/>
      <c r="AM858" s="100"/>
      <c r="AN858" s="100"/>
      <c r="AO858" s="100"/>
    </row>
    <row r="859" spans="1:41" s="68" customFormat="1" ht="12.75">
      <c r="A859" s="137" t="s">
        <v>151</v>
      </c>
      <c r="B859" s="114" t="s">
        <v>600</v>
      </c>
      <c r="C859" s="116" t="s">
        <v>72</v>
      </c>
      <c r="D859" s="116" t="s">
        <v>36</v>
      </c>
      <c r="E859" s="121"/>
      <c r="F859" s="113"/>
      <c r="G859" s="182">
        <f>G860</f>
        <v>121.69999999999999</v>
      </c>
      <c r="H859" s="106"/>
      <c r="I859" s="106"/>
      <c r="J859" s="100"/>
      <c r="K859" s="100"/>
      <c r="L859" s="100"/>
      <c r="M859" s="100"/>
      <c r="N859" s="100"/>
      <c r="O859" s="100"/>
      <c r="P859" s="100"/>
      <c r="Q859" s="100"/>
      <c r="R859" s="100"/>
      <c r="S859" s="100"/>
      <c r="T859" s="100"/>
      <c r="U859" s="100"/>
      <c r="V859" s="100"/>
      <c r="W859" s="100"/>
      <c r="X859" s="100"/>
      <c r="Y859" s="100"/>
      <c r="Z859" s="100"/>
      <c r="AA859" s="100"/>
      <c r="AB859" s="100"/>
      <c r="AC859" s="100"/>
      <c r="AD859" s="100"/>
      <c r="AE859" s="100"/>
      <c r="AF859" s="100"/>
      <c r="AG859" s="100"/>
      <c r="AH859" s="100"/>
      <c r="AI859" s="100"/>
      <c r="AJ859" s="100"/>
      <c r="AK859" s="100"/>
      <c r="AL859" s="100"/>
      <c r="AM859" s="100"/>
      <c r="AN859" s="100"/>
      <c r="AO859" s="100"/>
    </row>
    <row r="860" spans="1:41" s="5" customFormat="1" ht="12.75">
      <c r="A860" s="135" t="s">
        <v>210</v>
      </c>
      <c r="B860" s="118" t="s">
        <v>600</v>
      </c>
      <c r="C860" s="119" t="s">
        <v>72</v>
      </c>
      <c r="D860" s="119" t="s">
        <v>70</v>
      </c>
      <c r="E860" s="120"/>
      <c r="F860" s="117"/>
      <c r="G860" s="183">
        <f>G861</f>
        <v>121.69999999999999</v>
      </c>
      <c r="H860" s="102"/>
      <c r="I860" s="102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  <c r="AF860" s="24"/>
      <c r="AG860" s="24"/>
      <c r="AH860" s="24"/>
      <c r="AI860" s="24"/>
      <c r="AJ860" s="24"/>
      <c r="AK860" s="24"/>
      <c r="AL860" s="24"/>
      <c r="AM860" s="24"/>
      <c r="AN860" s="24"/>
      <c r="AO860" s="24"/>
    </row>
    <row r="861" spans="1:41" s="5" customFormat="1" ht="22.5">
      <c r="A861" s="134" t="s">
        <v>610</v>
      </c>
      <c r="B861" s="118" t="s">
        <v>600</v>
      </c>
      <c r="C861" s="119" t="s">
        <v>72</v>
      </c>
      <c r="D861" s="119" t="s">
        <v>70</v>
      </c>
      <c r="E861" s="120" t="s">
        <v>104</v>
      </c>
      <c r="F861" s="117"/>
      <c r="G861" s="183">
        <f>G862</f>
        <v>121.69999999999999</v>
      </c>
      <c r="H861" s="102"/>
      <c r="I861" s="102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  <c r="AF861" s="24"/>
      <c r="AG861" s="24"/>
      <c r="AH861" s="24"/>
      <c r="AI861" s="24"/>
      <c r="AJ861" s="24"/>
      <c r="AK861" s="24"/>
      <c r="AL861" s="24"/>
      <c r="AM861" s="24"/>
      <c r="AN861" s="24"/>
      <c r="AO861" s="24"/>
    </row>
    <row r="862" spans="1:41" s="5" customFormat="1" ht="22.5" customHeight="1">
      <c r="A862" s="134" t="s">
        <v>98</v>
      </c>
      <c r="B862" s="118" t="s">
        <v>600</v>
      </c>
      <c r="C862" s="119" t="s">
        <v>72</v>
      </c>
      <c r="D862" s="119" t="s">
        <v>70</v>
      </c>
      <c r="E862" s="120" t="s">
        <v>99</v>
      </c>
      <c r="F862" s="117"/>
      <c r="G862" s="183">
        <f>G864</f>
        <v>121.69999999999999</v>
      </c>
      <c r="H862" s="102"/>
      <c r="I862" s="102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  <c r="AF862" s="24"/>
      <c r="AG862" s="24"/>
      <c r="AH862" s="24"/>
      <c r="AI862" s="24"/>
      <c r="AJ862" s="24"/>
      <c r="AK862" s="24"/>
      <c r="AL862" s="24"/>
      <c r="AM862" s="24"/>
      <c r="AN862" s="24"/>
      <c r="AO862" s="24"/>
    </row>
    <row r="863" spans="1:41" s="5" customFormat="1" ht="22.5">
      <c r="A863" s="134" t="s">
        <v>100</v>
      </c>
      <c r="B863" s="118" t="s">
        <v>600</v>
      </c>
      <c r="C863" s="119" t="s">
        <v>72</v>
      </c>
      <c r="D863" s="119" t="s">
        <v>70</v>
      </c>
      <c r="E863" s="120" t="s">
        <v>101</v>
      </c>
      <c r="F863" s="117"/>
      <c r="G863" s="183">
        <f>G864</f>
        <v>121.69999999999999</v>
      </c>
      <c r="H863" s="102"/>
      <c r="I863" s="102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  <c r="AF863" s="24"/>
      <c r="AG863" s="24"/>
      <c r="AH863" s="24"/>
      <c r="AI863" s="24"/>
      <c r="AJ863" s="24"/>
      <c r="AK863" s="24"/>
      <c r="AL863" s="24"/>
      <c r="AM863" s="24"/>
      <c r="AN863" s="24"/>
      <c r="AO863" s="24"/>
    </row>
    <row r="864" spans="1:41" s="5" customFormat="1" ht="22.5">
      <c r="A864" s="134" t="s">
        <v>566</v>
      </c>
      <c r="B864" s="118" t="s">
        <v>600</v>
      </c>
      <c r="C864" s="119" t="s">
        <v>72</v>
      </c>
      <c r="D864" s="119" t="s">
        <v>70</v>
      </c>
      <c r="E864" s="120" t="s">
        <v>101</v>
      </c>
      <c r="F864" s="117">
        <v>727</v>
      </c>
      <c r="G864" s="183">
        <f>300-178.3</f>
        <v>121.69999999999999</v>
      </c>
      <c r="H864" s="102"/>
      <c r="I864" s="102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  <c r="AF864" s="24"/>
      <c r="AG864" s="24"/>
      <c r="AH864" s="24"/>
      <c r="AI864" s="24"/>
      <c r="AJ864" s="24"/>
      <c r="AK864" s="24"/>
      <c r="AL864" s="24"/>
      <c r="AM864" s="24"/>
      <c r="AN864" s="24"/>
      <c r="AO864" s="24"/>
    </row>
    <row r="865" spans="1:41" s="5" customFormat="1" ht="36" customHeight="1">
      <c r="A865" s="136" t="s">
        <v>659</v>
      </c>
      <c r="B865" s="114" t="s">
        <v>284</v>
      </c>
      <c r="C865" s="116"/>
      <c r="D865" s="116"/>
      <c r="E865" s="121"/>
      <c r="F865" s="113"/>
      <c r="G865" s="182">
        <f aca="true" t="shared" si="52" ref="G865:G870">G866</f>
        <v>2700</v>
      </c>
      <c r="H865" s="102"/>
      <c r="I865" s="102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  <c r="AF865" s="24"/>
      <c r="AG865" s="24"/>
      <c r="AH865" s="24"/>
      <c r="AI865" s="24"/>
      <c r="AJ865" s="24"/>
      <c r="AK865" s="24"/>
      <c r="AL865" s="24"/>
      <c r="AM865" s="24"/>
      <c r="AN865" s="24"/>
      <c r="AO865" s="24"/>
    </row>
    <row r="866" spans="1:41" s="5" customFormat="1" ht="12.75">
      <c r="A866" s="137" t="s">
        <v>281</v>
      </c>
      <c r="B866" s="114" t="s">
        <v>356</v>
      </c>
      <c r="C866" s="119"/>
      <c r="D866" s="119"/>
      <c r="E866" s="120"/>
      <c r="F866" s="117"/>
      <c r="G866" s="182">
        <f>G867+G874</f>
        <v>2700</v>
      </c>
      <c r="H866" s="102"/>
      <c r="I866" s="102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  <c r="AF866" s="24"/>
      <c r="AG866" s="24"/>
      <c r="AH866" s="24"/>
      <c r="AI866" s="24"/>
      <c r="AJ866" s="24"/>
      <c r="AK866" s="24"/>
      <c r="AL866" s="24"/>
      <c r="AM866" s="24"/>
      <c r="AN866" s="24"/>
      <c r="AO866" s="24"/>
    </row>
    <row r="867" spans="1:41" s="68" customFormat="1" ht="26.25" customHeight="1">
      <c r="A867" s="136" t="s">
        <v>585</v>
      </c>
      <c r="B867" s="114" t="s">
        <v>357</v>
      </c>
      <c r="C867" s="116"/>
      <c r="D867" s="116"/>
      <c r="E867" s="121"/>
      <c r="F867" s="113"/>
      <c r="G867" s="182">
        <f t="shared" si="52"/>
        <v>1881.3</v>
      </c>
      <c r="H867" s="106"/>
      <c r="I867" s="106"/>
      <c r="J867" s="100"/>
      <c r="K867" s="100"/>
      <c r="L867" s="100"/>
      <c r="M867" s="100"/>
      <c r="N867" s="100"/>
      <c r="O867" s="100"/>
      <c r="P867" s="100"/>
      <c r="Q867" s="100"/>
      <c r="R867" s="100"/>
      <c r="S867" s="100"/>
      <c r="T867" s="100"/>
      <c r="U867" s="100"/>
      <c r="V867" s="100"/>
      <c r="W867" s="100"/>
      <c r="X867" s="100"/>
      <c r="Y867" s="100"/>
      <c r="Z867" s="100"/>
      <c r="AA867" s="100"/>
      <c r="AB867" s="100"/>
      <c r="AC867" s="100"/>
      <c r="AD867" s="100"/>
      <c r="AE867" s="100"/>
      <c r="AF867" s="100"/>
      <c r="AG867" s="100"/>
      <c r="AH867" s="100"/>
      <c r="AI867" s="100"/>
      <c r="AJ867" s="100"/>
      <c r="AK867" s="100"/>
      <c r="AL867" s="100"/>
      <c r="AM867" s="100"/>
      <c r="AN867" s="100"/>
      <c r="AO867" s="100"/>
    </row>
    <row r="868" spans="1:41" s="68" customFormat="1" ht="12.75">
      <c r="A868" s="137" t="s">
        <v>151</v>
      </c>
      <c r="B868" s="114" t="s">
        <v>357</v>
      </c>
      <c r="C868" s="116" t="s">
        <v>72</v>
      </c>
      <c r="D868" s="116" t="s">
        <v>36</v>
      </c>
      <c r="E868" s="121"/>
      <c r="F868" s="113"/>
      <c r="G868" s="182">
        <f t="shared" si="52"/>
        <v>1881.3</v>
      </c>
      <c r="H868" s="106"/>
      <c r="I868" s="106"/>
      <c r="J868" s="100"/>
      <c r="K868" s="100"/>
      <c r="L868" s="100"/>
      <c r="M868" s="100"/>
      <c r="N868" s="100"/>
      <c r="O868" s="100"/>
      <c r="P868" s="100"/>
      <c r="Q868" s="100"/>
      <c r="R868" s="100"/>
      <c r="S868" s="100"/>
      <c r="T868" s="100"/>
      <c r="U868" s="100"/>
      <c r="V868" s="100"/>
      <c r="W868" s="100"/>
      <c r="X868" s="100"/>
      <c r="Y868" s="100"/>
      <c r="Z868" s="100"/>
      <c r="AA868" s="100"/>
      <c r="AB868" s="100"/>
      <c r="AC868" s="100"/>
      <c r="AD868" s="100"/>
      <c r="AE868" s="100"/>
      <c r="AF868" s="100"/>
      <c r="AG868" s="100"/>
      <c r="AH868" s="100"/>
      <c r="AI868" s="100"/>
      <c r="AJ868" s="100"/>
      <c r="AK868" s="100"/>
      <c r="AL868" s="100"/>
      <c r="AM868" s="100"/>
      <c r="AN868" s="100"/>
      <c r="AO868" s="100"/>
    </row>
    <row r="869" spans="1:41" s="5" customFormat="1" ht="12.75">
      <c r="A869" s="135" t="s">
        <v>208</v>
      </c>
      <c r="B869" s="118" t="s">
        <v>357</v>
      </c>
      <c r="C869" s="119" t="s">
        <v>72</v>
      </c>
      <c r="D869" s="119" t="s">
        <v>67</v>
      </c>
      <c r="E869" s="120"/>
      <c r="F869" s="117"/>
      <c r="G869" s="183">
        <f t="shared" si="52"/>
        <v>1881.3</v>
      </c>
      <c r="H869" s="102"/>
      <c r="I869" s="102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  <c r="AF869" s="24"/>
      <c r="AG869" s="24"/>
      <c r="AH869" s="24"/>
      <c r="AI869" s="24"/>
      <c r="AJ869" s="24"/>
      <c r="AK869" s="24"/>
      <c r="AL869" s="24"/>
      <c r="AM869" s="24"/>
      <c r="AN869" s="24"/>
      <c r="AO869" s="24"/>
    </row>
    <row r="870" spans="1:41" s="5" customFormat="1" ht="12.75">
      <c r="A870" s="134" t="s">
        <v>128</v>
      </c>
      <c r="B870" s="118" t="s">
        <v>357</v>
      </c>
      <c r="C870" s="119" t="s">
        <v>72</v>
      </c>
      <c r="D870" s="119" t="s">
        <v>67</v>
      </c>
      <c r="E870" s="120" t="s">
        <v>129</v>
      </c>
      <c r="F870" s="117"/>
      <c r="G870" s="183">
        <f t="shared" si="52"/>
        <v>1881.3</v>
      </c>
      <c r="H870" s="102"/>
      <c r="I870" s="102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  <c r="AF870" s="24"/>
      <c r="AG870" s="24"/>
      <c r="AH870" s="24"/>
      <c r="AI870" s="24"/>
      <c r="AJ870" s="24"/>
      <c r="AK870" s="24"/>
      <c r="AL870" s="24"/>
      <c r="AM870" s="24"/>
      <c r="AN870" s="24"/>
      <c r="AO870" s="24"/>
    </row>
    <row r="871" spans="1:41" s="5" customFormat="1" ht="33.75">
      <c r="A871" s="134" t="s">
        <v>164</v>
      </c>
      <c r="B871" s="118" t="s">
        <v>357</v>
      </c>
      <c r="C871" s="119" t="s">
        <v>72</v>
      </c>
      <c r="D871" s="119" t="s">
        <v>67</v>
      </c>
      <c r="E871" s="120" t="s">
        <v>130</v>
      </c>
      <c r="F871" s="117"/>
      <c r="G871" s="183">
        <f>G872</f>
        <v>1881.3</v>
      </c>
      <c r="H871" s="102"/>
      <c r="I871" s="102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  <c r="AE871" s="24"/>
      <c r="AF871" s="24"/>
      <c r="AG871" s="24"/>
      <c r="AH871" s="24"/>
      <c r="AI871" s="24"/>
      <c r="AJ871" s="24"/>
      <c r="AK871" s="24"/>
      <c r="AL871" s="24"/>
      <c r="AM871" s="24"/>
      <c r="AN871" s="24"/>
      <c r="AO871" s="24"/>
    </row>
    <row r="872" spans="1:41" s="74" customFormat="1" ht="35.25" customHeight="1">
      <c r="A872" s="134" t="s">
        <v>609</v>
      </c>
      <c r="B872" s="118" t="s">
        <v>357</v>
      </c>
      <c r="C872" s="119" t="s">
        <v>72</v>
      </c>
      <c r="D872" s="119" t="s">
        <v>67</v>
      </c>
      <c r="E872" s="120" t="s">
        <v>608</v>
      </c>
      <c r="F872" s="117"/>
      <c r="G872" s="183">
        <f>G873</f>
        <v>1881.3</v>
      </c>
      <c r="H872" s="105"/>
      <c r="I872" s="105"/>
      <c r="J872" s="215"/>
      <c r="K872" s="215"/>
      <c r="L872" s="215"/>
      <c r="M872" s="215"/>
      <c r="N872" s="215"/>
      <c r="O872" s="215"/>
      <c r="P872" s="215"/>
      <c r="Q872" s="215"/>
      <c r="R872" s="215"/>
      <c r="S872" s="215"/>
      <c r="T872" s="215"/>
      <c r="U872" s="215"/>
      <c r="V872" s="215"/>
      <c r="W872" s="215"/>
      <c r="X872" s="215"/>
      <c r="Y872" s="215"/>
      <c r="Z872" s="215"/>
      <c r="AA872" s="215"/>
      <c r="AB872" s="215"/>
      <c r="AC872" s="215"/>
      <c r="AD872" s="215"/>
      <c r="AE872" s="215"/>
      <c r="AF872" s="215"/>
      <c r="AG872" s="215"/>
      <c r="AH872" s="215"/>
      <c r="AI872" s="215"/>
      <c r="AJ872" s="215"/>
      <c r="AK872" s="215"/>
      <c r="AL872" s="215"/>
      <c r="AM872" s="215"/>
      <c r="AN872" s="215"/>
      <c r="AO872" s="215"/>
    </row>
    <row r="873" spans="1:41" s="5" customFormat="1" ht="22.5">
      <c r="A873" s="134" t="s">
        <v>566</v>
      </c>
      <c r="B873" s="118" t="s">
        <v>357</v>
      </c>
      <c r="C873" s="119" t="s">
        <v>72</v>
      </c>
      <c r="D873" s="119" t="s">
        <v>67</v>
      </c>
      <c r="E873" s="120" t="s">
        <v>608</v>
      </c>
      <c r="F873" s="117">
        <v>727</v>
      </c>
      <c r="G873" s="183">
        <f>1700+331.3-150</f>
        <v>1881.3</v>
      </c>
      <c r="H873" s="102"/>
      <c r="I873" s="102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  <c r="AF873" s="24"/>
      <c r="AG873" s="24"/>
      <c r="AH873" s="24"/>
      <c r="AI873" s="24"/>
      <c r="AJ873" s="24"/>
      <c r="AK873" s="24"/>
      <c r="AL873" s="24"/>
      <c r="AM873" s="24"/>
      <c r="AN873" s="24"/>
      <c r="AO873" s="24"/>
    </row>
    <row r="874" spans="1:41" s="68" customFormat="1" ht="21.75">
      <c r="A874" s="136" t="s">
        <v>586</v>
      </c>
      <c r="B874" s="114" t="s">
        <v>587</v>
      </c>
      <c r="C874" s="116" t="s">
        <v>72</v>
      </c>
      <c r="D874" s="116" t="s">
        <v>67</v>
      </c>
      <c r="E874" s="121"/>
      <c r="F874" s="113"/>
      <c r="G874" s="182">
        <f>G877</f>
        <v>818.7</v>
      </c>
      <c r="H874" s="106"/>
      <c r="I874" s="106"/>
      <c r="J874" s="100"/>
      <c r="K874" s="100"/>
      <c r="L874" s="100"/>
      <c r="M874" s="100"/>
      <c r="N874" s="100"/>
      <c r="O874" s="100"/>
      <c r="P874" s="100"/>
      <c r="Q874" s="100"/>
      <c r="R874" s="100"/>
      <c r="S874" s="100"/>
      <c r="T874" s="100"/>
      <c r="U874" s="100"/>
      <c r="V874" s="100"/>
      <c r="W874" s="100"/>
      <c r="X874" s="100"/>
      <c r="Y874" s="100"/>
      <c r="Z874" s="100"/>
      <c r="AA874" s="100"/>
      <c r="AB874" s="100"/>
      <c r="AC874" s="100"/>
      <c r="AD874" s="100"/>
      <c r="AE874" s="100"/>
      <c r="AF874" s="100"/>
      <c r="AG874" s="100"/>
      <c r="AH874" s="100"/>
      <c r="AI874" s="100"/>
      <c r="AJ874" s="100"/>
      <c r="AK874" s="100"/>
      <c r="AL874" s="100"/>
      <c r="AM874" s="100"/>
      <c r="AN874" s="100"/>
      <c r="AO874" s="100"/>
    </row>
    <row r="875" spans="1:41" s="68" customFormat="1" ht="12.75">
      <c r="A875" s="137" t="s">
        <v>151</v>
      </c>
      <c r="B875" s="114" t="s">
        <v>587</v>
      </c>
      <c r="C875" s="116" t="s">
        <v>72</v>
      </c>
      <c r="D875" s="116" t="s">
        <v>67</v>
      </c>
      <c r="E875" s="121"/>
      <c r="F875" s="113"/>
      <c r="G875" s="182">
        <f>G876</f>
        <v>818.7</v>
      </c>
      <c r="H875" s="106"/>
      <c r="I875" s="106"/>
      <c r="J875" s="100"/>
      <c r="K875" s="100"/>
      <c r="L875" s="100"/>
      <c r="M875" s="100"/>
      <c r="N875" s="100"/>
      <c r="O875" s="100"/>
      <c r="P875" s="100"/>
      <c r="Q875" s="100"/>
      <c r="R875" s="100"/>
      <c r="S875" s="100"/>
      <c r="T875" s="100"/>
      <c r="U875" s="100"/>
      <c r="V875" s="100"/>
      <c r="W875" s="100"/>
      <c r="X875" s="100"/>
      <c r="Y875" s="100"/>
      <c r="Z875" s="100"/>
      <c r="AA875" s="100"/>
      <c r="AB875" s="100"/>
      <c r="AC875" s="100"/>
      <c r="AD875" s="100"/>
      <c r="AE875" s="100"/>
      <c r="AF875" s="100"/>
      <c r="AG875" s="100"/>
      <c r="AH875" s="100"/>
      <c r="AI875" s="100"/>
      <c r="AJ875" s="100"/>
      <c r="AK875" s="100"/>
      <c r="AL875" s="100"/>
      <c r="AM875" s="100"/>
      <c r="AN875" s="100"/>
      <c r="AO875" s="100"/>
    </row>
    <row r="876" spans="1:41" s="5" customFormat="1" ht="12.75">
      <c r="A876" s="135" t="s">
        <v>208</v>
      </c>
      <c r="B876" s="118" t="s">
        <v>587</v>
      </c>
      <c r="C876" s="119" t="s">
        <v>72</v>
      </c>
      <c r="D876" s="119" t="s">
        <v>67</v>
      </c>
      <c r="E876" s="120"/>
      <c r="F876" s="117"/>
      <c r="G876" s="183">
        <f>G877</f>
        <v>818.7</v>
      </c>
      <c r="H876" s="102"/>
      <c r="I876" s="102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  <c r="AF876" s="24"/>
      <c r="AG876" s="24"/>
      <c r="AH876" s="24"/>
      <c r="AI876" s="24"/>
      <c r="AJ876" s="24"/>
      <c r="AK876" s="24"/>
      <c r="AL876" s="24"/>
      <c r="AM876" s="24"/>
      <c r="AN876" s="24"/>
      <c r="AO876" s="24"/>
    </row>
    <row r="877" spans="1:41" s="5" customFormat="1" ht="12.75">
      <c r="A877" s="134" t="s">
        <v>128</v>
      </c>
      <c r="B877" s="118" t="s">
        <v>587</v>
      </c>
      <c r="C877" s="119" t="s">
        <v>72</v>
      </c>
      <c r="D877" s="119" t="s">
        <v>67</v>
      </c>
      <c r="E877" s="120" t="s">
        <v>129</v>
      </c>
      <c r="F877" s="117"/>
      <c r="G877" s="183">
        <f>G878</f>
        <v>818.7</v>
      </c>
      <c r="H877" s="102"/>
      <c r="I877" s="102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  <c r="AF877" s="24"/>
      <c r="AG877" s="24"/>
      <c r="AH877" s="24"/>
      <c r="AI877" s="24"/>
      <c r="AJ877" s="24"/>
      <c r="AK877" s="24"/>
      <c r="AL877" s="24"/>
      <c r="AM877" s="24"/>
      <c r="AN877" s="24"/>
      <c r="AO877" s="24"/>
    </row>
    <row r="878" spans="1:41" s="5" customFormat="1" ht="33.75">
      <c r="A878" s="134" t="s">
        <v>164</v>
      </c>
      <c r="B878" s="118" t="s">
        <v>587</v>
      </c>
      <c r="C878" s="119" t="s">
        <v>72</v>
      </c>
      <c r="D878" s="119" t="s">
        <v>67</v>
      </c>
      <c r="E878" s="120" t="s">
        <v>130</v>
      </c>
      <c r="F878" s="117"/>
      <c r="G878" s="183">
        <f>G879</f>
        <v>818.7</v>
      </c>
      <c r="H878" s="102"/>
      <c r="I878" s="102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  <c r="AF878" s="24"/>
      <c r="AG878" s="24"/>
      <c r="AH878" s="24"/>
      <c r="AI878" s="24"/>
      <c r="AJ878" s="24"/>
      <c r="AK878" s="24"/>
      <c r="AL878" s="24"/>
      <c r="AM878" s="24"/>
      <c r="AN878" s="24"/>
      <c r="AO878" s="24"/>
    </row>
    <row r="879" spans="1:41" s="74" customFormat="1" ht="33" customHeight="1">
      <c r="A879" s="134" t="s">
        <v>609</v>
      </c>
      <c r="B879" s="118" t="s">
        <v>587</v>
      </c>
      <c r="C879" s="119" t="s">
        <v>72</v>
      </c>
      <c r="D879" s="119" t="s">
        <v>67</v>
      </c>
      <c r="E879" s="120" t="s">
        <v>608</v>
      </c>
      <c r="F879" s="117"/>
      <c r="G879" s="183">
        <f>G880</f>
        <v>818.7</v>
      </c>
      <c r="H879" s="105"/>
      <c r="I879" s="105"/>
      <c r="J879" s="215"/>
      <c r="K879" s="215"/>
      <c r="L879" s="215"/>
      <c r="M879" s="215"/>
      <c r="N879" s="215"/>
      <c r="O879" s="215"/>
      <c r="P879" s="215"/>
      <c r="Q879" s="215"/>
      <c r="R879" s="215"/>
      <c r="S879" s="215"/>
      <c r="T879" s="215"/>
      <c r="U879" s="215"/>
      <c r="V879" s="215"/>
      <c r="W879" s="215"/>
      <c r="X879" s="215"/>
      <c r="Y879" s="215"/>
      <c r="Z879" s="215"/>
      <c r="AA879" s="215"/>
      <c r="AB879" s="215"/>
      <c r="AC879" s="215"/>
      <c r="AD879" s="215"/>
      <c r="AE879" s="215"/>
      <c r="AF879" s="215"/>
      <c r="AG879" s="215"/>
      <c r="AH879" s="215"/>
      <c r="AI879" s="215"/>
      <c r="AJ879" s="215"/>
      <c r="AK879" s="215"/>
      <c r="AL879" s="215"/>
      <c r="AM879" s="215"/>
      <c r="AN879" s="215"/>
      <c r="AO879" s="215"/>
    </row>
    <row r="880" spans="1:41" s="5" customFormat="1" ht="22.5">
      <c r="A880" s="134" t="s">
        <v>566</v>
      </c>
      <c r="B880" s="118" t="s">
        <v>587</v>
      </c>
      <c r="C880" s="119" t="s">
        <v>72</v>
      </c>
      <c r="D880" s="119" t="s">
        <v>67</v>
      </c>
      <c r="E880" s="120" t="s">
        <v>608</v>
      </c>
      <c r="F880" s="117">
        <v>727</v>
      </c>
      <c r="G880" s="183">
        <f>1000-331.3+150</f>
        <v>818.7</v>
      </c>
      <c r="H880" s="102"/>
      <c r="I880" s="102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  <c r="AF880" s="24"/>
      <c r="AG880" s="24"/>
      <c r="AH880" s="24"/>
      <c r="AI880" s="24"/>
      <c r="AJ880" s="24"/>
      <c r="AK880" s="24"/>
      <c r="AL880" s="24"/>
      <c r="AM880" s="24"/>
      <c r="AN880" s="24"/>
      <c r="AO880" s="24"/>
    </row>
    <row r="881" spans="1:41" s="5" customFormat="1" ht="40.5" customHeight="1">
      <c r="A881" s="136" t="s">
        <v>660</v>
      </c>
      <c r="B881" s="114" t="s">
        <v>426</v>
      </c>
      <c r="C881" s="123"/>
      <c r="D881" s="116"/>
      <c r="E881" s="121"/>
      <c r="F881" s="113"/>
      <c r="G881" s="182">
        <f>G882</f>
        <v>118.4</v>
      </c>
      <c r="H881" s="102"/>
      <c r="I881" s="102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  <c r="AF881" s="24"/>
      <c r="AG881" s="24"/>
      <c r="AH881" s="24"/>
      <c r="AI881" s="24"/>
      <c r="AJ881" s="24"/>
      <c r="AK881" s="24"/>
      <c r="AL881" s="24"/>
      <c r="AM881" s="24"/>
      <c r="AN881" s="24"/>
      <c r="AO881" s="24"/>
    </row>
    <row r="882" spans="1:41" s="68" customFormat="1" ht="32.25">
      <c r="A882" s="136" t="s">
        <v>661</v>
      </c>
      <c r="B882" s="114" t="s">
        <v>428</v>
      </c>
      <c r="C882" s="124"/>
      <c r="D882" s="116"/>
      <c r="E882" s="121"/>
      <c r="F882" s="113"/>
      <c r="G882" s="182">
        <f>G883</f>
        <v>118.4</v>
      </c>
      <c r="H882" s="106"/>
      <c r="I882" s="106"/>
      <c r="J882" s="100"/>
      <c r="K882" s="100"/>
      <c r="L882" s="100"/>
      <c r="M882" s="100"/>
      <c r="N882" s="100"/>
      <c r="O882" s="100"/>
      <c r="P882" s="100"/>
      <c r="Q882" s="100"/>
      <c r="R882" s="100"/>
      <c r="S882" s="100"/>
      <c r="T882" s="100"/>
      <c r="U882" s="100"/>
      <c r="V882" s="100"/>
      <c r="W882" s="100"/>
      <c r="X882" s="100"/>
      <c r="Y882" s="100"/>
      <c r="Z882" s="100"/>
      <c r="AA882" s="100"/>
      <c r="AB882" s="100"/>
      <c r="AC882" s="100"/>
      <c r="AD882" s="100"/>
      <c r="AE882" s="100"/>
      <c r="AF882" s="100"/>
      <c r="AG882" s="100"/>
      <c r="AH882" s="100"/>
      <c r="AI882" s="100"/>
      <c r="AJ882" s="100"/>
      <c r="AK882" s="100"/>
      <c r="AL882" s="100"/>
      <c r="AM882" s="100"/>
      <c r="AN882" s="100"/>
      <c r="AO882" s="100"/>
    </row>
    <row r="883" spans="1:41" s="5" customFormat="1" ht="12" customHeight="1">
      <c r="A883" s="136" t="s">
        <v>429</v>
      </c>
      <c r="B883" s="114" t="s">
        <v>430</v>
      </c>
      <c r="C883" s="116"/>
      <c r="D883" s="116"/>
      <c r="E883" s="116"/>
      <c r="F883" s="113"/>
      <c r="G883" s="182">
        <f aca="true" t="shared" si="53" ref="G883:G888">G884</f>
        <v>118.4</v>
      </c>
      <c r="H883" s="102"/>
      <c r="I883" s="102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  <c r="AF883" s="24"/>
      <c r="AG883" s="24"/>
      <c r="AH883" s="24"/>
      <c r="AI883" s="24"/>
      <c r="AJ883" s="24"/>
      <c r="AK883" s="24"/>
      <c r="AL883" s="24"/>
      <c r="AM883" s="24"/>
      <c r="AN883" s="24"/>
      <c r="AO883" s="24"/>
    </row>
    <row r="884" spans="1:41" s="5" customFormat="1" ht="12.75">
      <c r="A884" s="131" t="s">
        <v>2</v>
      </c>
      <c r="B884" s="118" t="s">
        <v>430</v>
      </c>
      <c r="C884" s="123" t="s">
        <v>66</v>
      </c>
      <c r="D884" s="119" t="s">
        <v>36</v>
      </c>
      <c r="E884" s="116"/>
      <c r="F884" s="113"/>
      <c r="G884" s="183">
        <f t="shared" si="53"/>
        <v>118.4</v>
      </c>
      <c r="H884" s="102"/>
      <c r="I884" s="102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  <c r="AF884" s="24"/>
      <c r="AG884" s="24"/>
      <c r="AH884" s="24"/>
      <c r="AI884" s="24"/>
      <c r="AJ884" s="24"/>
      <c r="AK884" s="24"/>
      <c r="AL884" s="24"/>
      <c r="AM884" s="24"/>
      <c r="AN884" s="24"/>
      <c r="AO884" s="24"/>
    </row>
    <row r="885" spans="1:41" s="5" customFormat="1" ht="12.75">
      <c r="A885" s="134" t="s">
        <v>63</v>
      </c>
      <c r="B885" s="118" t="s">
        <v>430</v>
      </c>
      <c r="C885" s="123" t="s">
        <v>66</v>
      </c>
      <c r="D885" s="119" t="s">
        <v>87</v>
      </c>
      <c r="E885" s="116"/>
      <c r="F885" s="113"/>
      <c r="G885" s="183">
        <f t="shared" si="53"/>
        <v>118.4</v>
      </c>
      <c r="H885" s="102"/>
      <c r="I885" s="102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  <c r="AF885" s="24"/>
      <c r="AG885" s="24"/>
      <c r="AH885" s="24"/>
      <c r="AI885" s="24"/>
      <c r="AJ885" s="24"/>
      <c r="AK885" s="24"/>
      <c r="AL885" s="24"/>
      <c r="AM885" s="24"/>
      <c r="AN885" s="24"/>
      <c r="AO885" s="24"/>
    </row>
    <row r="886" spans="1:41" s="5" customFormat="1" ht="22.5">
      <c r="A886" s="134" t="s">
        <v>610</v>
      </c>
      <c r="B886" s="118" t="s">
        <v>430</v>
      </c>
      <c r="C886" s="123" t="s">
        <v>66</v>
      </c>
      <c r="D886" s="119" t="s">
        <v>87</v>
      </c>
      <c r="E886" s="119" t="s">
        <v>104</v>
      </c>
      <c r="F886" s="117"/>
      <c r="G886" s="183">
        <f t="shared" si="53"/>
        <v>118.4</v>
      </c>
      <c r="H886" s="102"/>
      <c r="I886" s="102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  <c r="AE886" s="24"/>
      <c r="AF886" s="24"/>
      <c r="AG886" s="24"/>
      <c r="AH886" s="24"/>
      <c r="AI886" s="24"/>
      <c r="AJ886" s="24"/>
      <c r="AK886" s="24"/>
      <c r="AL886" s="24"/>
      <c r="AM886" s="24"/>
      <c r="AN886" s="24"/>
      <c r="AO886" s="24"/>
    </row>
    <row r="887" spans="1:41" s="5" customFormat="1" ht="23.25" customHeight="1">
      <c r="A887" s="134" t="s">
        <v>98</v>
      </c>
      <c r="B887" s="118" t="s">
        <v>430</v>
      </c>
      <c r="C887" s="120" t="s">
        <v>66</v>
      </c>
      <c r="D887" s="119" t="s">
        <v>87</v>
      </c>
      <c r="E887" s="119" t="s">
        <v>99</v>
      </c>
      <c r="F887" s="117"/>
      <c r="G887" s="183">
        <f t="shared" si="53"/>
        <v>118.4</v>
      </c>
      <c r="H887" s="102"/>
      <c r="I887" s="102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  <c r="AF887" s="24"/>
      <c r="AG887" s="24"/>
      <c r="AH887" s="24"/>
      <c r="AI887" s="24"/>
      <c r="AJ887" s="24"/>
      <c r="AK887" s="24"/>
      <c r="AL887" s="24"/>
      <c r="AM887" s="24"/>
      <c r="AN887" s="24"/>
      <c r="AO887" s="24"/>
    </row>
    <row r="888" spans="1:41" s="5" customFormat="1" ht="22.5">
      <c r="A888" s="134" t="s">
        <v>100</v>
      </c>
      <c r="B888" s="118" t="s">
        <v>430</v>
      </c>
      <c r="C888" s="120" t="s">
        <v>66</v>
      </c>
      <c r="D888" s="119" t="s">
        <v>87</v>
      </c>
      <c r="E888" s="119" t="s">
        <v>101</v>
      </c>
      <c r="F888" s="117"/>
      <c r="G888" s="183">
        <f t="shared" si="53"/>
        <v>118.4</v>
      </c>
      <c r="H888" s="102"/>
      <c r="I888" s="102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  <c r="AF888" s="24"/>
      <c r="AG888" s="24"/>
      <c r="AH888" s="24"/>
      <c r="AI888" s="24"/>
      <c r="AJ888" s="24"/>
      <c r="AK888" s="24"/>
      <c r="AL888" s="24"/>
      <c r="AM888" s="24"/>
      <c r="AN888" s="24"/>
      <c r="AO888" s="24"/>
    </row>
    <row r="889" spans="1:41" s="5" customFormat="1" ht="12.75">
      <c r="A889" s="132" t="s">
        <v>153</v>
      </c>
      <c r="B889" s="118" t="s">
        <v>430</v>
      </c>
      <c r="C889" s="120" t="s">
        <v>66</v>
      </c>
      <c r="D889" s="119" t="s">
        <v>87</v>
      </c>
      <c r="E889" s="119" t="s">
        <v>101</v>
      </c>
      <c r="F889" s="117">
        <v>721</v>
      </c>
      <c r="G889" s="183">
        <f>38+10+70.4</f>
        <v>118.4</v>
      </c>
      <c r="H889" s="102"/>
      <c r="I889" s="102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  <c r="AF889" s="24"/>
      <c r="AG889" s="24"/>
      <c r="AH889" s="24"/>
      <c r="AI889" s="24"/>
      <c r="AJ889" s="24"/>
      <c r="AK889" s="24"/>
      <c r="AL889" s="24"/>
      <c r="AM889" s="24"/>
      <c r="AN889" s="24"/>
      <c r="AO889" s="24"/>
    </row>
    <row r="890" spans="1:41" s="5" customFormat="1" ht="37.5" customHeight="1">
      <c r="A890" s="136" t="s">
        <v>578</v>
      </c>
      <c r="B890" s="114" t="s">
        <v>579</v>
      </c>
      <c r="C890" s="121"/>
      <c r="D890" s="116"/>
      <c r="E890" s="116"/>
      <c r="F890" s="113"/>
      <c r="G890" s="182">
        <f aca="true" t="shared" si="54" ref="G890:G897">G891</f>
        <v>423.8</v>
      </c>
      <c r="H890" s="102"/>
      <c r="I890" s="102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  <c r="AF890" s="24"/>
      <c r="AG890" s="24"/>
      <c r="AH890" s="24"/>
      <c r="AI890" s="24"/>
      <c r="AJ890" s="24"/>
      <c r="AK890" s="24"/>
      <c r="AL890" s="24"/>
      <c r="AM890" s="24"/>
      <c r="AN890" s="24"/>
      <c r="AO890" s="24"/>
    </row>
    <row r="891" spans="1:41" s="57" customFormat="1" ht="12.75">
      <c r="A891" s="131" t="s">
        <v>281</v>
      </c>
      <c r="B891" s="114" t="s">
        <v>580</v>
      </c>
      <c r="C891" s="121"/>
      <c r="D891" s="116"/>
      <c r="E891" s="116"/>
      <c r="F891" s="113"/>
      <c r="G891" s="182">
        <f>G892+G899</f>
        <v>423.8</v>
      </c>
      <c r="H891" s="106"/>
      <c r="I891" s="106"/>
      <c r="J891" s="106"/>
      <c r="K891" s="106"/>
      <c r="L891" s="106"/>
      <c r="M891" s="106"/>
      <c r="N891" s="106"/>
      <c r="O891" s="106"/>
      <c r="P891" s="106"/>
      <c r="Q891" s="106"/>
      <c r="R891" s="106"/>
      <c r="S891" s="106"/>
      <c r="T891" s="106"/>
      <c r="U891" s="106"/>
      <c r="V891" s="106"/>
      <c r="W891" s="106"/>
      <c r="X891" s="106"/>
      <c r="Y891" s="106"/>
      <c r="Z891" s="106"/>
      <c r="AA891" s="106"/>
      <c r="AB891" s="106"/>
      <c r="AC891" s="106"/>
      <c r="AD891" s="106"/>
      <c r="AE891" s="106"/>
      <c r="AF891" s="106"/>
      <c r="AG891" s="106"/>
      <c r="AH891" s="106"/>
      <c r="AI891" s="106"/>
      <c r="AJ891" s="106"/>
      <c r="AK891" s="106"/>
      <c r="AL891" s="106"/>
      <c r="AM891" s="106"/>
      <c r="AN891" s="106"/>
      <c r="AO891" s="106"/>
    </row>
    <row r="892" spans="1:41" s="57" customFormat="1" ht="21.75">
      <c r="A892" s="136" t="s">
        <v>581</v>
      </c>
      <c r="B892" s="114" t="s">
        <v>582</v>
      </c>
      <c r="C892" s="121"/>
      <c r="D892" s="116"/>
      <c r="E892" s="116"/>
      <c r="F892" s="113"/>
      <c r="G892" s="182">
        <f t="shared" si="54"/>
        <v>376.2</v>
      </c>
      <c r="H892" s="106"/>
      <c r="I892" s="106"/>
      <c r="J892" s="106"/>
      <c r="K892" s="106"/>
      <c r="L892" s="106"/>
      <c r="M892" s="106"/>
      <c r="N892" s="106"/>
      <c r="O892" s="106"/>
      <c r="P892" s="106"/>
      <c r="Q892" s="106"/>
      <c r="R892" s="106"/>
      <c r="S892" s="106"/>
      <c r="T892" s="106"/>
      <c r="U892" s="106"/>
      <c r="V892" s="106"/>
      <c r="W892" s="106"/>
      <c r="X892" s="106"/>
      <c r="Y892" s="106"/>
      <c r="Z892" s="106"/>
      <c r="AA892" s="106"/>
      <c r="AB892" s="106"/>
      <c r="AC892" s="106"/>
      <c r="AD892" s="106"/>
      <c r="AE892" s="106"/>
      <c r="AF892" s="106"/>
      <c r="AG892" s="106"/>
      <c r="AH892" s="106"/>
      <c r="AI892" s="106"/>
      <c r="AJ892" s="106"/>
      <c r="AK892" s="106"/>
      <c r="AL892" s="106"/>
      <c r="AM892" s="106"/>
      <c r="AN892" s="106"/>
      <c r="AO892" s="106"/>
    </row>
    <row r="893" spans="1:41" s="57" customFormat="1" ht="12.75">
      <c r="A893" s="136" t="s">
        <v>5</v>
      </c>
      <c r="B893" s="114" t="s">
        <v>582</v>
      </c>
      <c r="C893" s="121" t="s">
        <v>68</v>
      </c>
      <c r="D893" s="116" t="s">
        <v>36</v>
      </c>
      <c r="E893" s="116"/>
      <c r="F893" s="113"/>
      <c r="G893" s="182">
        <f t="shared" si="54"/>
        <v>376.2</v>
      </c>
      <c r="H893" s="106"/>
      <c r="I893" s="106"/>
      <c r="J893" s="106"/>
      <c r="K893" s="106"/>
      <c r="L893" s="106"/>
      <c r="M893" s="106"/>
      <c r="N893" s="106"/>
      <c r="O893" s="106"/>
      <c r="P893" s="106"/>
      <c r="Q893" s="106"/>
      <c r="R893" s="106"/>
      <c r="S893" s="106"/>
      <c r="T893" s="106"/>
      <c r="U893" s="106"/>
      <c r="V893" s="106"/>
      <c r="W893" s="106"/>
      <c r="X893" s="106"/>
      <c r="Y893" s="106"/>
      <c r="Z893" s="106"/>
      <c r="AA893" s="106"/>
      <c r="AB893" s="106"/>
      <c r="AC893" s="106"/>
      <c r="AD893" s="106"/>
      <c r="AE893" s="106"/>
      <c r="AF893" s="106"/>
      <c r="AG893" s="106"/>
      <c r="AH893" s="106"/>
      <c r="AI893" s="106"/>
      <c r="AJ893" s="106"/>
      <c r="AK893" s="106"/>
      <c r="AL893" s="106"/>
      <c r="AM893" s="106"/>
      <c r="AN893" s="106"/>
      <c r="AO893" s="106"/>
    </row>
    <row r="894" spans="1:41" s="11" customFormat="1" ht="12.75">
      <c r="A894" s="134" t="s">
        <v>82</v>
      </c>
      <c r="B894" s="118" t="s">
        <v>582</v>
      </c>
      <c r="C894" s="120" t="s">
        <v>68</v>
      </c>
      <c r="D894" s="119" t="s">
        <v>75</v>
      </c>
      <c r="E894" s="119"/>
      <c r="F894" s="117"/>
      <c r="G894" s="183">
        <f t="shared" si="54"/>
        <v>376.2</v>
      </c>
      <c r="H894" s="102"/>
      <c r="I894" s="102"/>
      <c r="J894" s="102"/>
      <c r="K894" s="102"/>
      <c r="L894" s="102"/>
      <c r="M894" s="102"/>
      <c r="N894" s="102"/>
      <c r="O894" s="102"/>
      <c r="P894" s="102"/>
      <c r="Q894" s="102"/>
      <c r="R894" s="102"/>
      <c r="S894" s="102"/>
      <c r="T894" s="102"/>
      <c r="U894" s="102"/>
      <c r="V894" s="102"/>
      <c r="W894" s="102"/>
      <c r="X894" s="102"/>
      <c r="Y894" s="102"/>
      <c r="Z894" s="102"/>
      <c r="AA894" s="102"/>
      <c r="AB894" s="102"/>
      <c r="AC894" s="102"/>
      <c r="AD894" s="102"/>
      <c r="AE894" s="102"/>
      <c r="AF894" s="102"/>
      <c r="AG894" s="102"/>
      <c r="AH894" s="102"/>
      <c r="AI894" s="102"/>
      <c r="AJ894" s="102"/>
      <c r="AK894" s="102"/>
      <c r="AL894" s="102"/>
      <c r="AM894" s="102"/>
      <c r="AN894" s="102"/>
      <c r="AO894" s="102"/>
    </row>
    <row r="895" spans="1:41" s="11" customFormat="1" ht="22.5">
      <c r="A895" s="134" t="s">
        <v>610</v>
      </c>
      <c r="B895" s="118" t="s">
        <v>582</v>
      </c>
      <c r="C895" s="120" t="s">
        <v>68</v>
      </c>
      <c r="D895" s="119" t="s">
        <v>75</v>
      </c>
      <c r="E895" s="119" t="s">
        <v>104</v>
      </c>
      <c r="F895" s="117"/>
      <c r="G895" s="183">
        <f t="shared" si="54"/>
        <v>376.2</v>
      </c>
      <c r="H895" s="102"/>
      <c r="I895" s="102"/>
      <c r="J895" s="102"/>
      <c r="K895" s="102"/>
      <c r="L895" s="102"/>
      <c r="M895" s="102"/>
      <c r="N895" s="102"/>
      <c r="O895" s="102"/>
      <c r="P895" s="102"/>
      <c r="Q895" s="102"/>
      <c r="R895" s="102"/>
      <c r="S895" s="102"/>
      <c r="T895" s="102"/>
      <c r="U895" s="102"/>
      <c r="V895" s="102"/>
      <c r="W895" s="102"/>
      <c r="X895" s="102"/>
      <c r="Y895" s="102"/>
      <c r="Z895" s="102"/>
      <c r="AA895" s="102"/>
      <c r="AB895" s="102"/>
      <c r="AC895" s="102"/>
      <c r="AD895" s="102"/>
      <c r="AE895" s="102"/>
      <c r="AF895" s="102"/>
      <c r="AG895" s="102"/>
      <c r="AH895" s="102"/>
      <c r="AI895" s="102"/>
      <c r="AJ895" s="102"/>
      <c r="AK895" s="102"/>
      <c r="AL895" s="102"/>
      <c r="AM895" s="102"/>
      <c r="AN895" s="102"/>
      <c r="AO895" s="102"/>
    </row>
    <row r="896" spans="1:41" s="11" customFormat="1" ht="21.75" customHeight="1">
      <c r="A896" s="134" t="s">
        <v>98</v>
      </c>
      <c r="B896" s="118" t="s">
        <v>582</v>
      </c>
      <c r="C896" s="120" t="s">
        <v>68</v>
      </c>
      <c r="D896" s="119" t="s">
        <v>75</v>
      </c>
      <c r="E896" s="119" t="s">
        <v>99</v>
      </c>
      <c r="F896" s="117"/>
      <c r="G896" s="183">
        <f t="shared" si="54"/>
        <v>376.2</v>
      </c>
      <c r="H896" s="102"/>
      <c r="I896" s="102"/>
      <c r="J896" s="102"/>
      <c r="K896" s="102"/>
      <c r="L896" s="102"/>
      <c r="M896" s="102"/>
      <c r="N896" s="102"/>
      <c r="O896" s="102"/>
      <c r="P896" s="102"/>
      <c r="Q896" s="102"/>
      <c r="R896" s="102"/>
      <c r="S896" s="102"/>
      <c r="T896" s="102"/>
      <c r="U896" s="102"/>
      <c r="V896" s="102"/>
      <c r="W896" s="102"/>
      <c r="X896" s="102"/>
      <c r="Y896" s="102"/>
      <c r="Z896" s="102"/>
      <c r="AA896" s="102"/>
      <c r="AB896" s="102"/>
      <c r="AC896" s="102"/>
      <c r="AD896" s="102"/>
      <c r="AE896" s="102"/>
      <c r="AF896" s="102"/>
      <c r="AG896" s="102"/>
      <c r="AH896" s="102"/>
      <c r="AI896" s="102"/>
      <c r="AJ896" s="102"/>
      <c r="AK896" s="102"/>
      <c r="AL896" s="102"/>
      <c r="AM896" s="102"/>
      <c r="AN896" s="102"/>
      <c r="AO896" s="102"/>
    </row>
    <row r="897" spans="1:41" s="11" customFormat="1" ht="22.5">
      <c r="A897" s="134" t="s">
        <v>100</v>
      </c>
      <c r="B897" s="118" t="s">
        <v>582</v>
      </c>
      <c r="C897" s="120" t="s">
        <v>68</v>
      </c>
      <c r="D897" s="119" t="s">
        <v>75</v>
      </c>
      <c r="E897" s="119" t="s">
        <v>101</v>
      </c>
      <c r="F897" s="117"/>
      <c r="G897" s="183">
        <f t="shared" si="54"/>
        <v>376.2</v>
      </c>
      <c r="H897" s="102"/>
      <c r="I897" s="102"/>
      <c r="J897" s="102"/>
      <c r="K897" s="102"/>
      <c r="L897" s="102"/>
      <c r="M897" s="102"/>
      <c r="N897" s="102"/>
      <c r="O897" s="102"/>
      <c r="P897" s="102"/>
      <c r="Q897" s="102"/>
      <c r="R897" s="102"/>
      <c r="S897" s="102"/>
      <c r="T897" s="102"/>
      <c r="U897" s="102"/>
      <c r="V897" s="102"/>
      <c r="W897" s="102"/>
      <c r="X897" s="102"/>
      <c r="Y897" s="102"/>
      <c r="Z897" s="102"/>
      <c r="AA897" s="102"/>
      <c r="AB897" s="102"/>
      <c r="AC897" s="102"/>
      <c r="AD897" s="102"/>
      <c r="AE897" s="102"/>
      <c r="AF897" s="102"/>
      <c r="AG897" s="102"/>
      <c r="AH897" s="102"/>
      <c r="AI897" s="102"/>
      <c r="AJ897" s="102"/>
      <c r="AK897" s="102"/>
      <c r="AL897" s="102"/>
      <c r="AM897" s="102"/>
      <c r="AN897" s="102"/>
      <c r="AO897" s="102"/>
    </row>
    <row r="898" spans="1:41" s="5" customFormat="1" ht="22.5">
      <c r="A898" s="134" t="s">
        <v>566</v>
      </c>
      <c r="B898" s="118" t="s">
        <v>582</v>
      </c>
      <c r="C898" s="120" t="s">
        <v>68</v>
      </c>
      <c r="D898" s="119" t="s">
        <v>75</v>
      </c>
      <c r="E898" s="119" t="s">
        <v>101</v>
      </c>
      <c r="F898" s="117">
        <v>727</v>
      </c>
      <c r="G898" s="183">
        <f>500-123.8</f>
        <v>376.2</v>
      </c>
      <c r="H898" s="102"/>
      <c r="I898" s="102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  <c r="AF898" s="24"/>
      <c r="AG898" s="24"/>
      <c r="AH898" s="24"/>
      <c r="AI898" s="24"/>
      <c r="AJ898" s="24"/>
      <c r="AK898" s="24"/>
      <c r="AL898" s="24"/>
      <c r="AM898" s="24"/>
      <c r="AN898" s="24"/>
      <c r="AO898" s="24"/>
    </row>
    <row r="899" spans="1:41" s="68" customFormat="1" ht="24" customHeight="1">
      <c r="A899" s="173" t="s">
        <v>872</v>
      </c>
      <c r="B899" s="114" t="s">
        <v>873</v>
      </c>
      <c r="C899" s="121"/>
      <c r="D899" s="116"/>
      <c r="E899" s="116"/>
      <c r="F899" s="113"/>
      <c r="G899" s="182">
        <f>G900+G906</f>
        <v>47.6</v>
      </c>
      <c r="H899" s="106"/>
      <c r="I899" s="106"/>
      <c r="J899" s="100"/>
      <c r="K899" s="100"/>
      <c r="L899" s="100"/>
      <c r="M899" s="100"/>
      <c r="N899" s="100"/>
      <c r="O899" s="100"/>
      <c r="P899" s="100"/>
      <c r="Q899" s="100"/>
      <c r="R899" s="100"/>
      <c r="S899" s="100"/>
      <c r="T899" s="100"/>
      <c r="U899" s="100"/>
      <c r="V899" s="100"/>
      <c r="W899" s="100"/>
      <c r="X899" s="100"/>
      <c r="Y899" s="100"/>
      <c r="Z899" s="100"/>
      <c r="AA899" s="100"/>
      <c r="AB899" s="100"/>
      <c r="AC899" s="100"/>
      <c r="AD899" s="100"/>
      <c r="AE899" s="100"/>
      <c r="AF899" s="100"/>
      <c r="AG899" s="100"/>
      <c r="AH899" s="100"/>
      <c r="AI899" s="100"/>
      <c r="AJ899" s="100"/>
      <c r="AK899" s="100"/>
      <c r="AL899" s="100"/>
      <c r="AM899" s="100"/>
      <c r="AN899" s="100"/>
      <c r="AO899" s="100"/>
    </row>
    <row r="900" spans="1:41" s="5" customFormat="1" ht="12.75">
      <c r="A900" s="131" t="s">
        <v>8</v>
      </c>
      <c r="B900" s="118" t="s">
        <v>873</v>
      </c>
      <c r="C900" s="120" t="s">
        <v>69</v>
      </c>
      <c r="D900" s="119" t="s">
        <v>36</v>
      </c>
      <c r="E900" s="119"/>
      <c r="F900" s="117"/>
      <c r="G900" s="183">
        <f>G901</f>
        <v>13.6</v>
      </c>
      <c r="H900" s="102"/>
      <c r="I900" s="102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  <c r="AF900" s="24"/>
      <c r="AG900" s="24"/>
      <c r="AH900" s="24"/>
      <c r="AI900" s="24"/>
      <c r="AJ900" s="24"/>
      <c r="AK900" s="24"/>
      <c r="AL900" s="24"/>
      <c r="AM900" s="24"/>
      <c r="AN900" s="24"/>
      <c r="AO900" s="24"/>
    </row>
    <row r="901" spans="1:41" s="5" customFormat="1" ht="12.75">
      <c r="A901" s="132" t="s">
        <v>9</v>
      </c>
      <c r="B901" s="118" t="s">
        <v>873</v>
      </c>
      <c r="C901" s="120" t="s">
        <v>69</v>
      </c>
      <c r="D901" s="119" t="s">
        <v>66</v>
      </c>
      <c r="E901" s="119"/>
      <c r="F901" s="117"/>
      <c r="G901" s="183">
        <f>G902</f>
        <v>13.6</v>
      </c>
      <c r="H901" s="102"/>
      <c r="I901" s="102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  <c r="AF901" s="24"/>
      <c r="AG901" s="24"/>
      <c r="AH901" s="24"/>
      <c r="AI901" s="24"/>
      <c r="AJ901" s="24"/>
      <c r="AK901" s="24"/>
      <c r="AL901" s="24"/>
      <c r="AM901" s="24"/>
      <c r="AN901" s="24"/>
      <c r="AO901" s="24"/>
    </row>
    <row r="902" spans="1:41" s="5" customFormat="1" ht="22.5">
      <c r="A902" s="179" t="s">
        <v>105</v>
      </c>
      <c r="B902" s="118" t="s">
        <v>873</v>
      </c>
      <c r="C902" s="120" t="s">
        <v>69</v>
      </c>
      <c r="D902" s="119" t="s">
        <v>66</v>
      </c>
      <c r="E902" s="119" t="s">
        <v>106</v>
      </c>
      <c r="F902" s="117"/>
      <c r="G902" s="183">
        <f>G903</f>
        <v>13.6</v>
      </c>
      <c r="H902" s="102"/>
      <c r="I902" s="102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  <c r="AF902" s="24"/>
      <c r="AG902" s="24"/>
      <c r="AH902" s="24"/>
      <c r="AI902" s="24"/>
      <c r="AJ902" s="24"/>
      <c r="AK902" s="24"/>
      <c r="AL902" s="24"/>
      <c r="AM902" s="24"/>
      <c r="AN902" s="24"/>
      <c r="AO902" s="24"/>
    </row>
    <row r="903" spans="1:41" s="5" customFormat="1" ht="12.75">
      <c r="A903" s="179" t="s">
        <v>111</v>
      </c>
      <c r="B903" s="118" t="s">
        <v>873</v>
      </c>
      <c r="C903" s="120" t="s">
        <v>69</v>
      </c>
      <c r="D903" s="119" t="s">
        <v>66</v>
      </c>
      <c r="E903" s="119" t="s">
        <v>112</v>
      </c>
      <c r="F903" s="117"/>
      <c r="G903" s="183">
        <f>G904</f>
        <v>13.6</v>
      </c>
      <c r="H903" s="102"/>
      <c r="I903" s="102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  <c r="AE903" s="24"/>
      <c r="AF903" s="24"/>
      <c r="AG903" s="24"/>
      <c r="AH903" s="24"/>
      <c r="AI903" s="24"/>
      <c r="AJ903" s="24"/>
      <c r="AK903" s="24"/>
      <c r="AL903" s="24"/>
      <c r="AM903" s="24"/>
      <c r="AN903" s="24"/>
      <c r="AO903" s="24"/>
    </row>
    <row r="904" spans="1:41" s="5" customFormat="1" ht="12.75">
      <c r="A904" s="179" t="s">
        <v>115</v>
      </c>
      <c r="B904" s="118" t="s">
        <v>873</v>
      </c>
      <c r="C904" s="120" t="s">
        <v>69</v>
      </c>
      <c r="D904" s="119" t="s">
        <v>66</v>
      </c>
      <c r="E904" s="119" t="s">
        <v>116</v>
      </c>
      <c r="F904" s="117"/>
      <c r="G904" s="183">
        <f>G905</f>
        <v>13.6</v>
      </c>
      <c r="H904" s="102"/>
      <c r="I904" s="102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  <c r="AE904" s="24"/>
      <c r="AF904" s="24"/>
      <c r="AG904" s="24"/>
      <c r="AH904" s="24"/>
      <c r="AI904" s="24"/>
      <c r="AJ904" s="24"/>
      <c r="AK904" s="24"/>
      <c r="AL904" s="24"/>
      <c r="AM904" s="24"/>
      <c r="AN904" s="24"/>
      <c r="AO904" s="24"/>
    </row>
    <row r="905" spans="1:41" s="5" customFormat="1" ht="22.5">
      <c r="A905" s="132" t="s">
        <v>156</v>
      </c>
      <c r="B905" s="118" t="s">
        <v>873</v>
      </c>
      <c r="C905" s="120" t="s">
        <v>69</v>
      </c>
      <c r="D905" s="119" t="s">
        <v>66</v>
      </c>
      <c r="E905" s="119" t="s">
        <v>116</v>
      </c>
      <c r="F905" s="117">
        <v>725</v>
      </c>
      <c r="G905" s="183">
        <v>13.6</v>
      </c>
      <c r="H905" s="102"/>
      <c r="I905" s="102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  <c r="AF905" s="24"/>
      <c r="AG905" s="24"/>
      <c r="AH905" s="24"/>
      <c r="AI905" s="24"/>
      <c r="AJ905" s="24"/>
      <c r="AK905" s="24"/>
      <c r="AL905" s="24"/>
      <c r="AM905" s="24"/>
      <c r="AN905" s="24"/>
      <c r="AO905" s="24"/>
    </row>
    <row r="906" spans="1:41" s="5" customFormat="1" ht="12.75">
      <c r="A906" s="132" t="s">
        <v>651</v>
      </c>
      <c r="B906" s="118" t="s">
        <v>873</v>
      </c>
      <c r="C906" s="120" t="s">
        <v>69</v>
      </c>
      <c r="D906" s="119" t="s">
        <v>67</v>
      </c>
      <c r="E906" s="119"/>
      <c r="F906" s="117"/>
      <c r="G906" s="183">
        <f>G907</f>
        <v>34</v>
      </c>
      <c r="H906" s="102"/>
      <c r="I906" s="102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  <c r="AE906" s="24"/>
      <c r="AF906" s="24"/>
      <c r="AG906" s="24"/>
      <c r="AH906" s="24"/>
      <c r="AI906" s="24"/>
      <c r="AJ906" s="24"/>
      <c r="AK906" s="24"/>
      <c r="AL906" s="24"/>
      <c r="AM906" s="24"/>
      <c r="AN906" s="24"/>
      <c r="AO906" s="24"/>
    </row>
    <row r="907" spans="1:41" s="5" customFormat="1" ht="22.5">
      <c r="A907" s="179" t="s">
        <v>105</v>
      </c>
      <c r="B907" s="118" t="s">
        <v>873</v>
      </c>
      <c r="C907" s="120" t="s">
        <v>69</v>
      </c>
      <c r="D907" s="119" t="s">
        <v>67</v>
      </c>
      <c r="E907" s="119" t="s">
        <v>106</v>
      </c>
      <c r="F907" s="117"/>
      <c r="G907" s="183">
        <f>G908</f>
        <v>34</v>
      </c>
      <c r="H907" s="102"/>
      <c r="I907" s="102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  <c r="AE907" s="24"/>
      <c r="AF907" s="24"/>
      <c r="AG907" s="24"/>
      <c r="AH907" s="24"/>
      <c r="AI907" s="24"/>
      <c r="AJ907" s="24"/>
      <c r="AK907" s="24"/>
      <c r="AL907" s="24"/>
      <c r="AM907" s="24"/>
      <c r="AN907" s="24"/>
      <c r="AO907" s="24"/>
    </row>
    <row r="908" spans="1:41" s="5" customFormat="1" ht="12.75">
      <c r="A908" s="179" t="s">
        <v>111</v>
      </c>
      <c r="B908" s="118" t="s">
        <v>873</v>
      </c>
      <c r="C908" s="120" t="s">
        <v>69</v>
      </c>
      <c r="D908" s="119" t="s">
        <v>67</v>
      </c>
      <c r="E908" s="119" t="s">
        <v>112</v>
      </c>
      <c r="F908" s="117"/>
      <c r="G908" s="183">
        <f>G909</f>
        <v>34</v>
      </c>
      <c r="H908" s="102"/>
      <c r="I908" s="102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  <c r="AE908" s="24"/>
      <c r="AF908" s="24"/>
      <c r="AG908" s="24"/>
      <c r="AH908" s="24"/>
      <c r="AI908" s="24"/>
      <c r="AJ908" s="24"/>
      <c r="AK908" s="24"/>
      <c r="AL908" s="24"/>
      <c r="AM908" s="24"/>
      <c r="AN908" s="24"/>
      <c r="AO908" s="24"/>
    </row>
    <row r="909" spans="1:41" s="5" customFormat="1" ht="12.75">
      <c r="A909" s="179" t="s">
        <v>115</v>
      </c>
      <c r="B909" s="118" t="s">
        <v>873</v>
      </c>
      <c r="C909" s="120" t="s">
        <v>69</v>
      </c>
      <c r="D909" s="119" t="s">
        <v>67</v>
      </c>
      <c r="E909" s="119" t="s">
        <v>116</v>
      </c>
      <c r="F909" s="117"/>
      <c r="G909" s="183">
        <f>G910</f>
        <v>34</v>
      </c>
      <c r="H909" s="102"/>
      <c r="I909" s="102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  <c r="AE909" s="24"/>
      <c r="AF909" s="24"/>
      <c r="AG909" s="24"/>
      <c r="AH909" s="24"/>
      <c r="AI909" s="24"/>
      <c r="AJ909" s="24"/>
      <c r="AK909" s="24"/>
      <c r="AL909" s="24"/>
      <c r="AM909" s="24"/>
      <c r="AN909" s="24"/>
      <c r="AO909" s="24"/>
    </row>
    <row r="910" spans="1:41" s="5" customFormat="1" ht="22.5">
      <c r="A910" s="132" t="s">
        <v>156</v>
      </c>
      <c r="B910" s="118" t="s">
        <v>873</v>
      </c>
      <c r="C910" s="120" t="s">
        <v>69</v>
      </c>
      <c r="D910" s="119" t="s">
        <v>67</v>
      </c>
      <c r="E910" s="119" t="s">
        <v>116</v>
      </c>
      <c r="F910" s="117">
        <v>725</v>
      </c>
      <c r="G910" s="183">
        <v>34</v>
      </c>
      <c r="H910" s="102"/>
      <c r="I910" s="102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  <c r="AE910" s="24"/>
      <c r="AF910" s="24"/>
      <c r="AG910" s="24"/>
      <c r="AH910" s="24"/>
      <c r="AI910" s="24"/>
      <c r="AJ910" s="24"/>
      <c r="AK910" s="24"/>
      <c r="AL910" s="24"/>
      <c r="AM910" s="24"/>
      <c r="AN910" s="24"/>
      <c r="AO910" s="24"/>
    </row>
    <row r="911" spans="1:41" s="74" customFormat="1" ht="42.75">
      <c r="A911" s="136" t="s">
        <v>821</v>
      </c>
      <c r="B911" s="114" t="s">
        <v>485</v>
      </c>
      <c r="C911" s="121"/>
      <c r="D911" s="116"/>
      <c r="E911" s="116"/>
      <c r="F911" s="113"/>
      <c r="G911" s="182">
        <f>G912+G917</f>
        <v>2650</v>
      </c>
      <c r="H911" s="105"/>
      <c r="I911" s="105"/>
      <c r="J911" s="215"/>
      <c r="K911" s="215"/>
      <c r="L911" s="215"/>
      <c r="M911" s="215"/>
      <c r="N911" s="215"/>
      <c r="O911" s="215"/>
      <c r="P911" s="215"/>
      <c r="Q911" s="215"/>
      <c r="R911" s="215"/>
      <c r="S911" s="215"/>
      <c r="T911" s="215"/>
      <c r="U911" s="215"/>
      <c r="V911" s="215"/>
      <c r="W911" s="215"/>
      <c r="X911" s="215"/>
      <c r="Y911" s="215"/>
      <c r="Z911" s="215"/>
      <c r="AA911" s="215"/>
      <c r="AB911" s="215"/>
      <c r="AC911" s="215"/>
      <c r="AD911" s="215"/>
      <c r="AE911" s="215"/>
      <c r="AF911" s="215"/>
      <c r="AG911" s="215"/>
      <c r="AH911" s="215"/>
      <c r="AI911" s="215"/>
      <c r="AJ911" s="215"/>
      <c r="AK911" s="215"/>
      <c r="AL911" s="215"/>
      <c r="AM911" s="215"/>
      <c r="AN911" s="215"/>
      <c r="AO911" s="215"/>
    </row>
    <row r="912" spans="1:41" s="74" customFormat="1" ht="33.75" customHeight="1">
      <c r="A912" s="173" t="s">
        <v>823</v>
      </c>
      <c r="B912" s="114" t="s">
        <v>486</v>
      </c>
      <c r="C912" s="121"/>
      <c r="D912" s="116"/>
      <c r="E912" s="116"/>
      <c r="F912" s="113"/>
      <c r="G912" s="182">
        <f>G913+G915</f>
        <v>2100</v>
      </c>
      <c r="H912" s="105"/>
      <c r="I912" s="105"/>
      <c r="J912" s="215"/>
      <c r="K912" s="215"/>
      <c r="L912" s="215"/>
      <c r="M912" s="215"/>
      <c r="N912" s="215"/>
      <c r="O912" s="215"/>
      <c r="P912" s="215"/>
      <c r="Q912" s="215"/>
      <c r="R912" s="215"/>
      <c r="S912" s="215"/>
      <c r="T912" s="215"/>
      <c r="U912" s="215"/>
      <c r="V912" s="215"/>
      <c r="W912" s="215"/>
      <c r="X912" s="215"/>
      <c r="Y912" s="215"/>
      <c r="Z912" s="215"/>
      <c r="AA912" s="215"/>
      <c r="AB912" s="215"/>
      <c r="AC912" s="215"/>
      <c r="AD912" s="215"/>
      <c r="AE912" s="215"/>
      <c r="AF912" s="215"/>
      <c r="AG912" s="215"/>
      <c r="AH912" s="215"/>
      <c r="AI912" s="215"/>
      <c r="AJ912" s="215"/>
      <c r="AK912" s="215"/>
      <c r="AL912" s="215"/>
      <c r="AM912" s="215"/>
      <c r="AN912" s="215"/>
      <c r="AO912" s="215"/>
    </row>
    <row r="913" spans="1:41" s="75" customFormat="1" ht="35.25" customHeight="1">
      <c r="A913" s="137" t="s">
        <v>822</v>
      </c>
      <c r="B913" s="114" t="s">
        <v>487</v>
      </c>
      <c r="C913" s="116"/>
      <c r="D913" s="116"/>
      <c r="E913" s="116"/>
      <c r="F913" s="113"/>
      <c r="G913" s="182">
        <f>G914</f>
        <v>1900</v>
      </c>
      <c r="H913" s="105"/>
      <c r="I913" s="107"/>
      <c r="J913" s="216"/>
      <c r="K913" s="216"/>
      <c r="L913" s="216"/>
      <c r="M913" s="216"/>
      <c r="N913" s="216"/>
      <c r="O913" s="216"/>
      <c r="P913" s="216"/>
      <c r="Q913" s="216"/>
      <c r="R913" s="216"/>
      <c r="S913" s="216"/>
      <c r="T913" s="216"/>
      <c r="U913" s="216"/>
      <c r="V913" s="216"/>
      <c r="W913" s="216"/>
      <c r="X913" s="216"/>
      <c r="Y913" s="216"/>
      <c r="Z913" s="216"/>
      <c r="AA913" s="216"/>
      <c r="AB913" s="216"/>
      <c r="AC913" s="216"/>
      <c r="AD913" s="216"/>
      <c r="AE913" s="216"/>
      <c r="AF913" s="216"/>
      <c r="AG913" s="216"/>
      <c r="AH913" s="216"/>
      <c r="AI913" s="216"/>
      <c r="AJ913" s="216"/>
      <c r="AK913" s="216"/>
      <c r="AL913" s="216"/>
      <c r="AM913" s="216"/>
      <c r="AN913" s="216"/>
      <c r="AO913" s="216"/>
    </row>
    <row r="914" spans="1:41" s="73" customFormat="1" ht="24.75" customHeight="1">
      <c r="A914" s="134" t="s">
        <v>566</v>
      </c>
      <c r="B914" s="118" t="s">
        <v>487</v>
      </c>
      <c r="C914" s="119" t="s">
        <v>76</v>
      </c>
      <c r="D914" s="119" t="s">
        <v>72</v>
      </c>
      <c r="E914" s="119" t="s">
        <v>101</v>
      </c>
      <c r="F914" s="117">
        <v>727</v>
      </c>
      <c r="G914" s="183">
        <v>1900</v>
      </c>
      <c r="H914" s="102"/>
      <c r="I914" s="212"/>
      <c r="J914" s="213"/>
      <c r="K914" s="213"/>
      <c r="L914" s="213"/>
      <c r="M914" s="213"/>
      <c r="N914" s="213"/>
      <c r="O914" s="213"/>
      <c r="P914" s="213"/>
      <c r="Q914" s="213"/>
      <c r="R914" s="213"/>
      <c r="S914" s="213"/>
      <c r="T914" s="213"/>
      <c r="U914" s="213"/>
      <c r="V914" s="213"/>
      <c r="W914" s="213"/>
      <c r="X914" s="213"/>
      <c r="Y914" s="213"/>
      <c r="Z914" s="213"/>
      <c r="AA914" s="213"/>
      <c r="AB914" s="213"/>
      <c r="AC914" s="213"/>
      <c r="AD914" s="213"/>
      <c r="AE914" s="213"/>
      <c r="AF914" s="213"/>
      <c r="AG914" s="213"/>
      <c r="AH914" s="213"/>
      <c r="AI914" s="213"/>
      <c r="AJ914" s="213"/>
      <c r="AK914" s="213"/>
      <c r="AL914" s="213"/>
      <c r="AM914" s="213"/>
      <c r="AN914" s="213"/>
      <c r="AO914" s="213"/>
    </row>
    <row r="915" spans="1:41" s="75" customFormat="1" ht="36.75" customHeight="1">
      <c r="A915" s="137" t="s">
        <v>824</v>
      </c>
      <c r="B915" s="114" t="s">
        <v>488</v>
      </c>
      <c r="C915" s="116"/>
      <c r="D915" s="116"/>
      <c r="E915" s="116"/>
      <c r="F915" s="113"/>
      <c r="G915" s="182">
        <f>G916</f>
        <v>200</v>
      </c>
      <c r="H915" s="105"/>
      <c r="I915" s="107"/>
      <c r="J915" s="216"/>
      <c r="K915" s="216"/>
      <c r="L915" s="216"/>
      <c r="M915" s="216"/>
      <c r="N915" s="216"/>
      <c r="O915" s="216"/>
      <c r="P915" s="216"/>
      <c r="Q915" s="216"/>
      <c r="R915" s="216"/>
      <c r="S915" s="216"/>
      <c r="T915" s="216"/>
      <c r="U915" s="216"/>
      <c r="V915" s="216"/>
      <c r="W915" s="216"/>
      <c r="X915" s="216"/>
      <c r="Y915" s="216"/>
      <c r="Z915" s="216"/>
      <c r="AA915" s="216"/>
      <c r="AB915" s="216"/>
      <c r="AC915" s="216"/>
      <c r="AD915" s="216"/>
      <c r="AE915" s="216"/>
      <c r="AF915" s="216"/>
      <c r="AG915" s="216"/>
      <c r="AH915" s="216"/>
      <c r="AI915" s="216"/>
      <c r="AJ915" s="216"/>
      <c r="AK915" s="216"/>
      <c r="AL915" s="216"/>
      <c r="AM915" s="216"/>
      <c r="AN915" s="216"/>
      <c r="AO915" s="216"/>
    </row>
    <row r="916" spans="1:41" s="5" customFormat="1" ht="22.5">
      <c r="A916" s="134" t="s">
        <v>566</v>
      </c>
      <c r="B916" s="118" t="s">
        <v>488</v>
      </c>
      <c r="C916" s="119" t="s">
        <v>76</v>
      </c>
      <c r="D916" s="119" t="s">
        <v>72</v>
      </c>
      <c r="E916" s="119" t="s">
        <v>101</v>
      </c>
      <c r="F916" s="117">
        <v>727</v>
      </c>
      <c r="G916" s="183">
        <v>200</v>
      </c>
      <c r="H916" s="102"/>
      <c r="I916" s="102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  <c r="AE916" s="24"/>
      <c r="AF916" s="24"/>
      <c r="AG916" s="24"/>
      <c r="AH916" s="24"/>
      <c r="AI916" s="24"/>
      <c r="AJ916" s="24"/>
      <c r="AK916" s="24"/>
      <c r="AL916" s="24"/>
      <c r="AM916" s="24"/>
      <c r="AN916" s="24"/>
      <c r="AO916" s="24"/>
    </row>
    <row r="917" spans="1:41" s="68" customFormat="1" ht="32.25">
      <c r="A917" s="136" t="s">
        <v>489</v>
      </c>
      <c r="B917" s="114" t="s">
        <v>490</v>
      </c>
      <c r="C917" s="116"/>
      <c r="D917" s="116"/>
      <c r="E917" s="116"/>
      <c r="F917" s="113"/>
      <c r="G917" s="182">
        <f>G918+G926</f>
        <v>550</v>
      </c>
      <c r="H917" s="106"/>
      <c r="I917" s="106"/>
      <c r="J917" s="100"/>
      <c r="K917" s="100"/>
      <c r="L917" s="100"/>
      <c r="M917" s="100"/>
      <c r="N917" s="100"/>
      <c r="O917" s="100"/>
      <c r="P917" s="100"/>
      <c r="Q917" s="100"/>
      <c r="R917" s="100"/>
      <c r="S917" s="100"/>
      <c r="T917" s="100"/>
      <c r="U917" s="100"/>
      <c r="V917" s="100"/>
      <c r="W917" s="100"/>
      <c r="X917" s="100"/>
      <c r="Y917" s="100"/>
      <c r="Z917" s="100"/>
      <c r="AA917" s="100"/>
      <c r="AB917" s="100"/>
      <c r="AC917" s="100"/>
      <c r="AD917" s="100"/>
      <c r="AE917" s="100"/>
      <c r="AF917" s="100"/>
      <c r="AG917" s="100"/>
      <c r="AH917" s="100"/>
      <c r="AI917" s="100"/>
      <c r="AJ917" s="100"/>
      <c r="AK917" s="100"/>
      <c r="AL917" s="100"/>
      <c r="AM917" s="100"/>
      <c r="AN917" s="100"/>
      <c r="AO917" s="100"/>
    </row>
    <row r="918" spans="1:41" s="75" customFormat="1" ht="34.5" customHeight="1">
      <c r="A918" s="136" t="s">
        <v>814</v>
      </c>
      <c r="B918" s="114" t="s">
        <v>623</v>
      </c>
      <c r="C918" s="116"/>
      <c r="D918" s="116"/>
      <c r="E918" s="116"/>
      <c r="F918" s="113"/>
      <c r="G918" s="182">
        <f aca="true" t="shared" si="55" ref="G918:G924">G919</f>
        <v>495</v>
      </c>
      <c r="H918" s="107"/>
      <c r="I918" s="107"/>
      <c r="J918" s="216"/>
      <c r="K918" s="216"/>
      <c r="L918" s="216"/>
      <c r="M918" s="216"/>
      <c r="N918" s="216"/>
      <c r="O918" s="216"/>
      <c r="P918" s="216"/>
      <c r="Q918" s="216"/>
      <c r="R918" s="216"/>
      <c r="S918" s="216"/>
      <c r="T918" s="216"/>
      <c r="U918" s="216"/>
      <c r="V918" s="216"/>
      <c r="W918" s="216"/>
      <c r="X918" s="216"/>
      <c r="Y918" s="216"/>
      <c r="Z918" s="216"/>
      <c r="AA918" s="216"/>
      <c r="AB918" s="216"/>
      <c r="AC918" s="216"/>
      <c r="AD918" s="216"/>
      <c r="AE918" s="216"/>
      <c r="AF918" s="216"/>
      <c r="AG918" s="216"/>
      <c r="AH918" s="216"/>
      <c r="AI918" s="216"/>
      <c r="AJ918" s="216"/>
      <c r="AK918" s="216"/>
      <c r="AL918" s="216"/>
      <c r="AM918" s="216"/>
      <c r="AN918" s="216"/>
      <c r="AO918" s="216"/>
    </row>
    <row r="919" spans="1:41" s="70" customFormat="1" ht="12.75">
      <c r="A919" s="136" t="s">
        <v>662</v>
      </c>
      <c r="B919" s="114" t="s">
        <v>623</v>
      </c>
      <c r="C919" s="116" t="s">
        <v>76</v>
      </c>
      <c r="D919" s="116" t="s">
        <v>36</v>
      </c>
      <c r="E919" s="116"/>
      <c r="F919" s="113"/>
      <c r="G919" s="182">
        <f t="shared" si="55"/>
        <v>495</v>
      </c>
      <c r="H919" s="210"/>
      <c r="I919" s="210"/>
      <c r="J919" s="211"/>
      <c r="K919" s="211"/>
      <c r="L919" s="211"/>
      <c r="M919" s="211"/>
      <c r="N919" s="211"/>
      <c r="O919" s="211"/>
      <c r="P919" s="211"/>
      <c r="Q919" s="211"/>
      <c r="R919" s="211"/>
      <c r="S919" s="211"/>
      <c r="T919" s="211"/>
      <c r="U919" s="211"/>
      <c r="V919" s="211"/>
      <c r="W919" s="211"/>
      <c r="X919" s="211"/>
      <c r="Y919" s="211"/>
      <c r="Z919" s="211"/>
      <c r="AA919" s="211"/>
      <c r="AB919" s="211"/>
      <c r="AC919" s="211"/>
      <c r="AD919" s="211"/>
      <c r="AE919" s="211"/>
      <c r="AF919" s="211"/>
      <c r="AG919" s="211"/>
      <c r="AH919" s="211"/>
      <c r="AI919" s="211"/>
      <c r="AJ919" s="211"/>
      <c r="AK919" s="211"/>
      <c r="AL919" s="211"/>
      <c r="AM919" s="211"/>
      <c r="AN919" s="211"/>
      <c r="AO919" s="211"/>
    </row>
    <row r="920" spans="1:41" s="73" customFormat="1" ht="12.75">
      <c r="A920" s="134" t="s">
        <v>483</v>
      </c>
      <c r="B920" s="118" t="s">
        <v>623</v>
      </c>
      <c r="C920" s="119" t="s">
        <v>76</v>
      </c>
      <c r="D920" s="119" t="s">
        <v>72</v>
      </c>
      <c r="E920" s="119"/>
      <c r="F920" s="117"/>
      <c r="G920" s="183">
        <f t="shared" si="55"/>
        <v>495</v>
      </c>
      <c r="H920" s="212"/>
      <c r="I920" s="212"/>
      <c r="J920" s="213"/>
      <c r="K920" s="213"/>
      <c r="L920" s="213"/>
      <c r="M920" s="213"/>
      <c r="N920" s="213"/>
      <c r="O920" s="213"/>
      <c r="P920" s="213"/>
      <c r="Q920" s="213"/>
      <c r="R920" s="213"/>
      <c r="S920" s="213"/>
      <c r="T920" s="213"/>
      <c r="U920" s="213"/>
      <c r="V920" s="213"/>
      <c r="W920" s="213"/>
      <c r="X920" s="213"/>
      <c r="Y920" s="213"/>
      <c r="Z920" s="213"/>
      <c r="AA920" s="213"/>
      <c r="AB920" s="213"/>
      <c r="AC920" s="213"/>
      <c r="AD920" s="213"/>
      <c r="AE920" s="213"/>
      <c r="AF920" s="213"/>
      <c r="AG920" s="213"/>
      <c r="AH920" s="213"/>
      <c r="AI920" s="213"/>
      <c r="AJ920" s="213"/>
      <c r="AK920" s="213"/>
      <c r="AL920" s="213"/>
      <c r="AM920" s="213"/>
      <c r="AN920" s="213"/>
      <c r="AO920" s="213"/>
    </row>
    <row r="921" spans="1:41" s="73" customFormat="1" ht="22.5">
      <c r="A921" s="134" t="s">
        <v>610</v>
      </c>
      <c r="B921" s="118" t="s">
        <v>623</v>
      </c>
      <c r="C921" s="119" t="s">
        <v>76</v>
      </c>
      <c r="D921" s="119" t="s">
        <v>72</v>
      </c>
      <c r="E921" s="119" t="s">
        <v>104</v>
      </c>
      <c r="F921" s="117"/>
      <c r="G921" s="183">
        <f t="shared" si="55"/>
        <v>495</v>
      </c>
      <c r="H921" s="212"/>
      <c r="I921" s="212"/>
      <c r="J921" s="213"/>
      <c r="K921" s="213"/>
      <c r="L921" s="213"/>
      <c r="M921" s="213"/>
      <c r="N921" s="213"/>
      <c r="O921" s="213"/>
      <c r="P921" s="213"/>
      <c r="Q921" s="213"/>
      <c r="R921" s="213"/>
      <c r="S921" s="213"/>
      <c r="T921" s="213"/>
      <c r="U921" s="213"/>
      <c r="V921" s="213"/>
      <c r="W921" s="213"/>
      <c r="X921" s="213"/>
      <c r="Y921" s="213"/>
      <c r="Z921" s="213"/>
      <c r="AA921" s="213"/>
      <c r="AB921" s="213"/>
      <c r="AC921" s="213"/>
      <c r="AD921" s="213"/>
      <c r="AE921" s="213"/>
      <c r="AF921" s="213"/>
      <c r="AG921" s="213"/>
      <c r="AH921" s="213"/>
      <c r="AI921" s="213"/>
      <c r="AJ921" s="213"/>
      <c r="AK921" s="213"/>
      <c r="AL921" s="213"/>
      <c r="AM921" s="213"/>
      <c r="AN921" s="213"/>
      <c r="AO921" s="213"/>
    </row>
    <row r="922" spans="1:41" s="73" customFormat="1" ht="24.75" customHeight="1">
      <c r="A922" s="134" t="s">
        <v>98</v>
      </c>
      <c r="B922" s="118" t="s">
        <v>623</v>
      </c>
      <c r="C922" s="119" t="s">
        <v>76</v>
      </c>
      <c r="D922" s="119" t="s">
        <v>72</v>
      </c>
      <c r="E922" s="119" t="s">
        <v>99</v>
      </c>
      <c r="F922" s="117"/>
      <c r="G922" s="183">
        <f t="shared" si="55"/>
        <v>495</v>
      </c>
      <c r="H922" s="212"/>
      <c r="I922" s="212"/>
      <c r="J922" s="213"/>
      <c r="K922" s="213"/>
      <c r="L922" s="213"/>
      <c r="M922" s="213"/>
      <c r="N922" s="213"/>
      <c r="O922" s="213"/>
      <c r="P922" s="213"/>
      <c r="Q922" s="213"/>
      <c r="R922" s="213"/>
      <c r="S922" s="213"/>
      <c r="T922" s="213"/>
      <c r="U922" s="213"/>
      <c r="V922" s="213"/>
      <c r="W922" s="213"/>
      <c r="X922" s="213"/>
      <c r="Y922" s="213"/>
      <c r="Z922" s="213"/>
      <c r="AA922" s="213"/>
      <c r="AB922" s="213"/>
      <c r="AC922" s="213"/>
      <c r="AD922" s="213"/>
      <c r="AE922" s="213"/>
      <c r="AF922" s="213"/>
      <c r="AG922" s="213"/>
      <c r="AH922" s="213"/>
      <c r="AI922" s="213"/>
      <c r="AJ922" s="213"/>
      <c r="AK922" s="213"/>
      <c r="AL922" s="213"/>
      <c r="AM922" s="213"/>
      <c r="AN922" s="213"/>
      <c r="AO922" s="213"/>
    </row>
    <row r="923" spans="1:41" s="73" customFormat="1" ht="22.5">
      <c r="A923" s="134" t="s">
        <v>100</v>
      </c>
      <c r="B923" s="118" t="s">
        <v>623</v>
      </c>
      <c r="C923" s="119" t="s">
        <v>76</v>
      </c>
      <c r="D923" s="119" t="s">
        <v>72</v>
      </c>
      <c r="E923" s="119" t="s">
        <v>101</v>
      </c>
      <c r="F923" s="117"/>
      <c r="G923" s="183">
        <f t="shared" si="55"/>
        <v>495</v>
      </c>
      <c r="H923" s="212"/>
      <c r="I923" s="212"/>
      <c r="J923" s="213"/>
      <c r="K923" s="213"/>
      <c r="L923" s="213"/>
      <c r="M923" s="213"/>
      <c r="N923" s="213"/>
      <c r="O923" s="213"/>
      <c r="P923" s="213"/>
      <c r="Q923" s="213"/>
      <c r="R923" s="213"/>
      <c r="S923" s="213"/>
      <c r="T923" s="213"/>
      <c r="U923" s="213"/>
      <c r="V923" s="213"/>
      <c r="W923" s="213"/>
      <c r="X923" s="213"/>
      <c r="Y923" s="213"/>
      <c r="Z923" s="213"/>
      <c r="AA923" s="213"/>
      <c r="AB923" s="213"/>
      <c r="AC923" s="213"/>
      <c r="AD923" s="213"/>
      <c r="AE923" s="213"/>
      <c r="AF923" s="213"/>
      <c r="AG923" s="213"/>
      <c r="AH923" s="213"/>
      <c r="AI923" s="213"/>
      <c r="AJ923" s="213"/>
      <c r="AK923" s="213"/>
      <c r="AL923" s="213"/>
      <c r="AM923" s="213"/>
      <c r="AN923" s="213"/>
      <c r="AO923" s="213"/>
    </row>
    <row r="924" spans="1:41" s="73" customFormat="1" ht="12.75">
      <c r="A924" s="134" t="s">
        <v>663</v>
      </c>
      <c r="B924" s="118" t="s">
        <v>623</v>
      </c>
      <c r="C924" s="119" t="s">
        <v>76</v>
      </c>
      <c r="D924" s="119" t="s">
        <v>72</v>
      </c>
      <c r="E924" s="119" t="s">
        <v>101</v>
      </c>
      <c r="F924" s="117"/>
      <c r="G924" s="183">
        <f t="shared" si="55"/>
        <v>495</v>
      </c>
      <c r="H924" s="212"/>
      <c r="I924" s="212"/>
      <c r="J924" s="213"/>
      <c r="K924" s="213"/>
      <c r="L924" s="213"/>
      <c r="M924" s="213"/>
      <c r="N924" s="213"/>
      <c r="O924" s="213"/>
      <c r="P924" s="213"/>
      <c r="Q924" s="213"/>
      <c r="R924" s="213"/>
      <c r="S924" s="213"/>
      <c r="T924" s="213"/>
      <c r="U924" s="213"/>
      <c r="V924" s="213"/>
      <c r="W924" s="213"/>
      <c r="X924" s="213"/>
      <c r="Y924" s="213"/>
      <c r="Z924" s="213"/>
      <c r="AA924" s="213"/>
      <c r="AB924" s="213"/>
      <c r="AC924" s="213"/>
      <c r="AD924" s="213"/>
      <c r="AE924" s="213"/>
      <c r="AF924" s="213"/>
      <c r="AG924" s="213"/>
      <c r="AH924" s="213"/>
      <c r="AI924" s="213"/>
      <c r="AJ924" s="213"/>
      <c r="AK924" s="213"/>
      <c r="AL924" s="213"/>
      <c r="AM924" s="213"/>
      <c r="AN924" s="213"/>
      <c r="AO924" s="213"/>
    </row>
    <row r="925" spans="1:41" s="73" customFormat="1" ht="22.5">
      <c r="A925" s="135" t="s">
        <v>167</v>
      </c>
      <c r="B925" s="118" t="s">
        <v>623</v>
      </c>
      <c r="C925" s="119" t="s">
        <v>76</v>
      </c>
      <c r="D925" s="119" t="s">
        <v>72</v>
      </c>
      <c r="E925" s="119" t="s">
        <v>101</v>
      </c>
      <c r="F925" s="117">
        <v>724</v>
      </c>
      <c r="G925" s="183">
        <v>495</v>
      </c>
      <c r="H925" s="212"/>
      <c r="I925" s="212"/>
      <c r="J925" s="213"/>
      <c r="K925" s="213"/>
      <c r="L925" s="213"/>
      <c r="M925" s="213"/>
      <c r="N925" s="213"/>
      <c r="O925" s="213"/>
      <c r="P925" s="213"/>
      <c r="Q925" s="213"/>
      <c r="R925" s="213"/>
      <c r="S925" s="213"/>
      <c r="T925" s="213"/>
      <c r="U925" s="213"/>
      <c r="V925" s="213"/>
      <c r="W925" s="213"/>
      <c r="X925" s="213"/>
      <c r="Y925" s="213"/>
      <c r="Z925" s="213"/>
      <c r="AA925" s="213"/>
      <c r="AB925" s="213"/>
      <c r="AC925" s="213"/>
      <c r="AD925" s="213"/>
      <c r="AE925" s="213"/>
      <c r="AF925" s="213"/>
      <c r="AG925" s="213"/>
      <c r="AH925" s="213"/>
      <c r="AI925" s="213"/>
      <c r="AJ925" s="213"/>
      <c r="AK925" s="213"/>
      <c r="AL925" s="213"/>
      <c r="AM925" s="213"/>
      <c r="AN925" s="213"/>
      <c r="AO925" s="213"/>
    </row>
    <row r="926" spans="1:41" s="75" customFormat="1" ht="42.75">
      <c r="A926" s="136" t="s">
        <v>815</v>
      </c>
      <c r="B926" s="114" t="s">
        <v>624</v>
      </c>
      <c r="C926" s="116"/>
      <c r="D926" s="116"/>
      <c r="E926" s="116"/>
      <c r="F926" s="113"/>
      <c r="G926" s="182">
        <f aca="true" t="shared" si="56" ref="G926:G931">G927</f>
        <v>55</v>
      </c>
      <c r="H926" s="107"/>
      <c r="I926" s="107"/>
      <c r="J926" s="216"/>
      <c r="K926" s="216"/>
      <c r="L926" s="216"/>
      <c r="M926" s="216"/>
      <c r="N926" s="216"/>
      <c r="O926" s="216"/>
      <c r="P926" s="216"/>
      <c r="Q926" s="216"/>
      <c r="R926" s="216"/>
      <c r="S926" s="216"/>
      <c r="T926" s="216"/>
      <c r="U926" s="216"/>
      <c r="V926" s="216"/>
      <c r="W926" s="216"/>
      <c r="X926" s="216"/>
      <c r="Y926" s="216"/>
      <c r="Z926" s="216"/>
      <c r="AA926" s="216"/>
      <c r="AB926" s="216"/>
      <c r="AC926" s="216"/>
      <c r="AD926" s="216"/>
      <c r="AE926" s="216"/>
      <c r="AF926" s="216"/>
      <c r="AG926" s="216"/>
      <c r="AH926" s="216"/>
      <c r="AI926" s="216"/>
      <c r="AJ926" s="216"/>
      <c r="AK926" s="216"/>
      <c r="AL926" s="216"/>
      <c r="AM926" s="216"/>
      <c r="AN926" s="216"/>
      <c r="AO926" s="216"/>
    </row>
    <row r="927" spans="1:41" s="68" customFormat="1" ht="12.75">
      <c r="A927" s="136" t="s">
        <v>662</v>
      </c>
      <c r="B927" s="114" t="s">
        <v>624</v>
      </c>
      <c r="C927" s="116" t="s">
        <v>76</v>
      </c>
      <c r="D927" s="116" t="s">
        <v>36</v>
      </c>
      <c r="E927" s="116"/>
      <c r="F927" s="113"/>
      <c r="G927" s="182">
        <f t="shared" si="56"/>
        <v>55</v>
      </c>
      <c r="H927" s="106"/>
      <c r="I927" s="106"/>
      <c r="J927" s="100"/>
      <c r="K927" s="100"/>
      <c r="L927" s="100"/>
      <c r="M927" s="100"/>
      <c r="N927" s="100"/>
      <c r="O927" s="100"/>
      <c r="P927" s="100"/>
      <c r="Q927" s="100"/>
      <c r="R927" s="100"/>
      <c r="S927" s="100"/>
      <c r="T927" s="100"/>
      <c r="U927" s="100"/>
      <c r="V927" s="100"/>
      <c r="W927" s="100"/>
      <c r="X927" s="100"/>
      <c r="Y927" s="100"/>
      <c r="Z927" s="100"/>
      <c r="AA927" s="100"/>
      <c r="AB927" s="100"/>
      <c r="AC927" s="100"/>
      <c r="AD927" s="100"/>
      <c r="AE927" s="100"/>
      <c r="AF927" s="100"/>
      <c r="AG927" s="100"/>
      <c r="AH927" s="100"/>
      <c r="AI927" s="100"/>
      <c r="AJ927" s="100"/>
      <c r="AK927" s="100"/>
      <c r="AL927" s="100"/>
      <c r="AM927" s="100"/>
      <c r="AN927" s="100"/>
      <c r="AO927" s="100"/>
    </row>
    <row r="928" spans="1:41" s="68" customFormat="1" ht="12.75">
      <c r="A928" s="134" t="s">
        <v>483</v>
      </c>
      <c r="B928" s="118" t="s">
        <v>624</v>
      </c>
      <c r="C928" s="116" t="s">
        <v>76</v>
      </c>
      <c r="D928" s="116" t="s">
        <v>72</v>
      </c>
      <c r="E928" s="116"/>
      <c r="F928" s="113"/>
      <c r="G928" s="183">
        <f t="shared" si="56"/>
        <v>55</v>
      </c>
      <c r="H928" s="106"/>
      <c r="I928" s="106"/>
      <c r="J928" s="100"/>
      <c r="K928" s="100"/>
      <c r="L928" s="100"/>
      <c r="M928" s="100"/>
      <c r="N928" s="100"/>
      <c r="O928" s="100"/>
      <c r="P928" s="100"/>
      <c r="Q928" s="100"/>
      <c r="R928" s="100"/>
      <c r="S928" s="100"/>
      <c r="T928" s="100"/>
      <c r="U928" s="100"/>
      <c r="V928" s="100"/>
      <c r="W928" s="100"/>
      <c r="X928" s="100"/>
      <c r="Y928" s="100"/>
      <c r="Z928" s="100"/>
      <c r="AA928" s="100"/>
      <c r="AB928" s="100"/>
      <c r="AC928" s="100"/>
      <c r="AD928" s="100"/>
      <c r="AE928" s="100"/>
      <c r="AF928" s="100"/>
      <c r="AG928" s="100"/>
      <c r="AH928" s="100"/>
      <c r="AI928" s="100"/>
      <c r="AJ928" s="100"/>
      <c r="AK928" s="100"/>
      <c r="AL928" s="100"/>
      <c r="AM928" s="100"/>
      <c r="AN928" s="100"/>
      <c r="AO928" s="100"/>
    </row>
    <row r="929" spans="1:41" s="5" customFormat="1" ht="22.5">
      <c r="A929" s="134" t="s">
        <v>610</v>
      </c>
      <c r="B929" s="118" t="s">
        <v>624</v>
      </c>
      <c r="C929" s="119" t="s">
        <v>76</v>
      </c>
      <c r="D929" s="119" t="s">
        <v>72</v>
      </c>
      <c r="E929" s="119" t="s">
        <v>104</v>
      </c>
      <c r="F929" s="117"/>
      <c r="G929" s="183">
        <f t="shared" si="56"/>
        <v>55</v>
      </c>
      <c r="H929" s="102"/>
      <c r="I929" s="102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  <c r="AF929" s="24"/>
      <c r="AG929" s="24"/>
      <c r="AH929" s="24"/>
      <c r="AI929" s="24"/>
      <c r="AJ929" s="24"/>
      <c r="AK929" s="24"/>
      <c r="AL929" s="24"/>
      <c r="AM929" s="24"/>
      <c r="AN929" s="24"/>
      <c r="AO929" s="24"/>
    </row>
    <row r="930" spans="1:41" s="5" customFormat="1" ht="21" customHeight="1">
      <c r="A930" s="134" t="s">
        <v>98</v>
      </c>
      <c r="B930" s="118" t="s">
        <v>624</v>
      </c>
      <c r="C930" s="119" t="s">
        <v>76</v>
      </c>
      <c r="D930" s="119" t="s">
        <v>72</v>
      </c>
      <c r="E930" s="119" t="s">
        <v>99</v>
      </c>
      <c r="F930" s="117"/>
      <c r="G930" s="183">
        <f t="shared" si="56"/>
        <v>55</v>
      </c>
      <c r="H930" s="102"/>
      <c r="I930" s="102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  <c r="AE930" s="24"/>
      <c r="AF930" s="24"/>
      <c r="AG930" s="24"/>
      <c r="AH930" s="24"/>
      <c r="AI930" s="24"/>
      <c r="AJ930" s="24"/>
      <c r="AK930" s="24"/>
      <c r="AL930" s="24"/>
      <c r="AM930" s="24"/>
      <c r="AN930" s="24"/>
      <c r="AO930" s="24"/>
    </row>
    <row r="931" spans="1:41" s="5" customFormat="1" ht="22.5">
      <c r="A931" s="134" t="s">
        <v>100</v>
      </c>
      <c r="B931" s="118" t="s">
        <v>624</v>
      </c>
      <c r="C931" s="119" t="s">
        <v>76</v>
      </c>
      <c r="D931" s="119" t="s">
        <v>72</v>
      </c>
      <c r="E931" s="119" t="s">
        <v>101</v>
      </c>
      <c r="F931" s="117"/>
      <c r="G931" s="183">
        <f t="shared" si="56"/>
        <v>55</v>
      </c>
      <c r="H931" s="102"/>
      <c r="I931" s="102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  <c r="AE931" s="24"/>
      <c r="AF931" s="24"/>
      <c r="AG931" s="24"/>
      <c r="AH931" s="24"/>
      <c r="AI931" s="24"/>
      <c r="AJ931" s="24"/>
      <c r="AK931" s="24"/>
      <c r="AL931" s="24"/>
      <c r="AM931" s="24"/>
      <c r="AN931" s="24"/>
      <c r="AO931" s="24"/>
    </row>
    <row r="932" spans="1:41" s="5" customFormat="1" ht="22.5">
      <c r="A932" s="135" t="s">
        <v>167</v>
      </c>
      <c r="B932" s="118" t="s">
        <v>624</v>
      </c>
      <c r="C932" s="119" t="s">
        <v>76</v>
      </c>
      <c r="D932" s="119" t="s">
        <v>72</v>
      </c>
      <c r="E932" s="119" t="s">
        <v>101</v>
      </c>
      <c r="F932" s="117">
        <v>724</v>
      </c>
      <c r="G932" s="183">
        <f>25+30</f>
        <v>55</v>
      </c>
      <c r="H932" s="102"/>
      <c r="I932" s="102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  <c r="AE932" s="24"/>
      <c r="AF932" s="24"/>
      <c r="AG932" s="24"/>
      <c r="AH932" s="24"/>
      <c r="AI932" s="24"/>
      <c r="AJ932" s="24"/>
      <c r="AK932" s="24"/>
      <c r="AL932" s="24"/>
      <c r="AM932" s="24"/>
      <c r="AN932" s="24"/>
      <c r="AO932" s="24"/>
    </row>
    <row r="933" spans="1:41" s="5" customFormat="1" ht="33.75">
      <c r="A933" s="134" t="s">
        <v>677</v>
      </c>
      <c r="B933" s="118" t="s">
        <v>678</v>
      </c>
      <c r="C933" s="119"/>
      <c r="D933" s="119"/>
      <c r="E933" s="120"/>
      <c r="F933" s="117"/>
      <c r="G933" s="183">
        <f>G934</f>
        <v>20300.5</v>
      </c>
      <c r="H933" s="102"/>
      <c r="I933" s="102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  <c r="AE933" s="24"/>
      <c r="AF933" s="24"/>
      <c r="AG933" s="24"/>
      <c r="AH933" s="24"/>
      <c r="AI933" s="24"/>
      <c r="AJ933" s="24"/>
      <c r="AK933" s="24"/>
      <c r="AL933" s="24"/>
      <c r="AM933" s="24"/>
      <c r="AN933" s="24"/>
      <c r="AO933" s="24"/>
    </row>
    <row r="934" spans="1:41" s="68" customFormat="1" ht="21.75" customHeight="1">
      <c r="A934" s="136" t="s">
        <v>682</v>
      </c>
      <c r="B934" s="114" t="s">
        <v>679</v>
      </c>
      <c r="C934" s="116"/>
      <c r="D934" s="116"/>
      <c r="E934" s="121"/>
      <c r="F934" s="113"/>
      <c r="G934" s="182">
        <f>G935+G944</f>
        <v>20300.5</v>
      </c>
      <c r="H934" s="106"/>
      <c r="I934" s="106"/>
      <c r="J934" s="100"/>
      <c r="K934" s="100"/>
      <c r="L934" s="100"/>
      <c r="M934" s="100"/>
      <c r="N934" s="100"/>
      <c r="O934" s="100"/>
      <c r="P934" s="100"/>
      <c r="Q934" s="100"/>
      <c r="R934" s="100"/>
      <c r="S934" s="100"/>
      <c r="T934" s="100"/>
      <c r="U934" s="100"/>
      <c r="V934" s="100"/>
      <c r="W934" s="100"/>
      <c r="X934" s="100"/>
      <c r="Y934" s="100"/>
      <c r="Z934" s="100"/>
      <c r="AA934" s="100"/>
      <c r="AB934" s="100"/>
      <c r="AC934" s="100"/>
      <c r="AD934" s="100"/>
      <c r="AE934" s="100"/>
      <c r="AF934" s="100"/>
      <c r="AG934" s="100"/>
      <c r="AH934" s="100"/>
      <c r="AI934" s="100"/>
      <c r="AJ934" s="100"/>
      <c r="AK934" s="100"/>
      <c r="AL934" s="100"/>
      <c r="AM934" s="100"/>
      <c r="AN934" s="100"/>
      <c r="AO934" s="100"/>
    </row>
    <row r="935" spans="1:41" s="68" customFormat="1" ht="24.75" customHeight="1">
      <c r="A935" s="136" t="s">
        <v>851</v>
      </c>
      <c r="B935" s="114" t="s">
        <v>680</v>
      </c>
      <c r="C935" s="116"/>
      <c r="D935" s="116"/>
      <c r="E935" s="121"/>
      <c r="F935" s="113"/>
      <c r="G935" s="182">
        <f>G938</f>
        <v>20000</v>
      </c>
      <c r="H935" s="106"/>
      <c r="I935" s="106"/>
      <c r="J935" s="100"/>
      <c r="K935" s="100"/>
      <c r="L935" s="100"/>
      <c r="M935" s="100"/>
      <c r="N935" s="100"/>
      <c r="O935" s="100"/>
      <c r="P935" s="100"/>
      <c r="Q935" s="100"/>
      <c r="R935" s="100"/>
      <c r="S935" s="100"/>
      <c r="T935" s="100"/>
      <c r="U935" s="100"/>
      <c r="V935" s="100"/>
      <c r="W935" s="100"/>
      <c r="X935" s="100"/>
      <c r="Y935" s="100"/>
      <c r="Z935" s="100"/>
      <c r="AA935" s="100"/>
      <c r="AB935" s="100"/>
      <c r="AC935" s="100"/>
      <c r="AD935" s="100"/>
      <c r="AE935" s="100"/>
      <c r="AF935" s="100"/>
      <c r="AG935" s="100"/>
      <c r="AH935" s="100"/>
      <c r="AI935" s="100"/>
      <c r="AJ935" s="100"/>
      <c r="AK935" s="100"/>
      <c r="AL935" s="100"/>
      <c r="AM935" s="100"/>
      <c r="AN935" s="100"/>
      <c r="AO935" s="100"/>
    </row>
    <row r="936" spans="1:41" s="68" customFormat="1" ht="12.75">
      <c r="A936" s="137" t="s">
        <v>151</v>
      </c>
      <c r="B936" s="114" t="s">
        <v>680</v>
      </c>
      <c r="C936" s="116" t="s">
        <v>72</v>
      </c>
      <c r="D936" s="116" t="s">
        <v>36</v>
      </c>
      <c r="E936" s="121"/>
      <c r="F936" s="113"/>
      <c r="G936" s="182">
        <f>G937</f>
        <v>20000</v>
      </c>
      <c r="H936" s="106"/>
      <c r="I936" s="106"/>
      <c r="J936" s="100"/>
      <c r="K936" s="100"/>
      <c r="L936" s="100"/>
      <c r="M936" s="100"/>
      <c r="N936" s="100"/>
      <c r="O936" s="100"/>
      <c r="P936" s="100"/>
      <c r="Q936" s="100"/>
      <c r="R936" s="100"/>
      <c r="S936" s="100"/>
      <c r="T936" s="100"/>
      <c r="U936" s="100"/>
      <c r="V936" s="100"/>
      <c r="W936" s="100"/>
      <c r="X936" s="100"/>
      <c r="Y936" s="100"/>
      <c r="Z936" s="100"/>
      <c r="AA936" s="100"/>
      <c r="AB936" s="100"/>
      <c r="AC936" s="100"/>
      <c r="AD936" s="100"/>
      <c r="AE936" s="100"/>
      <c r="AF936" s="100"/>
      <c r="AG936" s="100"/>
      <c r="AH936" s="100"/>
      <c r="AI936" s="100"/>
      <c r="AJ936" s="100"/>
      <c r="AK936" s="100"/>
      <c r="AL936" s="100"/>
      <c r="AM936" s="100"/>
      <c r="AN936" s="100"/>
      <c r="AO936" s="100"/>
    </row>
    <row r="937" spans="1:41" s="5" customFormat="1" ht="12.75">
      <c r="A937" s="135" t="s">
        <v>208</v>
      </c>
      <c r="B937" s="118" t="s">
        <v>680</v>
      </c>
      <c r="C937" s="119" t="s">
        <v>72</v>
      </c>
      <c r="D937" s="119" t="s">
        <v>67</v>
      </c>
      <c r="E937" s="120"/>
      <c r="F937" s="117"/>
      <c r="G937" s="183">
        <f>G938</f>
        <v>20000</v>
      </c>
      <c r="H937" s="102"/>
      <c r="I937" s="102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  <c r="AE937" s="24"/>
      <c r="AF937" s="24"/>
      <c r="AG937" s="24"/>
      <c r="AH937" s="24"/>
      <c r="AI937" s="24"/>
      <c r="AJ937" s="24"/>
      <c r="AK937" s="24"/>
      <c r="AL937" s="24"/>
      <c r="AM937" s="24"/>
      <c r="AN937" s="24"/>
      <c r="AO937" s="24"/>
    </row>
    <row r="938" spans="1:41" s="5" customFormat="1" ht="22.5">
      <c r="A938" s="134" t="s">
        <v>610</v>
      </c>
      <c r="B938" s="118" t="s">
        <v>680</v>
      </c>
      <c r="C938" s="119" t="s">
        <v>72</v>
      </c>
      <c r="D938" s="119" t="s">
        <v>67</v>
      </c>
      <c r="E938" s="120" t="s">
        <v>104</v>
      </c>
      <c r="F938" s="117"/>
      <c r="G938" s="183">
        <f>G939</f>
        <v>20000</v>
      </c>
      <c r="H938" s="102"/>
      <c r="I938" s="102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  <c r="AE938" s="24"/>
      <c r="AF938" s="24"/>
      <c r="AG938" s="24"/>
      <c r="AH938" s="24"/>
      <c r="AI938" s="24"/>
      <c r="AJ938" s="24"/>
      <c r="AK938" s="24"/>
      <c r="AL938" s="24"/>
      <c r="AM938" s="24"/>
      <c r="AN938" s="24"/>
      <c r="AO938" s="24"/>
    </row>
    <row r="939" spans="1:41" s="5" customFormat="1" ht="22.5">
      <c r="A939" s="134" t="s">
        <v>98</v>
      </c>
      <c r="B939" s="118" t="s">
        <v>680</v>
      </c>
      <c r="C939" s="119" t="s">
        <v>72</v>
      </c>
      <c r="D939" s="119" t="s">
        <v>67</v>
      </c>
      <c r="E939" s="120" t="s">
        <v>99</v>
      </c>
      <c r="F939" s="117"/>
      <c r="G939" s="183">
        <f>G940+G942</f>
        <v>20000</v>
      </c>
      <c r="H939" s="102"/>
      <c r="I939" s="102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  <c r="AE939" s="24"/>
      <c r="AF939" s="24"/>
      <c r="AG939" s="24"/>
      <c r="AH939" s="24"/>
      <c r="AI939" s="24"/>
      <c r="AJ939" s="24"/>
      <c r="AK939" s="24"/>
      <c r="AL939" s="24"/>
      <c r="AM939" s="24"/>
      <c r="AN939" s="24"/>
      <c r="AO939" s="24"/>
    </row>
    <row r="940" spans="1:41" s="5" customFormat="1" ht="22.5">
      <c r="A940" s="179" t="s">
        <v>847</v>
      </c>
      <c r="B940" s="118" t="s">
        <v>680</v>
      </c>
      <c r="C940" s="119" t="s">
        <v>72</v>
      </c>
      <c r="D940" s="119" t="s">
        <v>67</v>
      </c>
      <c r="E940" s="120" t="s">
        <v>848</v>
      </c>
      <c r="F940" s="117"/>
      <c r="G940" s="183">
        <f>G941</f>
        <v>6618</v>
      </c>
      <c r="H940" s="102"/>
      <c r="I940" s="102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  <c r="AE940" s="24"/>
      <c r="AF940" s="24"/>
      <c r="AG940" s="24"/>
      <c r="AH940" s="24"/>
      <c r="AI940" s="24"/>
      <c r="AJ940" s="24"/>
      <c r="AK940" s="24"/>
      <c r="AL940" s="24"/>
      <c r="AM940" s="24"/>
      <c r="AN940" s="24"/>
      <c r="AO940" s="24"/>
    </row>
    <row r="941" spans="1:41" s="5" customFormat="1" ht="22.5">
      <c r="A941" s="134" t="s">
        <v>566</v>
      </c>
      <c r="B941" s="118" t="s">
        <v>680</v>
      </c>
      <c r="C941" s="119" t="s">
        <v>72</v>
      </c>
      <c r="D941" s="119" t="s">
        <v>67</v>
      </c>
      <c r="E941" s="120" t="s">
        <v>848</v>
      </c>
      <c r="F941" s="117">
        <v>727</v>
      </c>
      <c r="G941" s="183">
        <v>6618</v>
      </c>
      <c r="H941" s="102"/>
      <c r="I941" s="102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  <c r="AE941" s="24"/>
      <c r="AF941" s="24"/>
      <c r="AG941" s="24"/>
      <c r="AH941" s="24"/>
      <c r="AI941" s="24"/>
      <c r="AJ941" s="24"/>
      <c r="AK941" s="24"/>
      <c r="AL941" s="24"/>
      <c r="AM941" s="24"/>
      <c r="AN941" s="24"/>
      <c r="AO941" s="24"/>
    </row>
    <row r="942" spans="1:41" s="5" customFormat="1" ht="22.5">
      <c r="A942" s="134" t="s">
        <v>100</v>
      </c>
      <c r="B942" s="118" t="s">
        <v>680</v>
      </c>
      <c r="C942" s="119" t="s">
        <v>72</v>
      </c>
      <c r="D942" s="119" t="s">
        <v>67</v>
      </c>
      <c r="E942" s="120" t="s">
        <v>101</v>
      </c>
      <c r="F942" s="117"/>
      <c r="G942" s="183">
        <f>G943</f>
        <v>13382</v>
      </c>
      <c r="H942" s="102"/>
      <c r="I942" s="102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  <c r="AE942" s="24"/>
      <c r="AF942" s="24"/>
      <c r="AG942" s="24"/>
      <c r="AH942" s="24"/>
      <c r="AI942" s="24"/>
      <c r="AJ942" s="24"/>
      <c r="AK942" s="24"/>
      <c r="AL942" s="24"/>
      <c r="AM942" s="24"/>
      <c r="AN942" s="24"/>
      <c r="AO942" s="24"/>
    </row>
    <row r="943" spans="1:41" s="5" customFormat="1" ht="22.5">
      <c r="A943" s="134" t="s">
        <v>566</v>
      </c>
      <c r="B943" s="118" t="s">
        <v>680</v>
      </c>
      <c r="C943" s="119" t="s">
        <v>72</v>
      </c>
      <c r="D943" s="119" t="s">
        <v>67</v>
      </c>
      <c r="E943" s="120" t="s">
        <v>101</v>
      </c>
      <c r="F943" s="117">
        <v>727</v>
      </c>
      <c r="G943" s="183">
        <f>20000-6618</f>
        <v>13382</v>
      </c>
      <c r="H943" s="102"/>
      <c r="I943" s="102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  <c r="AE943" s="24"/>
      <c r="AF943" s="24"/>
      <c r="AG943" s="24"/>
      <c r="AH943" s="24"/>
      <c r="AI943" s="24"/>
      <c r="AJ943" s="24"/>
      <c r="AK943" s="24"/>
      <c r="AL943" s="24"/>
      <c r="AM943" s="24"/>
      <c r="AN943" s="24"/>
      <c r="AO943" s="24"/>
    </row>
    <row r="944" spans="1:41" s="68" customFormat="1" ht="21.75">
      <c r="A944" s="136" t="s">
        <v>852</v>
      </c>
      <c r="B944" s="114" t="s">
        <v>681</v>
      </c>
      <c r="C944" s="116"/>
      <c r="D944" s="116"/>
      <c r="E944" s="121"/>
      <c r="F944" s="113"/>
      <c r="G944" s="182">
        <f aca="true" t="shared" si="57" ref="G944:G951">G945</f>
        <v>300.5</v>
      </c>
      <c r="H944" s="106"/>
      <c r="I944" s="106"/>
      <c r="J944" s="100"/>
      <c r="K944" s="100"/>
      <c r="L944" s="100"/>
      <c r="M944" s="100"/>
      <c r="N944" s="100"/>
      <c r="O944" s="100"/>
      <c r="P944" s="100"/>
      <c r="Q944" s="100"/>
      <c r="R944" s="100"/>
      <c r="S944" s="100"/>
      <c r="T944" s="100"/>
      <c r="U944" s="100"/>
      <c r="V944" s="100"/>
      <c r="W944" s="100"/>
      <c r="X944" s="100"/>
      <c r="Y944" s="100"/>
      <c r="Z944" s="100"/>
      <c r="AA944" s="100"/>
      <c r="AB944" s="100"/>
      <c r="AC944" s="100"/>
      <c r="AD944" s="100"/>
      <c r="AE944" s="100"/>
      <c r="AF944" s="100"/>
      <c r="AG944" s="100"/>
      <c r="AH944" s="100"/>
      <c r="AI944" s="100"/>
      <c r="AJ944" s="100"/>
      <c r="AK944" s="100"/>
      <c r="AL944" s="100"/>
      <c r="AM944" s="100"/>
      <c r="AN944" s="100"/>
      <c r="AO944" s="100"/>
    </row>
    <row r="945" spans="1:41" s="68" customFormat="1" ht="12.75">
      <c r="A945" s="137" t="s">
        <v>151</v>
      </c>
      <c r="B945" s="114" t="s">
        <v>681</v>
      </c>
      <c r="C945" s="116" t="s">
        <v>72</v>
      </c>
      <c r="D945" s="116" t="s">
        <v>36</v>
      </c>
      <c r="E945" s="121"/>
      <c r="F945" s="113"/>
      <c r="G945" s="182">
        <f t="shared" si="57"/>
        <v>300.5</v>
      </c>
      <c r="H945" s="106"/>
      <c r="I945" s="106"/>
      <c r="J945" s="100"/>
      <c r="K945" s="100"/>
      <c r="L945" s="100"/>
      <c r="M945" s="100"/>
      <c r="N945" s="100"/>
      <c r="O945" s="100"/>
      <c r="P945" s="100"/>
      <c r="Q945" s="100"/>
      <c r="R945" s="100"/>
      <c r="S945" s="100"/>
      <c r="T945" s="100"/>
      <c r="U945" s="100"/>
      <c r="V945" s="100"/>
      <c r="W945" s="100"/>
      <c r="X945" s="100"/>
      <c r="Y945" s="100"/>
      <c r="Z945" s="100"/>
      <c r="AA945" s="100"/>
      <c r="AB945" s="100"/>
      <c r="AC945" s="100"/>
      <c r="AD945" s="100"/>
      <c r="AE945" s="100"/>
      <c r="AF945" s="100"/>
      <c r="AG945" s="100"/>
      <c r="AH945" s="100"/>
      <c r="AI945" s="100"/>
      <c r="AJ945" s="100"/>
      <c r="AK945" s="100"/>
      <c r="AL945" s="100"/>
      <c r="AM945" s="100"/>
      <c r="AN945" s="100"/>
      <c r="AO945" s="100"/>
    </row>
    <row r="946" spans="1:41" s="68" customFormat="1" ht="12.75">
      <c r="A946" s="135" t="s">
        <v>208</v>
      </c>
      <c r="B946" s="118" t="s">
        <v>681</v>
      </c>
      <c r="C946" s="119" t="s">
        <v>72</v>
      </c>
      <c r="D946" s="119" t="s">
        <v>67</v>
      </c>
      <c r="E946" s="121"/>
      <c r="F946" s="113"/>
      <c r="G946" s="183">
        <f t="shared" si="57"/>
        <v>300.5</v>
      </c>
      <c r="H946" s="106"/>
      <c r="I946" s="106"/>
      <c r="J946" s="100"/>
      <c r="K946" s="100"/>
      <c r="L946" s="100"/>
      <c r="M946" s="100"/>
      <c r="N946" s="100"/>
      <c r="O946" s="100"/>
      <c r="P946" s="100"/>
      <c r="Q946" s="100"/>
      <c r="R946" s="100"/>
      <c r="S946" s="100"/>
      <c r="T946" s="100"/>
      <c r="U946" s="100"/>
      <c r="V946" s="100"/>
      <c r="W946" s="100"/>
      <c r="X946" s="100"/>
      <c r="Y946" s="100"/>
      <c r="Z946" s="100"/>
      <c r="AA946" s="100"/>
      <c r="AB946" s="100"/>
      <c r="AC946" s="100"/>
      <c r="AD946" s="100"/>
      <c r="AE946" s="100"/>
      <c r="AF946" s="100"/>
      <c r="AG946" s="100"/>
      <c r="AH946" s="100"/>
      <c r="AI946" s="100"/>
      <c r="AJ946" s="100"/>
      <c r="AK946" s="100"/>
      <c r="AL946" s="100"/>
      <c r="AM946" s="100"/>
      <c r="AN946" s="100"/>
      <c r="AO946" s="100"/>
    </row>
    <row r="947" spans="1:41" s="5" customFormat="1" ht="22.5">
      <c r="A947" s="134" t="s">
        <v>610</v>
      </c>
      <c r="B947" s="118" t="s">
        <v>681</v>
      </c>
      <c r="C947" s="119" t="s">
        <v>72</v>
      </c>
      <c r="D947" s="119" t="s">
        <v>67</v>
      </c>
      <c r="E947" s="120" t="s">
        <v>104</v>
      </c>
      <c r="F947" s="117"/>
      <c r="G947" s="183">
        <f t="shared" si="57"/>
        <v>300.5</v>
      </c>
      <c r="H947" s="102"/>
      <c r="I947" s="102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  <c r="AE947" s="24"/>
      <c r="AF947" s="24"/>
      <c r="AG947" s="24"/>
      <c r="AH947" s="24"/>
      <c r="AI947" s="24"/>
      <c r="AJ947" s="24"/>
      <c r="AK947" s="24"/>
      <c r="AL947" s="24"/>
      <c r="AM947" s="24"/>
      <c r="AN947" s="24"/>
      <c r="AO947" s="24"/>
    </row>
    <row r="948" spans="1:41" s="5" customFormat="1" ht="22.5">
      <c r="A948" s="134" t="s">
        <v>98</v>
      </c>
      <c r="B948" s="118" t="s">
        <v>681</v>
      </c>
      <c r="C948" s="119" t="s">
        <v>72</v>
      </c>
      <c r="D948" s="119" t="s">
        <v>67</v>
      </c>
      <c r="E948" s="120" t="s">
        <v>99</v>
      </c>
      <c r="F948" s="117"/>
      <c r="G948" s="183">
        <f>G951+G949</f>
        <v>300.5</v>
      </c>
      <c r="H948" s="102"/>
      <c r="I948" s="102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  <c r="AE948" s="24"/>
      <c r="AF948" s="24"/>
      <c r="AG948" s="24"/>
      <c r="AH948" s="24"/>
      <c r="AI948" s="24"/>
      <c r="AJ948" s="24"/>
      <c r="AK948" s="24"/>
      <c r="AL948" s="24"/>
      <c r="AM948" s="24"/>
      <c r="AN948" s="24"/>
      <c r="AO948" s="24"/>
    </row>
    <row r="949" spans="1:41" s="5" customFormat="1" ht="22.5">
      <c r="A949" s="179" t="s">
        <v>847</v>
      </c>
      <c r="B949" s="118" t="s">
        <v>681</v>
      </c>
      <c r="C949" s="119" t="s">
        <v>72</v>
      </c>
      <c r="D949" s="119" t="s">
        <v>67</v>
      </c>
      <c r="E949" s="120" t="s">
        <v>848</v>
      </c>
      <c r="F949" s="117"/>
      <c r="G949" s="183">
        <f>G950</f>
        <v>76.89999999999999</v>
      </c>
      <c r="H949" s="102"/>
      <c r="I949" s="102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  <c r="AE949" s="24"/>
      <c r="AF949" s="24"/>
      <c r="AG949" s="24"/>
      <c r="AH949" s="24"/>
      <c r="AI949" s="24"/>
      <c r="AJ949" s="24"/>
      <c r="AK949" s="24"/>
      <c r="AL949" s="24"/>
      <c r="AM949" s="24"/>
      <c r="AN949" s="24"/>
      <c r="AO949" s="24"/>
    </row>
    <row r="950" spans="1:41" s="5" customFormat="1" ht="22.5">
      <c r="A950" s="134" t="s">
        <v>566</v>
      </c>
      <c r="B950" s="118" t="s">
        <v>681</v>
      </c>
      <c r="C950" s="119" t="s">
        <v>72</v>
      </c>
      <c r="D950" s="119" t="s">
        <v>67</v>
      </c>
      <c r="E950" s="120" t="s">
        <v>848</v>
      </c>
      <c r="F950" s="117">
        <v>727</v>
      </c>
      <c r="G950" s="183">
        <f>76.8+0.1</f>
        <v>76.89999999999999</v>
      </c>
      <c r="H950" s="102"/>
      <c r="I950" s="102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  <c r="AE950" s="24"/>
      <c r="AF950" s="24"/>
      <c r="AG950" s="24"/>
      <c r="AH950" s="24"/>
      <c r="AI950" s="24"/>
      <c r="AJ950" s="24"/>
      <c r="AK950" s="24"/>
      <c r="AL950" s="24"/>
      <c r="AM950" s="24"/>
      <c r="AN950" s="24"/>
      <c r="AO950" s="24"/>
    </row>
    <row r="951" spans="1:41" s="5" customFormat="1" ht="22.5">
      <c r="A951" s="134" t="s">
        <v>100</v>
      </c>
      <c r="B951" s="118" t="s">
        <v>681</v>
      </c>
      <c r="C951" s="119" t="s">
        <v>72</v>
      </c>
      <c r="D951" s="119" t="s">
        <v>67</v>
      </c>
      <c r="E951" s="120" t="s">
        <v>101</v>
      </c>
      <c r="F951" s="117"/>
      <c r="G951" s="183">
        <f t="shared" si="57"/>
        <v>223.6</v>
      </c>
      <c r="H951" s="102"/>
      <c r="I951" s="102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  <c r="AE951" s="24"/>
      <c r="AF951" s="24"/>
      <c r="AG951" s="24"/>
      <c r="AH951" s="24"/>
      <c r="AI951" s="24"/>
      <c r="AJ951" s="24"/>
      <c r="AK951" s="24"/>
      <c r="AL951" s="24"/>
      <c r="AM951" s="24"/>
      <c r="AN951" s="24"/>
      <c r="AO951" s="24"/>
    </row>
    <row r="952" spans="1:41" s="5" customFormat="1" ht="22.5">
      <c r="A952" s="134" t="s">
        <v>566</v>
      </c>
      <c r="B952" s="118" t="s">
        <v>681</v>
      </c>
      <c r="C952" s="119" t="s">
        <v>72</v>
      </c>
      <c r="D952" s="119" t="s">
        <v>67</v>
      </c>
      <c r="E952" s="120" t="s">
        <v>101</v>
      </c>
      <c r="F952" s="117">
        <v>727</v>
      </c>
      <c r="G952" s="183">
        <f>300-76.8+0.4</f>
        <v>223.6</v>
      </c>
      <c r="H952" s="102"/>
      <c r="I952" s="102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  <c r="AE952" s="24"/>
      <c r="AF952" s="24"/>
      <c r="AG952" s="24"/>
      <c r="AH952" s="24"/>
      <c r="AI952" s="24"/>
      <c r="AJ952" s="24"/>
      <c r="AK952" s="24"/>
      <c r="AL952" s="24"/>
      <c r="AM952" s="24"/>
      <c r="AN952" s="24"/>
      <c r="AO952" s="24"/>
    </row>
    <row r="953" spans="1:41" s="5" customFormat="1" ht="33.75">
      <c r="A953" s="134" t="s">
        <v>770</v>
      </c>
      <c r="B953" s="118" t="s">
        <v>766</v>
      </c>
      <c r="C953" s="119"/>
      <c r="D953" s="119"/>
      <c r="E953" s="120"/>
      <c r="F953" s="117"/>
      <c r="G953" s="183">
        <f>G954</f>
        <v>175</v>
      </c>
      <c r="H953" s="102"/>
      <c r="I953" s="102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  <c r="AE953" s="24"/>
      <c r="AF953" s="24"/>
      <c r="AG953" s="24"/>
      <c r="AH953" s="24"/>
      <c r="AI953" s="24"/>
      <c r="AJ953" s="24"/>
      <c r="AK953" s="24"/>
      <c r="AL953" s="24"/>
      <c r="AM953" s="24"/>
      <c r="AN953" s="24"/>
      <c r="AO953" s="24"/>
    </row>
    <row r="954" spans="1:41" s="68" customFormat="1" ht="21">
      <c r="A954" s="137" t="s">
        <v>775</v>
      </c>
      <c r="B954" s="114" t="s">
        <v>767</v>
      </c>
      <c r="C954" s="116"/>
      <c r="D954" s="116"/>
      <c r="E954" s="121"/>
      <c r="F954" s="113"/>
      <c r="G954" s="182">
        <f>G955+G962</f>
        <v>175</v>
      </c>
      <c r="H954" s="106"/>
      <c r="I954" s="106"/>
      <c r="J954" s="100"/>
      <c r="K954" s="100"/>
      <c r="L954" s="100"/>
      <c r="M954" s="100"/>
      <c r="N954" s="100"/>
      <c r="O954" s="100"/>
      <c r="P954" s="100"/>
      <c r="Q954" s="100"/>
      <c r="R954" s="100"/>
      <c r="S954" s="100"/>
      <c r="T954" s="100"/>
      <c r="U954" s="100"/>
      <c r="V954" s="100"/>
      <c r="W954" s="100"/>
      <c r="X954" s="100"/>
      <c r="Y954" s="100"/>
      <c r="Z954" s="100"/>
      <c r="AA954" s="100"/>
      <c r="AB954" s="100"/>
      <c r="AC954" s="100"/>
      <c r="AD954" s="100"/>
      <c r="AE954" s="100"/>
      <c r="AF954" s="100"/>
      <c r="AG954" s="100"/>
      <c r="AH954" s="100"/>
      <c r="AI954" s="100"/>
      <c r="AJ954" s="100"/>
      <c r="AK954" s="100"/>
      <c r="AL954" s="100"/>
      <c r="AM954" s="100"/>
      <c r="AN954" s="100"/>
      <c r="AO954" s="100"/>
    </row>
    <row r="955" spans="1:41" s="68" customFormat="1" ht="32.25">
      <c r="A955" s="136" t="s">
        <v>776</v>
      </c>
      <c r="B955" s="114" t="s">
        <v>768</v>
      </c>
      <c r="C955" s="116"/>
      <c r="D955" s="116"/>
      <c r="E955" s="121"/>
      <c r="F955" s="113"/>
      <c r="G955" s="182">
        <f aca="true" t="shared" si="58" ref="G955:G960">G956</f>
        <v>166.7</v>
      </c>
      <c r="H955" s="106"/>
      <c r="I955" s="106"/>
      <c r="J955" s="100"/>
      <c r="K955" s="100"/>
      <c r="L955" s="100"/>
      <c r="M955" s="100"/>
      <c r="N955" s="100"/>
      <c r="O955" s="100"/>
      <c r="P955" s="100"/>
      <c r="Q955" s="100"/>
      <c r="R955" s="100"/>
      <c r="S955" s="100"/>
      <c r="T955" s="100"/>
      <c r="U955" s="100"/>
      <c r="V955" s="100"/>
      <c r="W955" s="100"/>
      <c r="X955" s="100"/>
      <c r="Y955" s="100"/>
      <c r="Z955" s="100"/>
      <c r="AA955" s="100"/>
      <c r="AB955" s="100"/>
      <c r="AC955" s="100"/>
      <c r="AD955" s="100"/>
      <c r="AE955" s="100"/>
      <c r="AF955" s="100"/>
      <c r="AG955" s="100"/>
      <c r="AH955" s="100"/>
      <c r="AI955" s="100"/>
      <c r="AJ955" s="100"/>
      <c r="AK955" s="100"/>
      <c r="AL955" s="100"/>
      <c r="AM955" s="100"/>
      <c r="AN955" s="100"/>
      <c r="AO955" s="100"/>
    </row>
    <row r="956" spans="1:41" s="68" customFormat="1" ht="12.75">
      <c r="A956" s="137" t="s">
        <v>151</v>
      </c>
      <c r="B956" s="114" t="s">
        <v>768</v>
      </c>
      <c r="C956" s="116" t="s">
        <v>72</v>
      </c>
      <c r="D956" s="116" t="s">
        <v>36</v>
      </c>
      <c r="E956" s="121"/>
      <c r="F956" s="113"/>
      <c r="G956" s="182">
        <f t="shared" si="58"/>
        <v>166.7</v>
      </c>
      <c r="H956" s="106"/>
      <c r="I956" s="106"/>
      <c r="J956" s="100"/>
      <c r="K956" s="100"/>
      <c r="L956" s="100"/>
      <c r="M956" s="100"/>
      <c r="N956" s="100"/>
      <c r="O956" s="100"/>
      <c r="P956" s="100"/>
      <c r="Q956" s="100"/>
      <c r="R956" s="100"/>
      <c r="S956" s="100"/>
      <c r="T956" s="100"/>
      <c r="U956" s="100"/>
      <c r="V956" s="100"/>
      <c r="W956" s="100"/>
      <c r="X956" s="100"/>
      <c r="Y956" s="100"/>
      <c r="Z956" s="100"/>
      <c r="AA956" s="100"/>
      <c r="AB956" s="100"/>
      <c r="AC956" s="100"/>
      <c r="AD956" s="100"/>
      <c r="AE956" s="100"/>
      <c r="AF956" s="100"/>
      <c r="AG956" s="100"/>
      <c r="AH956" s="100"/>
      <c r="AI956" s="100"/>
      <c r="AJ956" s="100"/>
      <c r="AK956" s="100"/>
      <c r="AL956" s="100"/>
      <c r="AM956" s="100"/>
      <c r="AN956" s="100"/>
      <c r="AO956" s="100"/>
    </row>
    <row r="957" spans="1:41" s="5" customFormat="1" ht="12.75">
      <c r="A957" s="135" t="s">
        <v>208</v>
      </c>
      <c r="B957" s="118" t="s">
        <v>768</v>
      </c>
      <c r="C957" s="119" t="s">
        <v>72</v>
      </c>
      <c r="D957" s="119" t="s">
        <v>67</v>
      </c>
      <c r="E957" s="120"/>
      <c r="F957" s="117"/>
      <c r="G957" s="183">
        <f t="shared" si="58"/>
        <v>166.7</v>
      </c>
      <c r="H957" s="102"/>
      <c r="I957" s="102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  <c r="AE957" s="24"/>
      <c r="AF957" s="24"/>
      <c r="AG957" s="24"/>
      <c r="AH957" s="24"/>
      <c r="AI957" s="24"/>
      <c r="AJ957" s="24"/>
      <c r="AK957" s="24"/>
      <c r="AL957" s="24"/>
      <c r="AM957" s="24"/>
      <c r="AN957" s="24"/>
      <c r="AO957" s="24"/>
    </row>
    <row r="958" spans="1:41" s="5" customFormat="1" ht="22.5">
      <c r="A958" s="134" t="s">
        <v>610</v>
      </c>
      <c r="B958" s="118" t="s">
        <v>768</v>
      </c>
      <c r="C958" s="119" t="s">
        <v>72</v>
      </c>
      <c r="D958" s="119" t="s">
        <v>67</v>
      </c>
      <c r="E958" s="120" t="s">
        <v>104</v>
      </c>
      <c r="F958" s="117"/>
      <c r="G958" s="183">
        <f t="shared" si="58"/>
        <v>166.7</v>
      </c>
      <c r="H958" s="102"/>
      <c r="I958" s="102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  <c r="AE958" s="24"/>
      <c r="AF958" s="24"/>
      <c r="AG958" s="24"/>
      <c r="AH958" s="24"/>
      <c r="AI958" s="24"/>
      <c r="AJ958" s="24"/>
      <c r="AK958" s="24"/>
      <c r="AL958" s="24"/>
      <c r="AM958" s="24"/>
      <c r="AN958" s="24"/>
      <c r="AO958" s="24"/>
    </row>
    <row r="959" spans="1:41" s="5" customFormat="1" ht="22.5">
      <c r="A959" s="134" t="s">
        <v>98</v>
      </c>
      <c r="B959" s="118" t="s">
        <v>768</v>
      </c>
      <c r="C959" s="119" t="s">
        <v>72</v>
      </c>
      <c r="D959" s="119" t="s">
        <v>67</v>
      </c>
      <c r="E959" s="120" t="s">
        <v>99</v>
      </c>
      <c r="F959" s="117"/>
      <c r="G959" s="183">
        <f t="shared" si="58"/>
        <v>166.7</v>
      </c>
      <c r="H959" s="102"/>
      <c r="I959" s="102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  <c r="AE959" s="24"/>
      <c r="AF959" s="24"/>
      <c r="AG959" s="24"/>
      <c r="AH959" s="24"/>
      <c r="AI959" s="24"/>
      <c r="AJ959" s="24"/>
      <c r="AK959" s="24"/>
      <c r="AL959" s="24"/>
      <c r="AM959" s="24"/>
      <c r="AN959" s="24"/>
      <c r="AO959" s="24"/>
    </row>
    <row r="960" spans="1:41" s="5" customFormat="1" ht="22.5">
      <c r="A960" s="134" t="s">
        <v>100</v>
      </c>
      <c r="B960" s="118" t="s">
        <v>768</v>
      </c>
      <c r="C960" s="119" t="s">
        <v>72</v>
      </c>
      <c r="D960" s="119" t="s">
        <v>67</v>
      </c>
      <c r="E960" s="120" t="s">
        <v>101</v>
      </c>
      <c r="F960" s="117"/>
      <c r="G960" s="183">
        <f t="shared" si="58"/>
        <v>166.7</v>
      </c>
      <c r="H960" s="102"/>
      <c r="I960" s="102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  <c r="AE960" s="24"/>
      <c r="AF960" s="24"/>
      <c r="AG960" s="24"/>
      <c r="AH960" s="24"/>
      <c r="AI960" s="24"/>
      <c r="AJ960" s="24"/>
      <c r="AK960" s="24"/>
      <c r="AL960" s="24"/>
      <c r="AM960" s="24"/>
      <c r="AN960" s="24"/>
      <c r="AO960" s="24"/>
    </row>
    <row r="961" spans="1:41" s="5" customFormat="1" ht="22.5">
      <c r="A961" s="134" t="s">
        <v>566</v>
      </c>
      <c r="B961" s="118" t="s">
        <v>768</v>
      </c>
      <c r="C961" s="119" t="s">
        <v>72</v>
      </c>
      <c r="D961" s="119" t="s">
        <v>67</v>
      </c>
      <c r="E961" s="120" t="s">
        <v>101</v>
      </c>
      <c r="F961" s="117">
        <v>727</v>
      </c>
      <c r="G961" s="183">
        <v>166.7</v>
      </c>
      <c r="H961" s="102"/>
      <c r="I961" s="102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  <c r="AE961" s="24"/>
      <c r="AF961" s="24"/>
      <c r="AG961" s="24"/>
      <c r="AH961" s="24"/>
      <c r="AI961" s="24"/>
      <c r="AJ961" s="24"/>
      <c r="AK961" s="24"/>
      <c r="AL961" s="24"/>
      <c r="AM961" s="24"/>
      <c r="AN961" s="24"/>
      <c r="AO961" s="24"/>
    </row>
    <row r="962" spans="1:41" s="68" customFormat="1" ht="21.75">
      <c r="A962" s="136" t="s">
        <v>777</v>
      </c>
      <c r="B962" s="114" t="s">
        <v>769</v>
      </c>
      <c r="C962" s="116"/>
      <c r="D962" s="116"/>
      <c r="E962" s="121"/>
      <c r="F962" s="113"/>
      <c r="G962" s="182">
        <f aca="true" t="shared" si="59" ref="G962:G967">G963</f>
        <v>8.3</v>
      </c>
      <c r="H962" s="106"/>
      <c r="I962" s="106"/>
      <c r="J962" s="100"/>
      <c r="K962" s="100"/>
      <c r="L962" s="100"/>
      <c r="M962" s="100"/>
      <c r="N962" s="100"/>
      <c r="O962" s="100"/>
      <c r="P962" s="100"/>
      <c r="Q962" s="100"/>
      <c r="R962" s="100"/>
      <c r="S962" s="100"/>
      <c r="T962" s="100"/>
      <c r="U962" s="100"/>
      <c r="V962" s="100"/>
      <c r="W962" s="100"/>
      <c r="X962" s="100"/>
      <c r="Y962" s="100"/>
      <c r="Z962" s="100"/>
      <c r="AA962" s="100"/>
      <c r="AB962" s="100"/>
      <c r="AC962" s="100"/>
      <c r="AD962" s="100"/>
      <c r="AE962" s="100"/>
      <c r="AF962" s="100"/>
      <c r="AG962" s="100"/>
      <c r="AH962" s="100"/>
      <c r="AI962" s="100"/>
      <c r="AJ962" s="100"/>
      <c r="AK962" s="100"/>
      <c r="AL962" s="100"/>
      <c r="AM962" s="100"/>
      <c r="AN962" s="100"/>
      <c r="AO962" s="100"/>
    </row>
    <row r="963" spans="1:41" s="68" customFormat="1" ht="12.75">
      <c r="A963" s="137" t="s">
        <v>151</v>
      </c>
      <c r="B963" s="114" t="s">
        <v>769</v>
      </c>
      <c r="C963" s="116" t="s">
        <v>72</v>
      </c>
      <c r="D963" s="116" t="s">
        <v>36</v>
      </c>
      <c r="E963" s="121"/>
      <c r="F963" s="113"/>
      <c r="G963" s="182">
        <f t="shared" si="59"/>
        <v>8.3</v>
      </c>
      <c r="H963" s="106"/>
      <c r="I963" s="106"/>
      <c r="J963" s="100"/>
      <c r="K963" s="100"/>
      <c r="L963" s="100"/>
      <c r="M963" s="100"/>
      <c r="N963" s="100"/>
      <c r="O963" s="100"/>
      <c r="P963" s="100"/>
      <c r="Q963" s="100"/>
      <c r="R963" s="100"/>
      <c r="S963" s="100"/>
      <c r="T963" s="100"/>
      <c r="U963" s="100"/>
      <c r="V963" s="100"/>
      <c r="W963" s="100"/>
      <c r="X963" s="100"/>
      <c r="Y963" s="100"/>
      <c r="Z963" s="100"/>
      <c r="AA963" s="100"/>
      <c r="AB963" s="100"/>
      <c r="AC963" s="100"/>
      <c r="AD963" s="100"/>
      <c r="AE963" s="100"/>
      <c r="AF963" s="100"/>
      <c r="AG963" s="100"/>
      <c r="AH963" s="100"/>
      <c r="AI963" s="100"/>
      <c r="AJ963" s="100"/>
      <c r="AK963" s="100"/>
      <c r="AL963" s="100"/>
      <c r="AM963" s="100"/>
      <c r="AN963" s="100"/>
      <c r="AO963" s="100"/>
    </row>
    <row r="964" spans="1:41" s="68" customFormat="1" ht="12.75">
      <c r="A964" s="135" t="s">
        <v>208</v>
      </c>
      <c r="B964" s="118" t="s">
        <v>769</v>
      </c>
      <c r="C964" s="119" t="s">
        <v>72</v>
      </c>
      <c r="D964" s="119" t="s">
        <v>67</v>
      </c>
      <c r="E964" s="121"/>
      <c r="F964" s="113"/>
      <c r="G964" s="182">
        <f t="shared" si="59"/>
        <v>8.3</v>
      </c>
      <c r="H964" s="106"/>
      <c r="I964" s="106"/>
      <c r="J964" s="100"/>
      <c r="K964" s="100"/>
      <c r="L964" s="100"/>
      <c r="M964" s="100"/>
      <c r="N964" s="100"/>
      <c r="O964" s="100"/>
      <c r="P964" s="100"/>
      <c r="Q964" s="100"/>
      <c r="R964" s="100"/>
      <c r="S964" s="100"/>
      <c r="T964" s="100"/>
      <c r="U964" s="100"/>
      <c r="V964" s="100"/>
      <c r="W964" s="100"/>
      <c r="X964" s="100"/>
      <c r="Y964" s="100"/>
      <c r="Z964" s="100"/>
      <c r="AA964" s="100"/>
      <c r="AB964" s="100"/>
      <c r="AC964" s="100"/>
      <c r="AD964" s="100"/>
      <c r="AE964" s="100"/>
      <c r="AF964" s="100"/>
      <c r="AG964" s="100"/>
      <c r="AH964" s="100"/>
      <c r="AI964" s="100"/>
      <c r="AJ964" s="100"/>
      <c r="AK964" s="100"/>
      <c r="AL964" s="100"/>
      <c r="AM964" s="100"/>
      <c r="AN964" s="100"/>
      <c r="AO964" s="100"/>
    </row>
    <row r="965" spans="1:41" s="5" customFormat="1" ht="22.5">
      <c r="A965" s="134" t="s">
        <v>610</v>
      </c>
      <c r="B965" s="118" t="s">
        <v>769</v>
      </c>
      <c r="C965" s="119" t="s">
        <v>72</v>
      </c>
      <c r="D965" s="119" t="s">
        <v>67</v>
      </c>
      <c r="E965" s="120" t="s">
        <v>104</v>
      </c>
      <c r="F965" s="117"/>
      <c r="G965" s="183">
        <f t="shared" si="59"/>
        <v>8.3</v>
      </c>
      <c r="H965" s="102"/>
      <c r="I965" s="102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  <c r="AE965" s="24"/>
      <c r="AF965" s="24"/>
      <c r="AG965" s="24"/>
      <c r="AH965" s="24"/>
      <c r="AI965" s="24"/>
      <c r="AJ965" s="24"/>
      <c r="AK965" s="24"/>
      <c r="AL965" s="24"/>
      <c r="AM965" s="24"/>
      <c r="AN965" s="24"/>
      <c r="AO965" s="24"/>
    </row>
    <row r="966" spans="1:41" s="5" customFormat="1" ht="22.5">
      <c r="A966" s="134" t="s">
        <v>98</v>
      </c>
      <c r="B966" s="118" t="s">
        <v>769</v>
      </c>
      <c r="C966" s="119" t="s">
        <v>72</v>
      </c>
      <c r="D966" s="119" t="s">
        <v>67</v>
      </c>
      <c r="E966" s="120" t="s">
        <v>99</v>
      </c>
      <c r="F966" s="117"/>
      <c r="G966" s="183">
        <f t="shared" si="59"/>
        <v>8.3</v>
      </c>
      <c r="H966" s="102"/>
      <c r="I966" s="102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  <c r="AE966" s="24"/>
      <c r="AF966" s="24"/>
      <c r="AG966" s="24"/>
      <c r="AH966" s="24"/>
      <c r="AI966" s="24"/>
      <c r="AJ966" s="24"/>
      <c r="AK966" s="24"/>
      <c r="AL966" s="24"/>
      <c r="AM966" s="24"/>
      <c r="AN966" s="24"/>
      <c r="AO966" s="24"/>
    </row>
    <row r="967" spans="1:41" s="5" customFormat="1" ht="22.5">
      <c r="A967" s="134" t="s">
        <v>100</v>
      </c>
      <c r="B967" s="118" t="s">
        <v>769</v>
      </c>
      <c r="C967" s="119" t="s">
        <v>72</v>
      </c>
      <c r="D967" s="119" t="s">
        <v>67</v>
      </c>
      <c r="E967" s="120" t="s">
        <v>101</v>
      </c>
      <c r="F967" s="117"/>
      <c r="G967" s="183">
        <f t="shared" si="59"/>
        <v>8.3</v>
      </c>
      <c r="H967" s="102"/>
      <c r="I967" s="102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  <c r="AE967" s="24"/>
      <c r="AF967" s="24"/>
      <c r="AG967" s="24"/>
      <c r="AH967" s="24"/>
      <c r="AI967" s="24"/>
      <c r="AJ967" s="24"/>
      <c r="AK967" s="24"/>
      <c r="AL967" s="24"/>
      <c r="AM967" s="24"/>
      <c r="AN967" s="24"/>
      <c r="AO967" s="24"/>
    </row>
    <row r="968" spans="1:41" s="5" customFormat="1" ht="22.5">
      <c r="A968" s="134" t="s">
        <v>566</v>
      </c>
      <c r="B968" s="118" t="s">
        <v>769</v>
      </c>
      <c r="C968" s="119" t="s">
        <v>72</v>
      </c>
      <c r="D968" s="119" t="s">
        <v>67</v>
      </c>
      <c r="E968" s="120" t="s">
        <v>101</v>
      </c>
      <c r="F968" s="117">
        <v>727</v>
      </c>
      <c r="G968" s="183">
        <v>8.3</v>
      </c>
      <c r="H968" s="102"/>
      <c r="I968" s="102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  <c r="AE968" s="24"/>
      <c r="AF968" s="24"/>
      <c r="AG968" s="24"/>
      <c r="AH968" s="24"/>
      <c r="AI968" s="24"/>
      <c r="AJ968" s="24"/>
      <c r="AK968" s="24"/>
      <c r="AL968" s="24"/>
      <c r="AM968" s="24"/>
      <c r="AN968" s="24"/>
      <c r="AO968" s="24"/>
    </row>
    <row r="969" spans="1:41" s="68" customFormat="1" ht="32.25">
      <c r="A969" s="136" t="s">
        <v>778</v>
      </c>
      <c r="B969" s="114" t="s">
        <v>683</v>
      </c>
      <c r="C969" s="116"/>
      <c r="D969" s="116"/>
      <c r="E969" s="121"/>
      <c r="F969" s="113"/>
      <c r="G969" s="182">
        <f>G970</f>
        <v>2372.5</v>
      </c>
      <c r="H969" s="106"/>
      <c r="I969" s="106"/>
      <c r="J969" s="100"/>
      <c r="K969" s="100"/>
      <c r="L969" s="100"/>
      <c r="M969" s="100"/>
      <c r="N969" s="100"/>
      <c r="O969" s="100"/>
      <c r="P969" s="100"/>
      <c r="Q969" s="100"/>
      <c r="R969" s="100"/>
      <c r="S969" s="100"/>
      <c r="T969" s="100"/>
      <c r="U969" s="100"/>
      <c r="V969" s="100"/>
      <c r="W969" s="100"/>
      <c r="X969" s="100"/>
      <c r="Y969" s="100"/>
      <c r="Z969" s="100"/>
      <c r="AA969" s="100"/>
      <c r="AB969" s="100"/>
      <c r="AC969" s="100"/>
      <c r="AD969" s="100"/>
      <c r="AE969" s="100"/>
      <c r="AF969" s="100"/>
      <c r="AG969" s="100"/>
      <c r="AH969" s="100"/>
      <c r="AI969" s="100"/>
      <c r="AJ969" s="100"/>
      <c r="AK969" s="100"/>
      <c r="AL969" s="100"/>
      <c r="AM969" s="100"/>
      <c r="AN969" s="100"/>
      <c r="AO969" s="100"/>
    </row>
    <row r="970" spans="1:41" s="68" customFormat="1" ht="31.5">
      <c r="A970" s="137" t="s">
        <v>779</v>
      </c>
      <c r="B970" s="114" t="s">
        <v>684</v>
      </c>
      <c r="C970" s="116"/>
      <c r="D970" s="116"/>
      <c r="E970" s="121"/>
      <c r="F970" s="113"/>
      <c r="G970" s="182">
        <f>G971+G978</f>
        <v>2372.5</v>
      </c>
      <c r="H970" s="106"/>
      <c r="I970" s="106"/>
      <c r="J970" s="100"/>
      <c r="K970" s="100"/>
      <c r="L970" s="100"/>
      <c r="M970" s="100"/>
      <c r="N970" s="100"/>
      <c r="O970" s="100"/>
      <c r="P970" s="100"/>
      <c r="Q970" s="100"/>
      <c r="R970" s="100"/>
      <c r="S970" s="100"/>
      <c r="T970" s="100"/>
      <c r="U970" s="100"/>
      <c r="V970" s="100"/>
      <c r="W970" s="100"/>
      <c r="X970" s="100"/>
      <c r="Y970" s="100"/>
      <c r="Z970" s="100"/>
      <c r="AA970" s="100"/>
      <c r="AB970" s="100"/>
      <c r="AC970" s="100"/>
      <c r="AD970" s="100"/>
      <c r="AE970" s="100"/>
      <c r="AF970" s="100"/>
      <c r="AG970" s="100"/>
      <c r="AH970" s="100"/>
      <c r="AI970" s="100"/>
      <c r="AJ970" s="100"/>
      <c r="AK970" s="100"/>
      <c r="AL970" s="100"/>
      <c r="AM970" s="100"/>
      <c r="AN970" s="100"/>
      <c r="AO970" s="100"/>
    </row>
    <row r="971" spans="1:41" s="68" customFormat="1" ht="22.5">
      <c r="A971" s="134" t="s">
        <v>816</v>
      </c>
      <c r="B971" s="114" t="s">
        <v>685</v>
      </c>
      <c r="C971" s="116"/>
      <c r="D971" s="116"/>
      <c r="E971" s="121"/>
      <c r="F971" s="113"/>
      <c r="G971" s="182">
        <f aca="true" t="shared" si="60" ref="G971:G976">G972</f>
        <v>2325.5</v>
      </c>
      <c r="H971" s="106"/>
      <c r="I971" s="106"/>
      <c r="J971" s="100"/>
      <c r="K971" s="100"/>
      <c r="L971" s="100"/>
      <c r="M971" s="100"/>
      <c r="N971" s="100"/>
      <c r="O971" s="100"/>
      <c r="P971" s="100"/>
      <c r="Q971" s="100"/>
      <c r="R971" s="100"/>
      <c r="S971" s="100"/>
      <c r="T971" s="100"/>
      <c r="U971" s="100"/>
      <c r="V971" s="100"/>
      <c r="W971" s="100"/>
      <c r="X971" s="100"/>
      <c r="Y971" s="100"/>
      <c r="Z971" s="100"/>
      <c r="AA971" s="100"/>
      <c r="AB971" s="100"/>
      <c r="AC971" s="100"/>
      <c r="AD971" s="100"/>
      <c r="AE971" s="100"/>
      <c r="AF971" s="100"/>
      <c r="AG971" s="100"/>
      <c r="AH971" s="100"/>
      <c r="AI971" s="100"/>
      <c r="AJ971" s="100"/>
      <c r="AK971" s="100"/>
      <c r="AL971" s="100"/>
      <c r="AM971" s="100"/>
      <c r="AN971" s="100"/>
      <c r="AO971" s="100"/>
    </row>
    <row r="972" spans="1:41" s="68" customFormat="1" ht="12.75">
      <c r="A972" s="137" t="s">
        <v>151</v>
      </c>
      <c r="B972" s="114" t="s">
        <v>685</v>
      </c>
      <c r="C972" s="116" t="s">
        <v>72</v>
      </c>
      <c r="D972" s="116" t="s">
        <v>36</v>
      </c>
      <c r="E972" s="121"/>
      <c r="F972" s="113"/>
      <c r="G972" s="182">
        <f t="shared" si="60"/>
        <v>2325.5</v>
      </c>
      <c r="H972" s="106"/>
      <c r="I972" s="106"/>
      <c r="J972" s="100"/>
      <c r="K972" s="100"/>
      <c r="L972" s="100"/>
      <c r="M972" s="100"/>
      <c r="N972" s="100"/>
      <c r="O972" s="100"/>
      <c r="P972" s="100"/>
      <c r="Q972" s="100"/>
      <c r="R972" s="100"/>
      <c r="S972" s="100"/>
      <c r="T972" s="100"/>
      <c r="U972" s="100"/>
      <c r="V972" s="100"/>
      <c r="W972" s="100"/>
      <c r="X972" s="100"/>
      <c r="Y972" s="100"/>
      <c r="Z972" s="100"/>
      <c r="AA972" s="100"/>
      <c r="AB972" s="100"/>
      <c r="AC972" s="100"/>
      <c r="AD972" s="100"/>
      <c r="AE972" s="100"/>
      <c r="AF972" s="100"/>
      <c r="AG972" s="100"/>
      <c r="AH972" s="100"/>
      <c r="AI972" s="100"/>
      <c r="AJ972" s="100"/>
      <c r="AK972" s="100"/>
      <c r="AL972" s="100"/>
      <c r="AM972" s="100"/>
      <c r="AN972" s="100"/>
      <c r="AO972" s="100"/>
    </row>
    <row r="973" spans="1:41" s="5" customFormat="1" ht="12.75">
      <c r="A973" s="135" t="s">
        <v>210</v>
      </c>
      <c r="B973" s="118" t="s">
        <v>685</v>
      </c>
      <c r="C973" s="119" t="s">
        <v>72</v>
      </c>
      <c r="D973" s="119" t="s">
        <v>70</v>
      </c>
      <c r="E973" s="120"/>
      <c r="F973" s="117"/>
      <c r="G973" s="183">
        <f t="shared" si="60"/>
        <v>2325.5</v>
      </c>
      <c r="H973" s="102"/>
      <c r="I973" s="102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  <c r="AE973" s="24"/>
      <c r="AF973" s="24"/>
      <c r="AG973" s="24"/>
      <c r="AH973" s="24"/>
      <c r="AI973" s="24"/>
      <c r="AJ973" s="24"/>
      <c r="AK973" s="24"/>
      <c r="AL973" s="24"/>
      <c r="AM973" s="24"/>
      <c r="AN973" s="24"/>
      <c r="AO973" s="24"/>
    </row>
    <row r="974" spans="1:41" s="5" customFormat="1" ht="22.5">
      <c r="A974" s="134" t="s">
        <v>610</v>
      </c>
      <c r="B974" s="118" t="s">
        <v>685</v>
      </c>
      <c r="C974" s="119" t="s">
        <v>72</v>
      </c>
      <c r="D974" s="119" t="s">
        <v>70</v>
      </c>
      <c r="E974" s="120" t="s">
        <v>104</v>
      </c>
      <c r="F974" s="117"/>
      <c r="G974" s="183">
        <f t="shared" si="60"/>
        <v>2325.5</v>
      </c>
      <c r="H974" s="102"/>
      <c r="I974" s="102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  <c r="AE974" s="24"/>
      <c r="AF974" s="24"/>
      <c r="AG974" s="24"/>
      <c r="AH974" s="24"/>
      <c r="AI974" s="24"/>
      <c r="AJ974" s="24"/>
      <c r="AK974" s="24"/>
      <c r="AL974" s="24"/>
      <c r="AM974" s="24"/>
      <c r="AN974" s="24"/>
      <c r="AO974" s="24"/>
    </row>
    <row r="975" spans="1:41" s="5" customFormat="1" ht="22.5">
      <c r="A975" s="134" t="s">
        <v>98</v>
      </c>
      <c r="B975" s="118" t="s">
        <v>685</v>
      </c>
      <c r="C975" s="119" t="s">
        <v>72</v>
      </c>
      <c r="D975" s="119" t="s">
        <v>70</v>
      </c>
      <c r="E975" s="120" t="s">
        <v>99</v>
      </c>
      <c r="F975" s="117"/>
      <c r="G975" s="183">
        <f t="shared" si="60"/>
        <v>2325.5</v>
      </c>
      <c r="H975" s="102"/>
      <c r="I975" s="102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  <c r="AE975" s="24"/>
      <c r="AF975" s="24"/>
      <c r="AG975" s="24"/>
      <c r="AH975" s="24"/>
      <c r="AI975" s="24"/>
      <c r="AJ975" s="24"/>
      <c r="AK975" s="24"/>
      <c r="AL975" s="24"/>
      <c r="AM975" s="24"/>
      <c r="AN975" s="24"/>
      <c r="AO975" s="24"/>
    </row>
    <row r="976" spans="1:41" s="5" customFormat="1" ht="22.5">
      <c r="A976" s="134" t="s">
        <v>100</v>
      </c>
      <c r="B976" s="118" t="s">
        <v>685</v>
      </c>
      <c r="C976" s="119" t="s">
        <v>72</v>
      </c>
      <c r="D976" s="119" t="s">
        <v>70</v>
      </c>
      <c r="E976" s="120" t="s">
        <v>101</v>
      </c>
      <c r="F976" s="117"/>
      <c r="G976" s="183">
        <f t="shared" si="60"/>
        <v>2325.5</v>
      </c>
      <c r="H976" s="102"/>
      <c r="I976" s="102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  <c r="AE976" s="24"/>
      <c r="AF976" s="24"/>
      <c r="AG976" s="24"/>
      <c r="AH976" s="24"/>
      <c r="AI976" s="24"/>
      <c r="AJ976" s="24"/>
      <c r="AK976" s="24"/>
      <c r="AL976" s="24"/>
      <c r="AM976" s="24"/>
      <c r="AN976" s="24"/>
      <c r="AO976" s="24"/>
    </row>
    <row r="977" spans="1:41" s="5" customFormat="1" ht="22.5">
      <c r="A977" s="134" t="s">
        <v>566</v>
      </c>
      <c r="B977" s="118" t="s">
        <v>685</v>
      </c>
      <c r="C977" s="119" t="s">
        <v>72</v>
      </c>
      <c r="D977" s="119" t="s">
        <v>70</v>
      </c>
      <c r="E977" s="120" t="s">
        <v>101</v>
      </c>
      <c r="F977" s="117">
        <v>727</v>
      </c>
      <c r="G977" s="183">
        <v>2325.5</v>
      </c>
      <c r="H977" s="102"/>
      <c r="I977" s="102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  <c r="AE977" s="24"/>
      <c r="AF977" s="24"/>
      <c r="AG977" s="24"/>
      <c r="AH977" s="24"/>
      <c r="AI977" s="24"/>
      <c r="AJ977" s="24"/>
      <c r="AK977" s="24"/>
      <c r="AL977" s="24"/>
      <c r="AM977" s="24"/>
      <c r="AN977" s="24"/>
      <c r="AO977" s="24"/>
    </row>
    <row r="978" spans="1:41" s="68" customFormat="1" ht="31.5" customHeight="1">
      <c r="A978" s="134" t="s">
        <v>817</v>
      </c>
      <c r="B978" s="114" t="s">
        <v>781</v>
      </c>
      <c r="C978" s="116"/>
      <c r="D978" s="116"/>
      <c r="E978" s="121"/>
      <c r="F978" s="113"/>
      <c r="G978" s="182">
        <f aca="true" t="shared" si="61" ref="G978:G983">G979</f>
        <v>47</v>
      </c>
      <c r="H978" s="106"/>
      <c r="I978" s="106"/>
      <c r="J978" s="100"/>
      <c r="K978" s="100"/>
      <c r="L978" s="100"/>
      <c r="M978" s="100"/>
      <c r="N978" s="100"/>
      <c r="O978" s="100"/>
      <c r="P978" s="100"/>
      <c r="Q978" s="100"/>
      <c r="R978" s="100"/>
      <c r="S978" s="100"/>
      <c r="T978" s="100"/>
      <c r="U978" s="100"/>
      <c r="V978" s="100"/>
      <c r="W978" s="100"/>
      <c r="X978" s="100"/>
      <c r="Y978" s="100"/>
      <c r="Z978" s="100"/>
      <c r="AA978" s="100"/>
      <c r="AB978" s="100"/>
      <c r="AC978" s="100"/>
      <c r="AD978" s="100"/>
      <c r="AE978" s="100"/>
      <c r="AF978" s="100"/>
      <c r="AG978" s="100"/>
      <c r="AH978" s="100"/>
      <c r="AI978" s="100"/>
      <c r="AJ978" s="100"/>
      <c r="AK978" s="100"/>
      <c r="AL978" s="100"/>
      <c r="AM978" s="100"/>
      <c r="AN978" s="100"/>
      <c r="AO978" s="100"/>
    </row>
    <row r="979" spans="1:41" s="68" customFormat="1" ht="15" customHeight="1">
      <c r="A979" s="137" t="s">
        <v>151</v>
      </c>
      <c r="B979" s="114" t="s">
        <v>781</v>
      </c>
      <c r="C979" s="116" t="s">
        <v>72</v>
      </c>
      <c r="D979" s="116" t="s">
        <v>36</v>
      </c>
      <c r="E979" s="121"/>
      <c r="F979" s="113"/>
      <c r="G979" s="182">
        <f t="shared" si="61"/>
        <v>47</v>
      </c>
      <c r="H979" s="106"/>
      <c r="I979" s="106"/>
      <c r="J979" s="100"/>
      <c r="K979" s="100"/>
      <c r="L979" s="100"/>
      <c r="M979" s="100"/>
      <c r="N979" s="100"/>
      <c r="O979" s="100"/>
      <c r="P979" s="100"/>
      <c r="Q979" s="100"/>
      <c r="R979" s="100"/>
      <c r="S979" s="100"/>
      <c r="T979" s="100"/>
      <c r="U979" s="100"/>
      <c r="V979" s="100"/>
      <c r="W979" s="100"/>
      <c r="X979" s="100"/>
      <c r="Y979" s="100"/>
      <c r="Z979" s="100"/>
      <c r="AA979" s="100"/>
      <c r="AB979" s="100"/>
      <c r="AC979" s="100"/>
      <c r="AD979" s="100"/>
      <c r="AE979" s="100"/>
      <c r="AF979" s="100"/>
      <c r="AG979" s="100"/>
      <c r="AH979" s="100"/>
      <c r="AI979" s="100"/>
      <c r="AJ979" s="100"/>
      <c r="AK979" s="100"/>
      <c r="AL979" s="100"/>
      <c r="AM979" s="100"/>
      <c r="AN979" s="100"/>
      <c r="AO979" s="100"/>
    </row>
    <row r="980" spans="1:41" s="68" customFormat="1" ht="11.25" customHeight="1">
      <c r="A980" s="135" t="s">
        <v>210</v>
      </c>
      <c r="B980" s="118" t="s">
        <v>781</v>
      </c>
      <c r="C980" s="119" t="s">
        <v>72</v>
      </c>
      <c r="D980" s="119" t="s">
        <v>70</v>
      </c>
      <c r="E980" s="121"/>
      <c r="F980" s="113"/>
      <c r="G980" s="183">
        <f t="shared" si="61"/>
        <v>47</v>
      </c>
      <c r="H980" s="106"/>
      <c r="I980" s="106"/>
      <c r="J980" s="100"/>
      <c r="K980" s="100"/>
      <c r="L980" s="100"/>
      <c r="M980" s="100"/>
      <c r="N980" s="100"/>
      <c r="O980" s="100"/>
      <c r="P980" s="100"/>
      <c r="Q980" s="100"/>
      <c r="R980" s="100"/>
      <c r="S980" s="100"/>
      <c r="T980" s="100"/>
      <c r="U980" s="100"/>
      <c r="V980" s="100"/>
      <c r="W980" s="100"/>
      <c r="X980" s="100"/>
      <c r="Y980" s="100"/>
      <c r="Z980" s="100"/>
      <c r="AA980" s="100"/>
      <c r="AB980" s="100"/>
      <c r="AC980" s="100"/>
      <c r="AD980" s="100"/>
      <c r="AE980" s="100"/>
      <c r="AF980" s="100"/>
      <c r="AG980" s="100"/>
      <c r="AH980" s="100"/>
      <c r="AI980" s="100"/>
      <c r="AJ980" s="100"/>
      <c r="AK980" s="100"/>
      <c r="AL980" s="100"/>
      <c r="AM980" s="100"/>
      <c r="AN980" s="100"/>
      <c r="AO980" s="100"/>
    </row>
    <row r="981" spans="1:41" s="5" customFormat="1" ht="22.5">
      <c r="A981" s="134" t="s">
        <v>610</v>
      </c>
      <c r="B981" s="118" t="s">
        <v>781</v>
      </c>
      <c r="C981" s="119" t="s">
        <v>72</v>
      </c>
      <c r="D981" s="119" t="s">
        <v>70</v>
      </c>
      <c r="E981" s="120" t="s">
        <v>104</v>
      </c>
      <c r="F981" s="117"/>
      <c r="G981" s="183">
        <f t="shared" si="61"/>
        <v>47</v>
      </c>
      <c r="H981" s="102"/>
      <c r="I981" s="102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  <c r="AE981" s="24"/>
      <c r="AF981" s="24"/>
      <c r="AG981" s="24"/>
      <c r="AH981" s="24"/>
      <c r="AI981" s="24"/>
      <c r="AJ981" s="24"/>
      <c r="AK981" s="24"/>
      <c r="AL981" s="24"/>
      <c r="AM981" s="24"/>
      <c r="AN981" s="24"/>
      <c r="AO981" s="24"/>
    </row>
    <row r="982" spans="1:41" s="5" customFormat="1" ht="22.5">
      <c r="A982" s="134" t="s">
        <v>98</v>
      </c>
      <c r="B982" s="118" t="s">
        <v>781</v>
      </c>
      <c r="C982" s="119" t="s">
        <v>72</v>
      </c>
      <c r="D982" s="119" t="s">
        <v>70</v>
      </c>
      <c r="E982" s="120" t="s">
        <v>99</v>
      </c>
      <c r="F982" s="117"/>
      <c r="G982" s="183">
        <f t="shared" si="61"/>
        <v>47</v>
      </c>
      <c r="H982" s="102"/>
      <c r="I982" s="102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  <c r="AE982" s="24"/>
      <c r="AF982" s="24"/>
      <c r="AG982" s="24"/>
      <c r="AH982" s="24"/>
      <c r="AI982" s="24"/>
      <c r="AJ982" s="24"/>
      <c r="AK982" s="24"/>
      <c r="AL982" s="24"/>
      <c r="AM982" s="24"/>
      <c r="AN982" s="24"/>
      <c r="AO982" s="24"/>
    </row>
    <row r="983" spans="1:41" s="5" customFormat="1" ht="22.5">
      <c r="A983" s="134" t="s">
        <v>100</v>
      </c>
      <c r="B983" s="118" t="s">
        <v>781</v>
      </c>
      <c r="C983" s="119" t="s">
        <v>72</v>
      </c>
      <c r="D983" s="119" t="s">
        <v>70</v>
      </c>
      <c r="E983" s="120" t="s">
        <v>101</v>
      </c>
      <c r="F983" s="117"/>
      <c r="G983" s="183">
        <f t="shared" si="61"/>
        <v>47</v>
      </c>
      <c r="H983" s="102"/>
      <c r="I983" s="102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  <c r="AE983" s="24"/>
      <c r="AF983" s="24"/>
      <c r="AG983" s="24"/>
      <c r="AH983" s="24"/>
      <c r="AI983" s="24"/>
      <c r="AJ983" s="24"/>
      <c r="AK983" s="24"/>
      <c r="AL983" s="24"/>
      <c r="AM983" s="24"/>
      <c r="AN983" s="24"/>
      <c r="AO983" s="24"/>
    </row>
    <row r="984" spans="1:41" s="5" customFormat="1" ht="22.5">
      <c r="A984" s="134" t="s">
        <v>566</v>
      </c>
      <c r="B984" s="118" t="s">
        <v>781</v>
      </c>
      <c r="C984" s="119" t="s">
        <v>72</v>
      </c>
      <c r="D984" s="119" t="s">
        <v>70</v>
      </c>
      <c r="E984" s="120" t="s">
        <v>101</v>
      </c>
      <c r="F984" s="117">
        <v>727</v>
      </c>
      <c r="G984" s="183">
        <v>47</v>
      </c>
      <c r="H984" s="102"/>
      <c r="I984" s="102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  <c r="AE984" s="24"/>
      <c r="AF984" s="24"/>
      <c r="AG984" s="24"/>
      <c r="AH984" s="24"/>
      <c r="AI984" s="24"/>
      <c r="AJ984" s="24"/>
      <c r="AK984" s="24"/>
      <c r="AL984" s="24"/>
      <c r="AM984" s="24"/>
      <c r="AN984" s="24"/>
      <c r="AO984" s="24"/>
    </row>
    <row r="985" spans="1:41" s="68" customFormat="1" ht="33.75">
      <c r="A985" s="134" t="s">
        <v>771</v>
      </c>
      <c r="B985" s="120" t="s">
        <v>686</v>
      </c>
      <c r="C985" s="119"/>
      <c r="D985" s="119"/>
      <c r="E985" s="120"/>
      <c r="F985" s="117"/>
      <c r="G985" s="183">
        <f>G986</f>
        <v>0</v>
      </c>
      <c r="H985" s="106"/>
      <c r="I985" s="106"/>
      <c r="J985" s="100"/>
      <c r="K985" s="100"/>
      <c r="L985" s="100"/>
      <c r="M985" s="100"/>
      <c r="N985" s="100"/>
      <c r="O985" s="100"/>
      <c r="P985" s="100"/>
      <c r="Q985" s="100"/>
      <c r="R985" s="100"/>
      <c r="S985" s="100"/>
      <c r="T985" s="100"/>
      <c r="U985" s="100"/>
      <c r="V985" s="100"/>
      <c r="W985" s="100"/>
      <c r="X985" s="100"/>
      <c r="Y985" s="100"/>
      <c r="Z985" s="100"/>
      <c r="AA985" s="100"/>
      <c r="AB985" s="100"/>
      <c r="AC985" s="100"/>
      <c r="AD985" s="100"/>
      <c r="AE985" s="100"/>
      <c r="AF985" s="100"/>
      <c r="AG985" s="100"/>
      <c r="AH985" s="100"/>
      <c r="AI985" s="100"/>
      <c r="AJ985" s="100"/>
      <c r="AK985" s="100"/>
      <c r="AL985" s="100"/>
      <c r="AM985" s="100"/>
      <c r="AN985" s="100"/>
      <c r="AO985" s="100"/>
    </row>
    <row r="986" spans="1:41" s="68" customFormat="1" ht="21">
      <c r="A986" s="137" t="s">
        <v>772</v>
      </c>
      <c r="B986" s="121" t="s">
        <v>687</v>
      </c>
      <c r="C986" s="116"/>
      <c r="D986" s="116"/>
      <c r="E986" s="121"/>
      <c r="F986" s="113"/>
      <c r="G986" s="182">
        <f>G987+G994</f>
        <v>0</v>
      </c>
      <c r="H986" s="106"/>
      <c r="I986" s="106"/>
      <c r="J986" s="100"/>
      <c r="K986" s="100"/>
      <c r="L986" s="100"/>
      <c r="M986" s="100"/>
      <c r="N986" s="100"/>
      <c r="O986" s="100"/>
      <c r="P986" s="100"/>
      <c r="Q986" s="100"/>
      <c r="R986" s="100"/>
      <c r="S986" s="100"/>
      <c r="T986" s="100"/>
      <c r="U986" s="100"/>
      <c r="V986" s="100"/>
      <c r="W986" s="100"/>
      <c r="X986" s="100"/>
      <c r="Y986" s="100"/>
      <c r="Z986" s="100"/>
      <c r="AA986" s="100"/>
      <c r="AB986" s="100"/>
      <c r="AC986" s="100"/>
      <c r="AD986" s="100"/>
      <c r="AE986" s="100"/>
      <c r="AF986" s="100"/>
      <c r="AG986" s="100"/>
      <c r="AH986" s="100"/>
      <c r="AI986" s="100"/>
      <c r="AJ986" s="100"/>
      <c r="AK986" s="100"/>
      <c r="AL986" s="100"/>
      <c r="AM986" s="100"/>
      <c r="AN986" s="100"/>
      <c r="AO986" s="100"/>
    </row>
    <row r="987" spans="1:41" s="68" customFormat="1" ht="52.5">
      <c r="A987" s="137" t="s">
        <v>773</v>
      </c>
      <c r="B987" s="121" t="s">
        <v>688</v>
      </c>
      <c r="C987" s="116"/>
      <c r="D987" s="116"/>
      <c r="E987" s="121"/>
      <c r="F987" s="113"/>
      <c r="G987" s="182">
        <f aca="true" t="shared" si="62" ref="G987:G992">G988</f>
        <v>0</v>
      </c>
      <c r="H987" s="106"/>
      <c r="I987" s="106"/>
      <c r="J987" s="100"/>
      <c r="K987" s="100"/>
      <c r="L987" s="100"/>
      <c r="M987" s="100"/>
      <c r="N987" s="100"/>
      <c r="O987" s="100"/>
      <c r="P987" s="100"/>
      <c r="Q987" s="100"/>
      <c r="R987" s="100"/>
      <c r="S987" s="100"/>
      <c r="T987" s="100"/>
      <c r="U987" s="100"/>
      <c r="V987" s="100"/>
      <c r="W987" s="100"/>
      <c r="X987" s="100"/>
      <c r="Y987" s="100"/>
      <c r="Z987" s="100"/>
      <c r="AA987" s="100"/>
      <c r="AB987" s="100"/>
      <c r="AC987" s="100"/>
      <c r="AD987" s="100"/>
      <c r="AE987" s="100"/>
      <c r="AF987" s="100"/>
      <c r="AG987" s="100"/>
      <c r="AH987" s="100"/>
      <c r="AI987" s="100"/>
      <c r="AJ987" s="100"/>
      <c r="AK987" s="100"/>
      <c r="AL987" s="100"/>
      <c r="AM987" s="100"/>
      <c r="AN987" s="100"/>
      <c r="AO987" s="100"/>
    </row>
    <row r="988" spans="1:41" s="5" customFormat="1" ht="12.75">
      <c r="A988" s="136" t="s">
        <v>690</v>
      </c>
      <c r="B988" s="121" t="s">
        <v>688</v>
      </c>
      <c r="C988" s="116" t="s">
        <v>76</v>
      </c>
      <c r="D988" s="116" t="s">
        <v>36</v>
      </c>
      <c r="E988" s="121"/>
      <c r="F988" s="113"/>
      <c r="G988" s="182">
        <f t="shared" si="62"/>
        <v>0</v>
      </c>
      <c r="H988" s="102"/>
      <c r="I988" s="102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  <c r="AE988" s="24"/>
      <c r="AF988" s="24"/>
      <c r="AG988" s="24"/>
      <c r="AH988" s="24"/>
      <c r="AI988" s="24"/>
      <c r="AJ988" s="24"/>
      <c r="AK988" s="24"/>
      <c r="AL988" s="24"/>
      <c r="AM988" s="24"/>
      <c r="AN988" s="24"/>
      <c r="AO988" s="24"/>
    </row>
    <row r="989" spans="1:41" s="5" customFormat="1" ht="12.75">
      <c r="A989" s="134" t="s">
        <v>483</v>
      </c>
      <c r="B989" s="120" t="s">
        <v>688</v>
      </c>
      <c r="C989" s="119" t="s">
        <v>76</v>
      </c>
      <c r="D989" s="119" t="s">
        <v>72</v>
      </c>
      <c r="E989" s="120"/>
      <c r="F989" s="117"/>
      <c r="G989" s="183">
        <f t="shared" si="62"/>
        <v>0</v>
      </c>
      <c r="H989" s="102"/>
      <c r="I989" s="102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  <c r="AE989" s="24"/>
      <c r="AF989" s="24"/>
      <c r="AG989" s="24"/>
      <c r="AH989" s="24"/>
      <c r="AI989" s="24"/>
      <c r="AJ989" s="24"/>
      <c r="AK989" s="24"/>
      <c r="AL989" s="24"/>
      <c r="AM989" s="24"/>
      <c r="AN989" s="24"/>
      <c r="AO989" s="24"/>
    </row>
    <row r="990" spans="1:41" s="5" customFormat="1" ht="22.5">
      <c r="A990" s="134" t="s">
        <v>610</v>
      </c>
      <c r="B990" s="120" t="s">
        <v>688</v>
      </c>
      <c r="C990" s="119" t="s">
        <v>76</v>
      </c>
      <c r="D990" s="119" t="s">
        <v>72</v>
      </c>
      <c r="E990" s="120" t="s">
        <v>104</v>
      </c>
      <c r="F990" s="117"/>
      <c r="G990" s="183">
        <f t="shared" si="62"/>
        <v>0</v>
      </c>
      <c r="H990" s="102"/>
      <c r="I990" s="102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  <c r="AE990" s="24"/>
      <c r="AF990" s="24"/>
      <c r="AG990" s="24"/>
      <c r="AH990" s="24"/>
      <c r="AI990" s="24"/>
      <c r="AJ990" s="24"/>
      <c r="AK990" s="24"/>
      <c r="AL990" s="24"/>
      <c r="AM990" s="24"/>
      <c r="AN990" s="24"/>
      <c r="AO990" s="24"/>
    </row>
    <row r="991" spans="1:41" s="5" customFormat="1" ht="22.5">
      <c r="A991" s="134" t="s">
        <v>98</v>
      </c>
      <c r="B991" s="120" t="s">
        <v>688</v>
      </c>
      <c r="C991" s="119" t="s">
        <v>76</v>
      </c>
      <c r="D991" s="119" t="s">
        <v>72</v>
      </c>
      <c r="E991" s="120" t="s">
        <v>99</v>
      </c>
      <c r="F991" s="117"/>
      <c r="G991" s="183">
        <f t="shared" si="62"/>
        <v>0</v>
      </c>
      <c r="H991" s="102"/>
      <c r="I991" s="102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  <c r="AE991" s="24"/>
      <c r="AF991" s="24"/>
      <c r="AG991" s="24"/>
      <c r="AH991" s="24"/>
      <c r="AI991" s="24"/>
      <c r="AJ991" s="24"/>
      <c r="AK991" s="24"/>
      <c r="AL991" s="24"/>
      <c r="AM991" s="24"/>
      <c r="AN991" s="24"/>
      <c r="AO991" s="24"/>
    </row>
    <row r="992" spans="1:41" s="5" customFormat="1" ht="22.5">
      <c r="A992" s="134" t="s">
        <v>100</v>
      </c>
      <c r="B992" s="120" t="s">
        <v>688</v>
      </c>
      <c r="C992" s="119" t="s">
        <v>76</v>
      </c>
      <c r="D992" s="119" t="s">
        <v>72</v>
      </c>
      <c r="E992" s="120" t="s">
        <v>101</v>
      </c>
      <c r="F992" s="117"/>
      <c r="G992" s="183">
        <f t="shared" si="62"/>
        <v>0</v>
      </c>
      <c r="H992" s="102"/>
      <c r="I992" s="102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  <c r="AE992" s="24"/>
      <c r="AF992" s="24"/>
      <c r="AG992" s="24"/>
      <c r="AH992" s="24"/>
      <c r="AI992" s="24"/>
      <c r="AJ992" s="24"/>
      <c r="AK992" s="24"/>
      <c r="AL992" s="24"/>
      <c r="AM992" s="24"/>
      <c r="AN992" s="24"/>
      <c r="AO992" s="24"/>
    </row>
    <row r="993" spans="1:41" s="5" customFormat="1" ht="22.5">
      <c r="A993" s="134" t="s">
        <v>566</v>
      </c>
      <c r="B993" s="120" t="s">
        <v>688</v>
      </c>
      <c r="C993" s="119" t="s">
        <v>76</v>
      </c>
      <c r="D993" s="119" t="s">
        <v>72</v>
      </c>
      <c r="E993" s="120" t="s">
        <v>101</v>
      </c>
      <c r="F993" s="117">
        <v>727</v>
      </c>
      <c r="G993" s="183">
        <f>316-316</f>
        <v>0</v>
      </c>
      <c r="H993" s="102"/>
      <c r="I993" s="102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  <c r="AE993" s="24"/>
      <c r="AF993" s="24"/>
      <c r="AG993" s="24"/>
      <c r="AH993" s="24"/>
      <c r="AI993" s="24"/>
      <c r="AJ993" s="24"/>
      <c r="AK993" s="24"/>
      <c r="AL993" s="24"/>
      <c r="AM993" s="24"/>
      <c r="AN993" s="24"/>
      <c r="AO993" s="24"/>
    </row>
    <row r="994" spans="1:41" s="68" customFormat="1" ht="43.5" customHeight="1">
      <c r="A994" s="137" t="s">
        <v>774</v>
      </c>
      <c r="B994" s="121" t="s">
        <v>689</v>
      </c>
      <c r="C994" s="116"/>
      <c r="D994" s="116"/>
      <c r="E994" s="121"/>
      <c r="F994" s="113"/>
      <c r="G994" s="182">
        <f aca="true" t="shared" si="63" ref="G994:G999">G995</f>
        <v>0</v>
      </c>
      <c r="H994" s="106"/>
      <c r="I994" s="106"/>
      <c r="J994" s="100"/>
      <c r="K994" s="100"/>
      <c r="L994" s="100"/>
      <c r="M994" s="100"/>
      <c r="N994" s="100"/>
      <c r="O994" s="100"/>
      <c r="P994" s="100"/>
      <c r="Q994" s="100"/>
      <c r="R994" s="100"/>
      <c r="S994" s="100"/>
      <c r="T994" s="100"/>
      <c r="U994" s="100"/>
      <c r="V994" s="100"/>
      <c r="W994" s="100"/>
      <c r="X994" s="100"/>
      <c r="Y994" s="100"/>
      <c r="Z994" s="100"/>
      <c r="AA994" s="100"/>
      <c r="AB994" s="100"/>
      <c r="AC994" s="100"/>
      <c r="AD994" s="100"/>
      <c r="AE994" s="100"/>
      <c r="AF994" s="100"/>
      <c r="AG994" s="100"/>
      <c r="AH994" s="100"/>
      <c r="AI994" s="100"/>
      <c r="AJ994" s="100"/>
      <c r="AK994" s="100"/>
      <c r="AL994" s="100"/>
      <c r="AM994" s="100"/>
      <c r="AN994" s="100"/>
      <c r="AO994" s="100"/>
    </row>
    <row r="995" spans="1:41" s="68" customFormat="1" ht="12.75">
      <c r="A995" s="136" t="s">
        <v>690</v>
      </c>
      <c r="B995" s="121" t="s">
        <v>689</v>
      </c>
      <c r="C995" s="116" t="s">
        <v>76</v>
      </c>
      <c r="D995" s="116" t="s">
        <v>36</v>
      </c>
      <c r="E995" s="121"/>
      <c r="F995" s="113"/>
      <c r="G995" s="182">
        <f t="shared" si="63"/>
        <v>0</v>
      </c>
      <c r="H995" s="106"/>
      <c r="I995" s="106"/>
      <c r="J995" s="100"/>
      <c r="K995" s="100"/>
      <c r="L995" s="100"/>
      <c r="M995" s="100"/>
      <c r="N995" s="100"/>
      <c r="O995" s="100"/>
      <c r="P995" s="100"/>
      <c r="Q995" s="100"/>
      <c r="R995" s="100"/>
      <c r="S995" s="100"/>
      <c r="T995" s="100"/>
      <c r="U995" s="100"/>
      <c r="V995" s="100"/>
      <c r="W995" s="100"/>
      <c r="X995" s="100"/>
      <c r="Y995" s="100"/>
      <c r="Z995" s="100"/>
      <c r="AA995" s="100"/>
      <c r="AB995" s="100"/>
      <c r="AC995" s="100"/>
      <c r="AD995" s="100"/>
      <c r="AE995" s="100"/>
      <c r="AF995" s="100"/>
      <c r="AG995" s="100"/>
      <c r="AH995" s="100"/>
      <c r="AI995" s="100"/>
      <c r="AJ995" s="100"/>
      <c r="AK995" s="100"/>
      <c r="AL995" s="100"/>
      <c r="AM995" s="100"/>
      <c r="AN995" s="100"/>
      <c r="AO995" s="100"/>
    </row>
    <row r="996" spans="1:41" s="5" customFormat="1" ht="12.75">
      <c r="A996" s="134" t="s">
        <v>483</v>
      </c>
      <c r="B996" s="120" t="s">
        <v>689</v>
      </c>
      <c r="C996" s="119" t="s">
        <v>76</v>
      </c>
      <c r="D996" s="119" t="s">
        <v>72</v>
      </c>
      <c r="E996" s="120"/>
      <c r="F996" s="117"/>
      <c r="G996" s="183">
        <f t="shared" si="63"/>
        <v>0</v>
      </c>
      <c r="H996" s="102"/>
      <c r="I996" s="102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  <c r="AD996" s="24"/>
      <c r="AE996" s="24"/>
      <c r="AF996" s="24"/>
      <c r="AG996" s="24"/>
      <c r="AH996" s="24"/>
      <c r="AI996" s="24"/>
      <c r="AJ996" s="24"/>
      <c r="AK996" s="24"/>
      <c r="AL996" s="24"/>
      <c r="AM996" s="24"/>
      <c r="AN996" s="24"/>
      <c r="AO996" s="24"/>
    </row>
    <row r="997" spans="1:41" s="5" customFormat="1" ht="22.5">
      <c r="A997" s="134" t="s">
        <v>610</v>
      </c>
      <c r="B997" s="120" t="s">
        <v>689</v>
      </c>
      <c r="C997" s="119" t="s">
        <v>76</v>
      </c>
      <c r="D997" s="119" t="s">
        <v>72</v>
      </c>
      <c r="E997" s="120" t="s">
        <v>104</v>
      </c>
      <c r="F997" s="117"/>
      <c r="G997" s="183">
        <f t="shared" si="63"/>
        <v>0</v>
      </c>
      <c r="H997" s="102"/>
      <c r="I997" s="102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  <c r="AC997" s="24"/>
      <c r="AD997" s="24"/>
      <c r="AE997" s="24"/>
      <c r="AF997" s="24"/>
      <c r="AG997" s="24"/>
      <c r="AH997" s="24"/>
      <c r="AI997" s="24"/>
      <c r="AJ997" s="24"/>
      <c r="AK997" s="24"/>
      <c r="AL997" s="24"/>
      <c r="AM997" s="24"/>
      <c r="AN997" s="24"/>
      <c r="AO997" s="24"/>
    </row>
    <row r="998" spans="1:41" s="5" customFormat="1" ht="22.5">
      <c r="A998" s="134" t="s">
        <v>98</v>
      </c>
      <c r="B998" s="120" t="s">
        <v>689</v>
      </c>
      <c r="C998" s="119" t="s">
        <v>76</v>
      </c>
      <c r="D998" s="119" t="s">
        <v>72</v>
      </c>
      <c r="E998" s="120" t="s">
        <v>99</v>
      </c>
      <c r="F998" s="117"/>
      <c r="G998" s="183">
        <f t="shared" si="63"/>
        <v>0</v>
      </c>
      <c r="H998" s="102"/>
      <c r="I998" s="102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4"/>
      <c r="AD998" s="24"/>
      <c r="AE998" s="24"/>
      <c r="AF998" s="24"/>
      <c r="AG998" s="24"/>
      <c r="AH998" s="24"/>
      <c r="AI998" s="24"/>
      <c r="AJ998" s="24"/>
      <c r="AK998" s="24"/>
      <c r="AL998" s="24"/>
      <c r="AM998" s="24"/>
      <c r="AN998" s="24"/>
      <c r="AO998" s="24"/>
    </row>
    <row r="999" spans="1:41" s="5" customFormat="1" ht="22.5">
      <c r="A999" s="134" t="s">
        <v>100</v>
      </c>
      <c r="B999" s="120" t="s">
        <v>689</v>
      </c>
      <c r="C999" s="119" t="s">
        <v>76</v>
      </c>
      <c r="D999" s="119" t="s">
        <v>72</v>
      </c>
      <c r="E999" s="120" t="s">
        <v>101</v>
      </c>
      <c r="F999" s="117"/>
      <c r="G999" s="183">
        <f t="shared" si="63"/>
        <v>0</v>
      </c>
      <c r="H999" s="102"/>
      <c r="I999" s="102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4"/>
      <c r="AD999" s="24"/>
      <c r="AE999" s="24"/>
      <c r="AF999" s="24"/>
      <c r="AG999" s="24"/>
      <c r="AH999" s="24"/>
      <c r="AI999" s="24"/>
      <c r="AJ999" s="24"/>
      <c r="AK999" s="24"/>
      <c r="AL999" s="24"/>
      <c r="AM999" s="24"/>
      <c r="AN999" s="24"/>
      <c r="AO999" s="24"/>
    </row>
    <row r="1000" spans="1:41" s="5" customFormat="1" ht="22.5">
      <c r="A1000" s="134" t="s">
        <v>566</v>
      </c>
      <c r="B1000" s="120" t="s">
        <v>689</v>
      </c>
      <c r="C1000" s="119" t="s">
        <v>76</v>
      </c>
      <c r="D1000" s="119" t="s">
        <v>72</v>
      </c>
      <c r="E1000" s="120" t="s">
        <v>101</v>
      </c>
      <c r="F1000" s="117">
        <v>727</v>
      </c>
      <c r="G1000" s="183">
        <f>16-16</f>
        <v>0</v>
      </c>
      <c r="H1000" s="102"/>
      <c r="I1000" s="102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  <c r="AA1000" s="24"/>
      <c r="AB1000" s="24"/>
      <c r="AC1000" s="24"/>
      <c r="AD1000" s="24"/>
      <c r="AE1000" s="24"/>
      <c r="AF1000" s="24"/>
      <c r="AG1000" s="24"/>
      <c r="AH1000" s="24"/>
      <c r="AI1000" s="24"/>
      <c r="AJ1000" s="24"/>
      <c r="AK1000" s="24"/>
      <c r="AL1000" s="24"/>
      <c r="AM1000" s="24"/>
      <c r="AN1000" s="24"/>
      <c r="AO1000" s="24"/>
    </row>
    <row r="1001" spans="1:41" s="77" customFormat="1" ht="12.75">
      <c r="A1001" s="131" t="s">
        <v>77</v>
      </c>
      <c r="B1001" s="113"/>
      <c r="C1001" s="113"/>
      <c r="D1001" s="113"/>
      <c r="E1001" s="113"/>
      <c r="F1001" s="113"/>
      <c r="G1001" s="182">
        <f>G8+G17+G103+G143+G263+G288+G303+G316+G356+G393+G410+G426+G449+G498+G514+G651+G701+G717+G804+G788+G828+G865+G881+G890+G911+G933+G953+G969+G985</f>
        <v>264199.17000000004</v>
      </c>
      <c r="H1001" s="222"/>
      <c r="I1001" s="222"/>
      <c r="J1001" s="223"/>
      <c r="K1001" s="223"/>
      <c r="L1001" s="223"/>
      <c r="M1001" s="223"/>
      <c r="N1001" s="223"/>
      <c r="O1001" s="223"/>
      <c r="P1001" s="223"/>
      <c r="Q1001" s="223"/>
      <c r="R1001" s="223"/>
      <c r="S1001" s="223"/>
      <c r="T1001" s="223"/>
      <c r="U1001" s="223"/>
      <c r="V1001" s="223"/>
      <c r="W1001" s="223"/>
      <c r="X1001" s="223"/>
      <c r="Y1001" s="223"/>
      <c r="Z1001" s="223"/>
      <c r="AA1001" s="223"/>
      <c r="AB1001" s="223"/>
      <c r="AC1001" s="223"/>
      <c r="AD1001" s="223"/>
      <c r="AE1001" s="223"/>
      <c r="AF1001" s="223"/>
      <c r="AG1001" s="223"/>
      <c r="AH1001" s="223"/>
      <c r="AI1001" s="223"/>
      <c r="AJ1001" s="223"/>
      <c r="AK1001" s="223"/>
      <c r="AL1001" s="223"/>
      <c r="AM1001" s="223"/>
      <c r="AN1001" s="223"/>
      <c r="AO1001" s="223"/>
    </row>
  </sheetData>
  <sheetProtection/>
  <mergeCells count="4">
    <mergeCell ref="A1:G1"/>
    <mergeCell ref="A2:G2"/>
    <mergeCell ref="A3:G3"/>
    <mergeCell ref="A4:G4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zoomScaleSheetLayoutView="100" zoomScalePageLayoutView="0" workbookViewId="0" topLeftCell="A1">
      <selection activeCell="A1" sqref="A1:C30"/>
    </sheetView>
  </sheetViews>
  <sheetFormatPr defaultColWidth="9.00390625" defaultRowHeight="12.75"/>
  <cols>
    <col min="1" max="1" width="21.75390625" style="5" customWidth="1"/>
    <col min="2" max="2" width="73.875" style="5" customWidth="1"/>
    <col min="3" max="3" width="10.125" style="5" customWidth="1"/>
    <col min="4" max="5" width="9.125" style="5" customWidth="1"/>
    <col min="6" max="6" width="9.75390625" style="5" bestFit="1" customWidth="1"/>
    <col min="7" max="16384" width="9.125" style="5" customWidth="1"/>
  </cols>
  <sheetData>
    <row r="1" spans="1:3" s="25" customFormat="1" ht="12.75">
      <c r="A1" s="247" t="s">
        <v>640</v>
      </c>
      <c r="B1" s="247"/>
      <c r="C1" s="247"/>
    </row>
    <row r="2" spans="1:3" ht="12.75">
      <c r="A2" s="247" t="str">
        <f>'пр.2 по разд'!A2:D2</f>
        <v>к  решению Собрания представителей Сусуманского городского округа</v>
      </c>
      <c r="B2" s="247"/>
      <c r="C2" s="247"/>
    </row>
    <row r="3" spans="1:3" ht="12.75">
      <c r="A3" s="247" t="str">
        <f>'пр.2 по разд'!A3:D3</f>
        <v>от     26.12.2017 г.   № 215   </v>
      </c>
      <c r="B3" s="247"/>
      <c r="C3" s="247"/>
    </row>
    <row r="4" spans="1:3" ht="28.5" customHeight="1">
      <c r="A4" s="240" t="s">
        <v>669</v>
      </c>
      <c r="B4" s="240"/>
      <c r="C4" s="240"/>
    </row>
    <row r="5" spans="1:3" ht="12.75">
      <c r="A5" s="11"/>
      <c r="B5" s="11"/>
      <c r="C5" s="11" t="s">
        <v>1</v>
      </c>
    </row>
    <row r="6" spans="1:3" ht="12.75">
      <c r="A6" s="22" t="s">
        <v>31</v>
      </c>
      <c r="B6" s="22" t="s">
        <v>32</v>
      </c>
      <c r="C6" s="56" t="str">
        <f>'МП пр.5'!G6</f>
        <v>Сумма</v>
      </c>
    </row>
    <row r="7" spans="1:3" ht="12.75">
      <c r="A7" s="22">
        <v>1</v>
      </c>
      <c r="B7" s="22">
        <v>2</v>
      </c>
      <c r="C7" s="22">
        <v>3</v>
      </c>
    </row>
    <row r="8" spans="1:5" ht="25.5">
      <c r="A8" s="56" t="s">
        <v>24</v>
      </c>
      <c r="B8" s="112" t="s">
        <v>53</v>
      </c>
      <c r="C8" s="17">
        <f>C9+C22+C14</f>
        <v>-0.030000000027939677</v>
      </c>
      <c r="E8" s="93"/>
    </row>
    <row r="9" spans="1:3" ht="12.75">
      <c r="A9" s="39" t="s">
        <v>25</v>
      </c>
      <c r="B9" s="112" t="s">
        <v>52</v>
      </c>
      <c r="C9" s="17">
        <f>C10-C12</f>
        <v>0</v>
      </c>
    </row>
    <row r="10" spans="1:3" ht="12.75">
      <c r="A10" s="39" t="s">
        <v>26</v>
      </c>
      <c r="B10" s="40" t="s">
        <v>54</v>
      </c>
      <c r="C10" s="18">
        <f>C11</f>
        <v>0</v>
      </c>
    </row>
    <row r="11" spans="1:3" ht="25.5">
      <c r="A11" s="41" t="s">
        <v>300</v>
      </c>
      <c r="B11" s="27" t="s">
        <v>301</v>
      </c>
      <c r="C11" s="18">
        <v>0</v>
      </c>
    </row>
    <row r="12" spans="1:3" ht="25.5">
      <c r="A12" s="39" t="s">
        <v>27</v>
      </c>
      <c r="B12" s="40" t="s">
        <v>49</v>
      </c>
      <c r="C12" s="18">
        <f>C13</f>
        <v>0</v>
      </c>
    </row>
    <row r="13" spans="1:3" ht="25.5">
      <c r="A13" s="41" t="s">
        <v>302</v>
      </c>
      <c r="B13" s="27" t="s">
        <v>303</v>
      </c>
      <c r="C13" s="18">
        <v>0</v>
      </c>
    </row>
    <row r="14" spans="1:3" ht="17.25" customHeight="1">
      <c r="A14" s="56" t="s">
        <v>28</v>
      </c>
      <c r="B14" s="112" t="s">
        <v>92</v>
      </c>
      <c r="C14" s="17">
        <f>C16+C19</f>
        <v>-4000</v>
      </c>
    </row>
    <row r="15" spans="1:3" ht="25.5" customHeight="1">
      <c r="A15" s="39" t="s">
        <v>316</v>
      </c>
      <c r="B15" s="42" t="s">
        <v>317</v>
      </c>
      <c r="C15" s="17">
        <f>C16+C19</f>
        <v>-4000</v>
      </c>
    </row>
    <row r="16" spans="1:3" ht="25.5">
      <c r="A16" s="39" t="s">
        <v>143</v>
      </c>
      <c r="B16" s="40" t="s">
        <v>55</v>
      </c>
      <c r="C16" s="18">
        <f>C17</f>
        <v>20000</v>
      </c>
    </row>
    <row r="17" spans="1:3" ht="25.5">
      <c r="A17" s="41" t="s">
        <v>306</v>
      </c>
      <c r="B17" s="40" t="s">
        <v>307</v>
      </c>
      <c r="C17" s="18">
        <f>C18</f>
        <v>20000</v>
      </c>
    </row>
    <row r="18" spans="1:3" ht="38.25">
      <c r="A18" s="41" t="s">
        <v>304</v>
      </c>
      <c r="B18" s="40" t="s">
        <v>305</v>
      </c>
      <c r="C18" s="18">
        <v>20000</v>
      </c>
    </row>
    <row r="19" spans="1:3" ht="25.5">
      <c r="A19" s="39" t="s">
        <v>142</v>
      </c>
      <c r="B19" s="40" t="s">
        <v>56</v>
      </c>
      <c r="C19" s="18">
        <f>C20</f>
        <v>-24000</v>
      </c>
    </row>
    <row r="20" spans="1:3" ht="25.5">
      <c r="A20" s="41" t="s">
        <v>311</v>
      </c>
      <c r="B20" s="40" t="s">
        <v>310</v>
      </c>
      <c r="C20" s="18">
        <f>C21</f>
        <v>-24000</v>
      </c>
    </row>
    <row r="21" spans="1:3" ht="38.25">
      <c r="A21" s="41" t="s">
        <v>308</v>
      </c>
      <c r="B21" s="40" t="s">
        <v>309</v>
      </c>
      <c r="C21" s="18">
        <f>-24000</f>
        <v>-24000</v>
      </c>
    </row>
    <row r="22" spans="1:3" ht="12.75">
      <c r="A22" s="56" t="s">
        <v>38</v>
      </c>
      <c r="B22" s="112" t="s">
        <v>57</v>
      </c>
      <c r="C22" s="17">
        <f>C27+C23</f>
        <v>3999.969999999972</v>
      </c>
    </row>
    <row r="23" spans="1:6" ht="12.75">
      <c r="A23" s="39" t="s">
        <v>39</v>
      </c>
      <c r="B23" s="40" t="s">
        <v>14</v>
      </c>
      <c r="C23" s="18">
        <f>C24</f>
        <v>-720518.4</v>
      </c>
      <c r="F23" s="93"/>
    </row>
    <row r="24" spans="1:3" ht="12.75">
      <c r="A24" s="39" t="s">
        <v>40</v>
      </c>
      <c r="B24" s="40" t="s">
        <v>22</v>
      </c>
      <c r="C24" s="18">
        <f>C25</f>
        <v>-720518.4</v>
      </c>
    </row>
    <row r="25" spans="1:4" ht="12.75">
      <c r="A25" s="39" t="s">
        <v>41</v>
      </c>
      <c r="B25" s="40" t="s">
        <v>23</v>
      </c>
      <c r="C25" s="18">
        <f>C26</f>
        <v>-720518.4</v>
      </c>
      <c r="D25" s="93"/>
    </row>
    <row r="26" spans="1:3" ht="12.75">
      <c r="A26" s="41" t="s">
        <v>312</v>
      </c>
      <c r="B26" s="27" t="s">
        <v>313</v>
      </c>
      <c r="C26" s="178">
        <f>-700518.4-C11-C17</f>
        <v>-720518.4</v>
      </c>
    </row>
    <row r="27" spans="1:3" ht="12.75">
      <c r="A27" s="39" t="s">
        <v>42</v>
      </c>
      <c r="B27" s="40" t="s">
        <v>33</v>
      </c>
      <c r="C27" s="18">
        <f>C28</f>
        <v>724518.37</v>
      </c>
    </row>
    <row r="28" spans="1:6" ht="12.75">
      <c r="A28" s="39" t="s">
        <v>43</v>
      </c>
      <c r="B28" s="40" t="s">
        <v>34</v>
      </c>
      <c r="C28" s="18">
        <f>C29</f>
        <v>724518.37</v>
      </c>
      <c r="D28" s="93"/>
      <c r="F28" s="93"/>
    </row>
    <row r="29" spans="1:3" ht="12.75">
      <c r="A29" s="39" t="s">
        <v>144</v>
      </c>
      <c r="B29" s="40" t="s">
        <v>35</v>
      </c>
      <c r="C29" s="18">
        <f>C30</f>
        <v>724518.37</v>
      </c>
    </row>
    <row r="30" spans="1:5" ht="12.75">
      <c r="A30" s="41" t="s">
        <v>314</v>
      </c>
      <c r="B30" s="16" t="s">
        <v>315</v>
      </c>
      <c r="C30" s="18">
        <f>'пр.2 по разд'!D50-C13-C19</f>
        <v>724518.37</v>
      </c>
      <c r="E30" s="93"/>
    </row>
    <row r="31" s="24" customFormat="1" ht="12.75"/>
    <row r="32" s="24" customFormat="1" ht="12.75"/>
    <row r="33" s="24" customFormat="1" ht="12.75"/>
    <row r="34" s="24" customFormat="1" ht="12.75"/>
  </sheetData>
  <sheetProtection/>
  <mergeCells count="4">
    <mergeCell ref="A1:C1"/>
    <mergeCell ref="A2:C2"/>
    <mergeCell ref="A3:C3"/>
    <mergeCell ref="A4:C4"/>
  </mergeCells>
  <printOptions/>
  <pageMargins left="1.1811023622047245" right="0.3937007874015748" top="0.4330708661417323" bottom="0.5118110236220472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C17"/>
  <sheetViews>
    <sheetView zoomScalePageLayoutView="0" workbookViewId="0" topLeftCell="A1">
      <selection activeCell="A1" sqref="A1:C18"/>
    </sheetView>
  </sheetViews>
  <sheetFormatPr defaultColWidth="9.00390625" defaultRowHeight="12.75"/>
  <cols>
    <col min="1" max="1" width="2.75390625" style="0" customWidth="1"/>
    <col min="2" max="2" width="63.25390625" style="0" customWidth="1"/>
    <col min="3" max="3" width="17.375" style="0" customWidth="1"/>
  </cols>
  <sheetData>
    <row r="1" spans="2:3" ht="12.75">
      <c r="B1" s="234" t="s">
        <v>870</v>
      </c>
      <c r="C1" s="234"/>
    </row>
    <row r="2" spans="2:3" ht="12.75">
      <c r="B2" s="234" t="s">
        <v>665</v>
      </c>
      <c r="C2" s="234"/>
    </row>
    <row r="3" spans="2:3" ht="12.75">
      <c r="B3" s="234" t="s">
        <v>883</v>
      </c>
      <c r="C3" s="234"/>
    </row>
    <row r="4" spans="2:3" ht="12.75">
      <c r="B4" s="5"/>
      <c r="C4" s="5"/>
    </row>
    <row r="5" spans="2:3" ht="15.75">
      <c r="B5" s="248" t="s">
        <v>856</v>
      </c>
      <c r="C5" s="248"/>
    </row>
    <row r="6" spans="2:3" ht="15.75">
      <c r="B6" s="248" t="s">
        <v>857</v>
      </c>
      <c r="C6" s="248"/>
    </row>
    <row r="7" spans="2:3" ht="12.75">
      <c r="B7" s="5"/>
      <c r="C7" s="5"/>
    </row>
    <row r="8" spans="2:3" ht="12.75">
      <c r="B8" s="5"/>
      <c r="C8" s="185" t="s">
        <v>1</v>
      </c>
    </row>
    <row r="9" spans="2:3" ht="12.75">
      <c r="B9" s="188" t="s">
        <v>32</v>
      </c>
      <c r="C9" s="188" t="s">
        <v>849</v>
      </c>
    </row>
    <row r="10" spans="2:3" ht="12.75">
      <c r="B10" s="189">
        <v>1</v>
      </c>
      <c r="C10" s="189">
        <v>2</v>
      </c>
    </row>
    <row r="11" spans="2:3" ht="12.75">
      <c r="B11" s="188" t="s">
        <v>858</v>
      </c>
      <c r="C11" s="190">
        <f>C15</f>
        <v>-4000</v>
      </c>
    </row>
    <row r="12" spans="2:3" ht="21" customHeight="1">
      <c r="B12" s="191" t="s">
        <v>52</v>
      </c>
      <c r="C12" s="192">
        <v>0</v>
      </c>
    </row>
    <row r="13" spans="2:3" ht="15">
      <c r="B13" s="193" t="s">
        <v>859</v>
      </c>
      <c r="C13" s="194">
        <v>0</v>
      </c>
    </row>
    <row r="14" spans="2:3" ht="15">
      <c r="B14" s="193" t="s">
        <v>860</v>
      </c>
      <c r="C14" s="194">
        <v>0</v>
      </c>
    </row>
    <row r="15" spans="2:3" ht="30" customHeight="1">
      <c r="B15" s="195" t="s">
        <v>92</v>
      </c>
      <c r="C15" s="194">
        <f>C16+C17</f>
        <v>-4000</v>
      </c>
    </row>
    <row r="16" spans="2:3" ht="15">
      <c r="B16" s="193" t="s">
        <v>859</v>
      </c>
      <c r="C16" s="194">
        <f>'пр.6 ист.'!C18</f>
        <v>20000</v>
      </c>
    </row>
    <row r="17" spans="2:3" ht="15">
      <c r="B17" s="193" t="s">
        <v>860</v>
      </c>
      <c r="C17" s="194">
        <f>'пр.6 ист.'!C21</f>
        <v>-24000</v>
      </c>
    </row>
  </sheetData>
  <sheetProtection/>
  <mergeCells count="5">
    <mergeCell ref="B6:C6"/>
    <mergeCell ref="B5:C5"/>
    <mergeCell ref="B3:C3"/>
    <mergeCell ref="B2:C2"/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:C13"/>
    </sheetView>
  </sheetViews>
  <sheetFormatPr defaultColWidth="9.00390625" defaultRowHeight="12.75"/>
  <cols>
    <col min="1" max="1" width="63.25390625" style="0" customWidth="1"/>
    <col min="2" max="2" width="12.25390625" style="0" customWidth="1"/>
    <col min="3" max="3" width="12.00390625" style="0" customWidth="1"/>
  </cols>
  <sheetData>
    <row r="1" spans="1:3" ht="12.75">
      <c r="A1" s="234" t="s">
        <v>871</v>
      </c>
      <c r="B1" s="234"/>
      <c r="C1" s="234"/>
    </row>
    <row r="2" spans="1:3" ht="12.75">
      <c r="A2" s="234" t="s">
        <v>665</v>
      </c>
      <c r="B2" s="234"/>
      <c r="C2" s="234"/>
    </row>
    <row r="3" spans="1:3" ht="12.75">
      <c r="A3" s="234" t="s">
        <v>884</v>
      </c>
      <c r="B3" s="234"/>
      <c r="C3" s="234"/>
    </row>
    <row r="4" spans="1:3" ht="12.75">
      <c r="A4" s="5"/>
      <c r="B4" s="5"/>
      <c r="C4" s="5"/>
    </row>
    <row r="5" spans="1:3" ht="15.75">
      <c r="A5" s="249" t="s">
        <v>861</v>
      </c>
      <c r="B5" s="249"/>
      <c r="C5" s="249"/>
    </row>
    <row r="6" spans="1:3" ht="12.75">
      <c r="A6" s="5"/>
      <c r="B6" s="5"/>
      <c r="C6" s="185" t="s">
        <v>1</v>
      </c>
    </row>
    <row r="7" spans="1:3" ht="51">
      <c r="A7" s="20" t="s">
        <v>32</v>
      </c>
      <c r="B7" s="21" t="s">
        <v>875</v>
      </c>
      <c r="C7" s="21" t="s">
        <v>876</v>
      </c>
    </row>
    <row r="8" spans="1:3" ht="12.75">
      <c r="A8" s="56">
        <v>1</v>
      </c>
      <c r="B8" s="196">
        <v>2</v>
      </c>
      <c r="C8" s="196">
        <v>3</v>
      </c>
    </row>
    <row r="9" spans="1:3" ht="34.5" customHeight="1">
      <c r="A9" s="197" t="s">
        <v>862</v>
      </c>
      <c r="B9" s="198">
        <f>B11+B12</f>
        <v>79000</v>
      </c>
      <c r="C9" s="198">
        <f>C11+C12</f>
        <v>75000</v>
      </c>
    </row>
    <row r="10" spans="1:3" ht="18.75" customHeight="1">
      <c r="A10" s="195" t="s">
        <v>863</v>
      </c>
      <c r="B10" s="199"/>
      <c r="C10" s="199"/>
    </row>
    <row r="11" spans="1:3" ht="42.75" customHeight="1">
      <c r="A11" s="195" t="s">
        <v>864</v>
      </c>
      <c r="B11" s="200">
        <f>43000+16000+20000</f>
        <v>79000</v>
      </c>
      <c r="C11" s="200">
        <f>B11+'ПР.7'!C16+'ПР.7'!C17</f>
        <v>75000</v>
      </c>
    </row>
    <row r="12" spans="1:3" ht="32.25" customHeight="1">
      <c r="A12" s="195" t="s">
        <v>865</v>
      </c>
      <c r="B12" s="201">
        <v>0</v>
      </c>
      <c r="C12" s="200">
        <v>0</v>
      </c>
    </row>
    <row r="13" spans="1:3" ht="14.25">
      <c r="A13" s="202" t="s">
        <v>866</v>
      </c>
      <c r="B13" s="203">
        <f>B9</f>
        <v>79000</v>
      </c>
      <c r="C13" s="203">
        <f>C9</f>
        <v>75000</v>
      </c>
    </row>
  </sheetData>
  <sheetProtection/>
  <mergeCells count="4">
    <mergeCell ref="A1:C1"/>
    <mergeCell ref="A2:C2"/>
    <mergeCell ref="A3:C3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A1" sqref="A1:G16"/>
    </sheetView>
  </sheetViews>
  <sheetFormatPr defaultColWidth="9.00390625" defaultRowHeight="12.75"/>
  <cols>
    <col min="1" max="1" width="64.375" style="0" customWidth="1"/>
    <col min="2" max="2" width="3.75390625" style="0" customWidth="1"/>
    <col min="3" max="3" width="4.25390625" style="0" customWidth="1"/>
    <col min="4" max="4" width="13.25390625" style="0" customWidth="1"/>
    <col min="5" max="5" width="4.25390625" style="0" customWidth="1"/>
    <col min="6" max="6" width="4.75390625" style="0" customWidth="1"/>
    <col min="7" max="7" width="11.125" style="0" customWidth="1"/>
  </cols>
  <sheetData>
    <row r="1" ht="12.75">
      <c r="E1" t="s">
        <v>880</v>
      </c>
    </row>
    <row r="2" spans="1:7" ht="12.75">
      <c r="A2" s="250" t="s">
        <v>877</v>
      </c>
      <c r="B2" s="250"/>
      <c r="C2" s="250"/>
      <c r="D2" s="250"/>
      <c r="E2" s="250"/>
      <c r="F2" s="250"/>
      <c r="G2" s="250"/>
    </row>
    <row r="3" spans="4:7" ht="12.75">
      <c r="D3" s="250" t="s">
        <v>885</v>
      </c>
      <c r="E3" s="250"/>
      <c r="F3" s="250"/>
      <c r="G3" s="250"/>
    </row>
    <row r="4" spans="1:7" ht="43.5" customHeight="1">
      <c r="A4" s="251" t="s">
        <v>881</v>
      </c>
      <c r="B4" s="251"/>
      <c r="C4" s="251"/>
      <c r="D4" s="251"/>
      <c r="E4" s="251"/>
      <c r="F4" s="251"/>
      <c r="G4" s="251"/>
    </row>
    <row r="5" ht="12.75">
      <c r="G5" t="s">
        <v>642</v>
      </c>
    </row>
    <row r="6" spans="1:7" ht="12.75">
      <c r="A6" s="225" t="s">
        <v>32</v>
      </c>
      <c r="B6" s="225" t="s">
        <v>46</v>
      </c>
      <c r="C6" s="225" t="s">
        <v>45</v>
      </c>
      <c r="D6" s="225" t="s">
        <v>878</v>
      </c>
      <c r="E6" s="225" t="s">
        <v>48</v>
      </c>
      <c r="F6" s="225" t="s">
        <v>879</v>
      </c>
      <c r="G6" s="225" t="s">
        <v>849</v>
      </c>
    </row>
    <row r="7" spans="1:7" ht="12.75">
      <c r="A7" s="227">
        <v>1</v>
      </c>
      <c r="B7" s="227">
        <v>2</v>
      </c>
      <c r="C7" s="227">
        <v>3</v>
      </c>
      <c r="D7" s="227">
        <v>4</v>
      </c>
      <c r="E7" s="227">
        <v>5</v>
      </c>
      <c r="F7" s="227">
        <v>6</v>
      </c>
      <c r="G7" s="227">
        <v>7</v>
      </c>
    </row>
    <row r="8" spans="1:7" ht="12.75">
      <c r="A8" s="226" t="s">
        <v>18</v>
      </c>
      <c r="B8" s="226"/>
      <c r="C8" s="226"/>
      <c r="D8" s="226" t="s">
        <v>216</v>
      </c>
      <c r="E8" s="226"/>
      <c r="F8" s="226"/>
      <c r="G8" s="226">
        <f aca="true" t="shared" si="0" ref="G8:G14">G9</f>
        <v>3569</v>
      </c>
    </row>
    <row r="9" spans="1:7" ht="12.75">
      <c r="A9" s="225" t="s">
        <v>398</v>
      </c>
      <c r="B9" s="225"/>
      <c r="C9" s="225"/>
      <c r="D9" s="225" t="s">
        <v>401</v>
      </c>
      <c r="E9" s="225"/>
      <c r="F9" s="225"/>
      <c r="G9" s="225">
        <f t="shared" si="0"/>
        <v>3569</v>
      </c>
    </row>
    <row r="10" spans="1:7" ht="12.75">
      <c r="A10" s="225" t="s">
        <v>62</v>
      </c>
      <c r="B10" s="225">
        <v>10</v>
      </c>
      <c r="C10" s="225"/>
      <c r="D10" s="225" t="s">
        <v>401</v>
      </c>
      <c r="E10" s="225"/>
      <c r="F10" s="225"/>
      <c r="G10" s="225">
        <f t="shared" si="0"/>
        <v>3569</v>
      </c>
    </row>
    <row r="11" spans="1:7" ht="12.75">
      <c r="A11" s="225" t="s">
        <v>58</v>
      </c>
      <c r="B11" s="225">
        <v>10</v>
      </c>
      <c r="C11" s="169" t="s">
        <v>66</v>
      </c>
      <c r="D11" s="225" t="s">
        <v>401</v>
      </c>
      <c r="E11" s="225"/>
      <c r="F11" s="225"/>
      <c r="G11" s="225">
        <f t="shared" si="0"/>
        <v>3569</v>
      </c>
    </row>
    <row r="12" spans="1:7" ht="12.75">
      <c r="A12" s="225" t="s">
        <v>117</v>
      </c>
      <c r="B12" s="225">
        <v>10</v>
      </c>
      <c r="C12" s="169" t="s">
        <v>66</v>
      </c>
      <c r="D12" s="225" t="s">
        <v>401</v>
      </c>
      <c r="E12" s="225">
        <v>300</v>
      </c>
      <c r="F12" s="225"/>
      <c r="G12" s="225">
        <f t="shared" si="0"/>
        <v>3569</v>
      </c>
    </row>
    <row r="13" spans="1:7" ht="12.75">
      <c r="A13" s="225" t="s">
        <v>119</v>
      </c>
      <c r="B13" s="225">
        <v>10</v>
      </c>
      <c r="C13" s="169" t="s">
        <v>66</v>
      </c>
      <c r="D13" s="225" t="s">
        <v>401</v>
      </c>
      <c r="E13" s="225">
        <v>310</v>
      </c>
      <c r="F13" s="225"/>
      <c r="G13" s="225">
        <f t="shared" si="0"/>
        <v>3569</v>
      </c>
    </row>
    <row r="14" spans="1:7" ht="12.75">
      <c r="A14" s="225" t="s">
        <v>121</v>
      </c>
      <c r="B14" s="225">
        <v>10</v>
      </c>
      <c r="C14" s="169" t="s">
        <v>66</v>
      </c>
      <c r="D14" s="225" t="s">
        <v>401</v>
      </c>
      <c r="E14" s="225">
        <v>312</v>
      </c>
      <c r="F14" s="225"/>
      <c r="G14" s="225">
        <f t="shared" si="0"/>
        <v>3569</v>
      </c>
    </row>
    <row r="15" spans="1:7" ht="12.75">
      <c r="A15" s="225" t="s">
        <v>153</v>
      </c>
      <c r="B15" s="225">
        <v>10</v>
      </c>
      <c r="C15" s="169" t="s">
        <v>66</v>
      </c>
      <c r="D15" s="225" t="s">
        <v>401</v>
      </c>
      <c r="E15" s="225">
        <v>312</v>
      </c>
      <c r="F15" s="225">
        <v>721</v>
      </c>
      <c r="G15" s="225">
        <v>3569</v>
      </c>
    </row>
    <row r="16" spans="1:7" ht="12.75">
      <c r="A16" s="226" t="s">
        <v>77</v>
      </c>
      <c r="B16" s="226"/>
      <c r="C16" s="226"/>
      <c r="D16" s="226"/>
      <c r="E16" s="226"/>
      <c r="F16" s="226"/>
      <c r="G16" s="226">
        <f>G8</f>
        <v>3569</v>
      </c>
    </row>
  </sheetData>
  <sheetProtection/>
  <mergeCells count="3">
    <mergeCell ref="A2:G2"/>
    <mergeCell ref="D3:G3"/>
    <mergeCell ref="A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COOL</dc:creator>
  <cp:keywords/>
  <dc:description/>
  <cp:lastModifiedBy>Пользователь</cp:lastModifiedBy>
  <cp:lastPrinted>2017-12-28T06:39:28Z</cp:lastPrinted>
  <dcterms:created xsi:type="dcterms:W3CDTF">2004-12-28T06:12:23Z</dcterms:created>
  <dcterms:modified xsi:type="dcterms:W3CDTF">2017-12-28T06:39:35Z</dcterms:modified>
  <cp:category/>
  <cp:version/>
  <cp:contentType/>
  <cp:contentStatus/>
</cp:coreProperties>
</file>