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h_spec03\Desktop\СДЕЛАТЬ\Аксютина\"/>
    </mc:Choice>
  </mc:AlternateContent>
  <bookViews>
    <workbookView xWindow="0" yWindow="0" windowWidth="28800" windowHeight="12435"/>
  </bookViews>
  <sheets>
    <sheet name="ЛИМИТЫ" sheetId="1" r:id="rId1"/>
    <sheet name="ТАРИФЫ" sheetId="2" r:id="rId2"/>
    <sheet name="Лист4" sheetId="6" r:id="rId3"/>
  </sheets>
  <definedNames>
    <definedName name="_xlnm._FilterDatabase" localSheetId="0" hidden="1">ЛИМИТЫ!$A$14:$O$196</definedName>
    <definedName name="_xlnm.Print_Titles" localSheetId="0">ЛИМИТЫ!$11:$14</definedName>
  </definedNames>
  <calcPr calcId="152511"/>
</workbook>
</file>

<file path=xl/calcChain.xml><?xml version="1.0" encoding="utf-8"?>
<calcChain xmlns="http://schemas.openxmlformats.org/spreadsheetml/2006/main">
  <c r="F31" i="1" l="1"/>
  <c r="D31" i="1"/>
  <c r="F30" i="1"/>
  <c r="D30" i="1"/>
  <c r="H68" i="1"/>
  <c r="H31" i="1" s="1"/>
  <c r="H67" i="1"/>
  <c r="H30" i="1" s="1"/>
  <c r="J83" i="1"/>
  <c r="J72" i="1"/>
  <c r="J71" i="1"/>
  <c r="B177" i="1" l="1"/>
  <c r="C177" i="1" s="1"/>
  <c r="C186" i="1"/>
  <c r="B176" i="1"/>
  <c r="I193" i="1"/>
  <c r="K192" i="1"/>
  <c r="K191" i="1" s="1"/>
  <c r="I192" i="1"/>
  <c r="I190" i="1"/>
  <c r="K189" i="1"/>
  <c r="K188" i="1" s="1"/>
  <c r="I189" i="1"/>
  <c r="I187" i="1"/>
  <c r="K186" i="1"/>
  <c r="I186" i="1"/>
  <c r="I184" i="1"/>
  <c r="K183" i="1"/>
  <c r="K182" i="1" s="1"/>
  <c r="I183" i="1"/>
  <c r="I181" i="1"/>
  <c r="K180" i="1"/>
  <c r="K179" i="1" s="1"/>
  <c r="I180" i="1"/>
  <c r="N193" i="1"/>
  <c r="G193" i="1"/>
  <c r="E193" i="1"/>
  <c r="C193" i="1"/>
  <c r="N192" i="1"/>
  <c r="G192" i="1"/>
  <c r="G191" i="1" s="1"/>
  <c r="E192" i="1"/>
  <c r="C192" i="1"/>
  <c r="J191" i="1"/>
  <c r="H191" i="1"/>
  <c r="F191" i="1"/>
  <c r="E191" i="1"/>
  <c r="D191" i="1"/>
  <c r="B191" i="1"/>
  <c r="N190" i="1"/>
  <c r="G190" i="1"/>
  <c r="E190" i="1"/>
  <c r="C190" i="1"/>
  <c r="N189" i="1"/>
  <c r="G189" i="1"/>
  <c r="G188" i="1" s="1"/>
  <c r="E189" i="1"/>
  <c r="C189" i="1"/>
  <c r="J188" i="1"/>
  <c r="H188" i="1"/>
  <c r="F188" i="1"/>
  <c r="D188" i="1"/>
  <c r="B188" i="1"/>
  <c r="N187" i="1"/>
  <c r="G187" i="1"/>
  <c r="E187" i="1"/>
  <c r="C187" i="1"/>
  <c r="N186" i="1"/>
  <c r="G186" i="1"/>
  <c r="G185" i="1" s="1"/>
  <c r="E186" i="1"/>
  <c r="E185" i="1" s="1"/>
  <c r="H185" i="1"/>
  <c r="F185" i="1"/>
  <c r="D185" i="1"/>
  <c r="N184" i="1"/>
  <c r="G184" i="1"/>
  <c r="E184" i="1"/>
  <c r="C184" i="1"/>
  <c r="N183" i="1"/>
  <c r="G183" i="1"/>
  <c r="E183" i="1"/>
  <c r="C183" i="1"/>
  <c r="J182" i="1"/>
  <c r="H182" i="1"/>
  <c r="F182" i="1"/>
  <c r="D182" i="1"/>
  <c r="B182" i="1"/>
  <c r="N181" i="1"/>
  <c r="G181" i="1"/>
  <c r="E181" i="1"/>
  <c r="C181" i="1"/>
  <c r="N180" i="1"/>
  <c r="G180" i="1"/>
  <c r="G179" i="1" s="1"/>
  <c r="E180" i="1"/>
  <c r="E179" i="1" s="1"/>
  <c r="C180" i="1"/>
  <c r="C179" i="1" s="1"/>
  <c r="J179" i="1"/>
  <c r="H179" i="1"/>
  <c r="F179" i="1"/>
  <c r="D179" i="1"/>
  <c r="B179" i="1"/>
  <c r="N177" i="1"/>
  <c r="G177" i="1"/>
  <c r="E177" i="1"/>
  <c r="K176" i="1"/>
  <c r="K175" i="1" s="1"/>
  <c r="N176" i="1"/>
  <c r="G176" i="1"/>
  <c r="E176" i="1"/>
  <c r="J175" i="1"/>
  <c r="F175" i="1"/>
  <c r="D175" i="1"/>
  <c r="D70" i="1"/>
  <c r="F70" i="1"/>
  <c r="H70" i="1"/>
  <c r="J70" i="1"/>
  <c r="B70" i="1"/>
  <c r="D73" i="1"/>
  <c r="F73" i="1"/>
  <c r="H73" i="1"/>
  <c r="B73" i="1"/>
  <c r="J75" i="1"/>
  <c r="J74" i="1"/>
  <c r="N74" i="1" s="1"/>
  <c r="D82" i="1"/>
  <c r="F82" i="1"/>
  <c r="H82" i="1"/>
  <c r="J82" i="1"/>
  <c r="B82" i="1"/>
  <c r="D76" i="1"/>
  <c r="F76" i="1"/>
  <c r="H76" i="1"/>
  <c r="B76" i="1"/>
  <c r="D79" i="1"/>
  <c r="F79" i="1"/>
  <c r="H79" i="1"/>
  <c r="B79" i="1"/>
  <c r="J81" i="1"/>
  <c r="J80" i="1"/>
  <c r="K80" i="1" s="1"/>
  <c r="J78" i="1"/>
  <c r="K78" i="1" s="1"/>
  <c r="J77" i="1"/>
  <c r="N77" i="1" s="1"/>
  <c r="N84" i="1"/>
  <c r="K84" i="1"/>
  <c r="I84" i="1"/>
  <c r="G84" i="1"/>
  <c r="E84" i="1"/>
  <c r="C84" i="1"/>
  <c r="N83" i="1"/>
  <c r="K83" i="1"/>
  <c r="I83" i="1"/>
  <c r="G83" i="1"/>
  <c r="E83" i="1"/>
  <c r="C83" i="1"/>
  <c r="N81" i="1"/>
  <c r="K81" i="1"/>
  <c r="I81" i="1"/>
  <c r="G81" i="1"/>
  <c r="E81" i="1"/>
  <c r="C81" i="1"/>
  <c r="I80" i="1"/>
  <c r="I79" i="1" s="1"/>
  <c r="G80" i="1"/>
  <c r="E80" i="1"/>
  <c r="E79" i="1" s="1"/>
  <c r="C80" i="1"/>
  <c r="N78" i="1"/>
  <c r="I78" i="1"/>
  <c r="G78" i="1"/>
  <c r="E78" i="1"/>
  <c r="C78" i="1"/>
  <c r="K77" i="1"/>
  <c r="G77" i="1"/>
  <c r="G76" i="1" s="1"/>
  <c r="E77" i="1"/>
  <c r="E76" i="1" s="1"/>
  <c r="C77" i="1"/>
  <c r="C76" i="1" s="1"/>
  <c r="K75" i="1"/>
  <c r="I75" i="1"/>
  <c r="G75" i="1"/>
  <c r="E75" i="1"/>
  <c r="C75" i="1"/>
  <c r="I74" i="1"/>
  <c r="G74" i="1"/>
  <c r="E74" i="1"/>
  <c r="E73" i="1" s="1"/>
  <c r="C74" i="1"/>
  <c r="N72" i="1"/>
  <c r="K72" i="1"/>
  <c r="I72" i="1"/>
  <c r="G72" i="1"/>
  <c r="E72" i="1"/>
  <c r="C72" i="1"/>
  <c r="N71" i="1"/>
  <c r="K71" i="1"/>
  <c r="I71" i="1"/>
  <c r="G71" i="1"/>
  <c r="E71" i="1"/>
  <c r="C71" i="1"/>
  <c r="J68" i="1" l="1"/>
  <c r="N75" i="1"/>
  <c r="G175" i="1"/>
  <c r="J76" i="1"/>
  <c r="J73" i="1"/>
  <c r="J67" i="1"/>
  <c r="I182" i="1"/>
  <c r="E82" i="1"/>
  <c r="K76" i="1"/>
  <c r="I179" i="1"/>
  <c r="L179" i="1" s="1"/>
  <c r="G182" i="1"/>
  <c r="L189" i="1"/>
  <c r="E188" i="1"/>
  <c r="I188" i="1"/>
  <c r="K68" i="1"/>
  <c r="I185" i="1"/>
  <c r="E70" i="1"/>
  <c r="I68" i="1"/>
  <c r="L190" i="1"/>
  <c r="N80" i="1"/>
  <c r="J79" i="1"/>
  <c r="K74" i="1"/>
  <c r="K73" i="1" s="1"/>
  <c r="C188" i="1"/>
  <c r="B175" i="1"/>
  <c r="B185" i="1"/>
  <c r="C176" i="1"/>
  <c r="C175" i="1" s="1"/>
  <c r="C182" i="1"/>
  <c r="C191" i="1"/>
  <c r="I191" i="1"/>
  <c r="L181" i="1"/>
  <c r="L192" i="1"/>
  <c r="L193" i="1"/>
  <c r="L184" i="1"/>
  <c r="L183" i="1"/>
  <c r="H175" i="1"/>
  <c r="E175" i="1"/>
  <c r="I176" i="1"/>
  <c r="I177" i="1"/>
  <c r="L177" i="1" s="1"/>
  <c r="L180" i="1"/>
  <c r="E182" i="1"/>
  <c r="J185" i="1"/>
  <c r="L187" i="1"/>
  <c r="C185" i="1"/>
  <c r="K70" i="1"/>
  <c r="C70" i="1"/>
  <c r="C73" i="1"/>
  <c r="G73" i="1"/>
  <c r="K82" i="1"/>
  <c r="G82" i="1"/>
  <c r="C82" i="1"/>
  <c r="C79" i="1"/>
  <c r="I73" i="1"/>
  <c r="G79" i="1"/>
  <c r="G70" i="1"/>
  <c r="K79" i="1"/>
  <c r="I70" i="1"/>
  <c r="L84" i="1"/>
  <c r="I82" i="1"/>
  <c r="L83" i="1"/>
  <c r="L78" i="1"/>
  <c r="L81" i="1"/>
  <c r="L80" i="1"/>
  <c r="I77" i="1"/>
  <c r="I67" i="1" s="1"/>
  <c r="L71" i="1"/>
  <c r="L72" i="1"/>
  <c r="L75" i="1"/>
  <c r="K149" i="1"/>
  <c r="K148" i="1"/>
  <c r="I149" i="1"/>
  <c r="I148" i="1"/>
  <c r="G149" i="1"/>
  <c r="G148" i="1"/>
  <c r="E149" i="1"/>
  <c r="E148" i="1"/>
  <c r="C149" i="1"/>
  <c r="C148" i="1"/>
  <c r="L191" i="1" l="1"/>
  <c r="L188" i="1"/>
  <c r="K67" i="1"/>
  <c r="L74" i="1"/>
  <c r="L73" i="1"/>
  <c r="L182" i="1"/>
  <c r="K185" i="1"/>
  <c r="I175" i="1"/>
  <c r="L175" i="1" s="1"/>
  <c r="L186" i="1"/>
  <c r="L176" i="1"/>
  <c r="L185" i="1"/>
  <c r="L70" i="1"/>
  <c r="L82" i="1"/>
  <c r="L79" i="1"/>
  <c r="L77" i="1"/>
  <c r="I76" i="1"/>
  <c r="L76" i="1" s="1"/>
  <c r="H115" i="1"/>
  <c r="F115" i="1"/>
  <c r="D115" i="1"/>
  <c r="H114" i="1"/>
  <c r="F114" i="1"/>
  <c r="D114" i="1"/>
  <c r="B115" i="1"/>
  <c r="B114" i="1"/>
  <c r="B17" i="1"/>
  <c r="B144" i="1"/>
  <c r="B151" i="1"/>
  <c r="B31" i="1"/>
  <c r="B30" i="1"/>
  <c r="K147" i="1" l="1"/>
  <c r="J147" i="1"/>
  <c r="H147" i="1"/>
  <c r="G147" i="1"/>
  <c r="F147" i="1"/>
  <c r="D147" i="1"/>
  <c r="L148" i="1" l="1"/>
  <c r="C147" i="1"/>
  <c r="I147" i="1"/>
  <c r="L149" i="1"/>
  <c r="B147" i="1"/>
  <c r="E147" i="1"/>
  <c r="L147" i="1" l="1"/>
  <c r="N68" i="1"/>
  <c r="G68" i="1"/>
  <c r="E68" i="1"/>
  <c r="C68" i="1"/>
  <c r="N67" i="1"/>
  <c r="G67" i="1"/>
  <c r="E67" i="1"/>
  <c r="C67" i="1"/>
  <c r="J66" i="1"/>
  <c r="H66" i="1"/>
  <c r="F66" i="1"/>
  <c r="D66" i="1"/>
  <c r="B66" i="1"/>
  <c r="L67" i="1" l="1"/>
  <c r="L68" i="1"/>
  <c r="G66" i="1"/>
  <c r="K66" i="1"/>
  <c r="I66" i="1"/>
  <c r="C66" i="1"/>
  <c r="E66" i="1"/>
  <c r="L66" i="1" l="1"/>
  <c r="D17" i="1"/>
  <c r="D86" i="1" s="1"/>
  <c r="F17" i="1"/>
  <c r="F86" i="1" s="1"/>
  <c r="H17" i="1"/>
  <c r="H86" i="1" s="1"/>
  <c r="J17" i="1"/>
  <c r="D18" i="1"/>
  <c r="D87" i="1" s="1"/>
  <c r="F18" i="1"/>
  <c r="F87" i="1" s="1"/>
  <c r="H18" i="1"/>
  <c r="H87" i="1" s="1"/>
  <c r="J18" i="1"/>
  <c r="B18" i="1"/>
  <c r="B87" i="1" s="1"/>
  <c r="N38" i="1"/>
  <c r="K38" i="1"/>
  <c r="I38" i="1"/>
  <c r="G38" i="1"/>
  <c r="E38" i="1"/>
  <c r="C38" i="1"/>
  <c r="N37" i="1"/>
  <c r="K37" i="1"/>
  <c r="I37" i="1"/>
  <c r="G37" i="1"/>
  <c r="E37" i="1"/>
  <c r="C37" i="1"/>
  <c r="J36" i="1"/>
  <c r="H36" i="1"/>
  <c r="F36" i="1"/>
  <c r="D36" i="1"/>
  <c r="B36" i="1"/>
  <c r="E36" i="1" l="1"/>
  <c r="G36" i="1"/>
  <c r="K36" i="1"/>
  <c r="L37" i="1"/>
  <c r="I36" i="1"/>
  <c r="L38" i="1"/>
  <c r="C36" i="1"/>
  <c r="C56" i="6"/>
  <c r="D56" i="6" s="1"/>
  <c r="F56" i="6" s="1"/>
  <c r="L36" i="1" l="1"/>
  <c r="I171" i="1" l="1"/>
  <c r="I165" i="1"/>
  <c r="I161" i="1"/>
  <c r="I155" i="1"/>
  <c r="I128" i="1"/>
  <c r="I118" i="1"/>
  <c r="I111" i="1"/>
  <c r="I99" i="1"/>
  <c r="I96" i="1"/>
  <c r="I90" i="1"/>
  <c r="I64" i="1"/>
  <c r="I61" i="1"/>
  <c r="I58" i="1"/>
  <c r="I55" i="1"/>
  <c r="I43" i="1"/>
  <c r="I34" i="1"/>
  <c r="I27" i="1"/>
  <c r="I24" i="1"/>
  <c r="I21" i="1"/>
  <c r="I40" i="1"/>
  <c r="E158" i="1"/>
  <c r="E159" i="1"/>
  <c r="E138" i="1"/>
  <c r="E137" i="1"/>
  <c r="J159" i="1"/>
  <c r="N159" i="1" s="1"/>
  <c r="J158" i="1"/>
  <c r="K158" i="1" s="1"/>
  <c r="J138" i="1"/>
  <c r="N138" i="1" s="1"/>
  <c r="J137" i="1"/>
  <c r="N137" i="1" s="1"/>
  <c r="J106" i="1"/>
  <c r="J105" i="1"/>
  <c r="N105" i="1" s="1"/>
  <c r="J135" i="1"/>
  <c r="K135" i="1" s="1"/>
  <c r="J134" i="1"/>
  <c r="K134" i="1" s="1"/>
  <c r="J109" i="1"/>
  <c r="J108" i="1"/>
  <c r="J53" i="1"/>
  <c r="K53" i="1" s="1"/>
  <c r="J52" i="1"/>
  <c r="K109" i="1"/>
  <c r="I135" i="1"/>
  <c r="I134" i="1"/>
  <c r="I109" i="1"/>
  <c r="I108" i="1"/>
  <c r="E135" i="1"/>
  <c r="E134" i="1"/>
  <c r="E109" i="1"/>
  <c r="E108" i="1"/>
  <c r="C135" i="1"/>
  <c r="C134" i="1"/>
  <c r="C109" i="1"/>
  <c r="C108" i="1"/>
  <c r="I53" i="1"/>
  <c r="I52" i="1"/>
  <c r="G53" i="1"/>
  <c r="G52" i="1"/>
  <c r="E53" i="1"/>
  <c r="E52" i="1"/>
  <c r="C53" i="1"/>
  <c r="C52" i="1"/>
  <c r="N166" i="1"/>
  <c r="N165" i="1"/>
  <c r="N162" i="1"/>
  <c r="N161" i="1"/>
  <c r="N158" i="1"/>
  <c r="N156" i="1"/>
  <c r="N155" i="1"/>
  <c r="N129" i="1"/>
  <c r="N128" i="1"/>
  <c r="N119" i="1"/>
  <c r="N118" i="1"/>
  <c r="N112" i="1"/>
  <c r="N111" i="1"/>
  <c r="N106" i="1"/>
  <c r="J132" i="1"/>
  <c r="N132" i="1" s="1"/>
  <c r="J131" i="1"/>
  <c r="N131" i="1" s="1"/>
  <c r="J122" i="1"/>
  <c r="N122" i="1" s="1"/>
  <c r="J121" i="1"/>
  <c r="K121" i="1" s="1"/>
  <c r="J103" i="1"/>
  <c r="N103" i="1" s="1"/>
  <c r="J102" i="1"/>
  <c r="N102" i="1" s="1"/>
  <c r="J94" i="1"/>
  <c r="K94" i="1" s="1"/>
  <c r="J93" i="1"/>
  <c r="N93" i="1" s="1"/>
  <c r="J47" i="1"/>
  <c r="K102" i="1"/>
  <c r="I132" i="1"/>
  <c r="I131" i="1"/>
  <c r="I122" i="1"/>
  <c r="I121" i="1"/>
  <c r="I103" i="1"/>
  <c r="I102" i="1"/>
  <c r="I94" i="1"/>
  <c r="I93" i="1"/>
  <c r="G132" i="1"/>
  <c r="G131" i="1"/>
  <c r="G122" i="1"/>
  <c r="G121" i="1"/>
  <c r="G103" i="1"/>
  <c r="G102" i="1"/>
  <c r="G94" i="1"/>
  <c r="G93" i="1"/>
  <c r="E132" i="1"/>
  <c r="E131" i="1"/>
  <c r="E122" i="1"/>
  <c r="E121" i="1"/>
  <c r="E103" i="1"/>
  <c r="E102" i="1"/>
  <c r="E94" i="1"/>
  <c r="E93" i="1"/>
  <c r="C132" i="1"/>
  <c r="C131" i="1"/>
  <c r="C122" i="1"/>
  <c r="C121" i="1"/>
  <c r="C103" i="1"/>
  <c r="C102" i="1"/>
  <c r="C94" i="1"/>
  <c r="C93" i="1"/>
  <c r="K46" i="1"/>
  <c r="I47" i="1"/>
  <c r="I46" i="1"/>
  <c r="E47" i="1"/>
  <c r="E46" i="1"/>
  <c r="C47" i="1"/>
  <c r="C46" i="1"/>
  <c r="N50" i="1"/>
  <c r="N49" i="1"/>
  <c r="N46" i="1"/>
  <c r="I50" i="1"/>
  <c r="I49" i="1"/>
  <c r="G50" i="1"/>
  <c r="G49" i="1"/>
  <c r="E50" i="1"/>
  <c r="E49" i="1"/>
  <c r="C50" i="1"/>
  <c r="C49" i="1"/>
  <c r="N56" i="1"/>
  <c r="N55" i="1"/>
  <c r="N44" i="1"/>
  <c r="N43" i="1"/>
  <c r="N35" i="1"/>
  <c r="N34" i="1"/>
  <c r="N28" i="1"/>
  <c r="N27" i="1"/>
  <c r="N25" i="1"/>
  <c r="N24" i="1"/>
  <c r="N22" i="1"/>
  <c r="N21" i="1"/>
  <c r="J172" i="1"/>
  <c r="N172" i="1" s="1"/>
  <c r="J171" i="1"/>
  <c r="N171" i="1" s="1"/>
  <c r="N100" i="1"/>
  <c r="N99" i="1"/>
  <c r="N97" i="1"/>
  <c r="N96" i="1"/>
  <c r="N91" i="1"/>
  <c r="N90" i="1"/>
  <c r="N65" i="1"/>
  <c r="N64" i="1"/>
  <c r="N62" i="1"/>
  <c r="N61" i="1"/>
  <c r="N59" i="1"/>
  <c r="N58" i="1"/>
  <c r="I119" i="1"/>
  <c r="I112" i="1"/>
  <c r="I100" i="1"/>
  <c r="I97" i="1"/>
  <c r="I91" i="1"/>
  <c r="G166" i="1"/>
  <c r="G165" i="1"/>
  <c r="G162" i="1"/>
  <c r="G161" i="1"/>
  <c r="G156" i="1"/>
  <c r="G155" i="1"/>
  <c r="G129" i="1"/>
  <c r="G128" i="1"/>
  <c r="G119" i="1"/>
  <c r="G118" i="1"/>
  <c r="G112" i="1"/>
  <c r="G111" i="1"/>
  <c r="G100" i="1"/>
  <c r="G99" i="1"/>
  <c r="G97" i="1"/>
  <c r="G96" i="1"/>
  <c r="G91" i="1"/>
  <c r="G90" i="1"/>
  <c r="G65" i="1"/>
  <c r="G64" i="1"/>
  <c r="G62" i="1"/>
  <c r="G61" i="1"/>
  <c r="G59" i="1"/>
  <c r="G58" i="1"/>
  <c r="G56" i="1"/>
  <c r="G55" i="1"/>
  <c r="G44" i="1"/>
  <c r="G43" i="1"/>
  <c r="G35" i="1"/>
  <c r="G34" i="1"/>
  <c r="G28" i="1"/>
  <c r="G27" i="1"/>
  <c r="G25" i="1"/>
  <c r="G24" i="1"/>
  <c r="G22" i="1"/>
  <c r="G21" i="1"/>
  <c r="G41" i="1"/>
  <c r="G40" i="1"/>
  <c r="E166" i="1"/>
  <c r="E165" i="1"/>
  <c r="E162" i="1"/>
  <c r="E161" i="1"/>
  <c r="E156" i="1"/>
  <c r="E155" i="1"/>
  <c r="E129" i="1"/>
  <c r="E128" i="1"/>
  <c r="E119" i="1"/>
  <c r="E118" i="1"/>
  <c r="E112" i="1"/>
  <c r="E111" i="1"/>
  <c r="E100" i="1"/>
  <c r="E99" i="1"/>
  <c r="E97" i="1"/>
  <c r="E96" i="1"/>
  <c r="E91" i="1"/>
  <c r="E90" i="1"/>
  <c r="E65" i="1"/>
  <c r="E64" i="1"/>
  <c r="E62" i="1"/>
  <c r="E61" i="1"/>
  <c r="E59" i="1"/>
  <c r="E58" i="1"/>
  <c r="E56" i="1"/>
  <c r="E55" i="1"/>
  <c r="E44" i="1"/>
  <c r="E43" i="1"/>
  <c r="E35" i="1"/>
  <c r="E34" i="1"/>
  <c r="E28" i="1"/>
  <c r="E27" i="1"/>
  <c r="E25" i="1"/>
  <c r="E24" i="1"/>
  <c r="E22" i="1"/>
  <c r="E21" i="1"/>
  <c r="E41" i="1"/>
  <c r="E40" i="1"/>
  <c r="C44" i="1"/>
  <c r="C43" i="1"/>
  <c r="C35" i="1"/>
  <c r="C34" i="1"/>
  <c r="C65" i="1"/>
  <c r="C64" i="1"/>
  <c r="C62" i="1"/>
  <c r="C61" i="1"/>
  <c r="C59" i="1"/>
  <c r="C58" i="1"/>
  <c r="C56" i="1"/>
  <c r="C55" i="1"/>
  <c r="C91" i="1"/>
  <c r="C90" i="1"/>
  <c r="C100" i="1"/>
  <c r="C99" i="1"/>
  <c r="C97" i="1"/>
  <c r="C96" i="1"/>
  <c r="C112" i="1"/>
  <c r="C111" i="1"/>
  <c r="C119" i="1"/>
  <c r="C118" i="1"/>
  <c r="C172" i="1"/>
  <c r="C171" i="1"/>
  <c r="C166" i="1"/>
  <c r="C165" i="1"/>
  <c r="C162" i="1"/>
  <c r="C161" i="1"/>
  <c r="C156" i="1"/>
  <c r="C155" i="1"/>
  <c r="C129" i="1"/>
  <c r="C128" i="1"/>
  <c r="K159" i="1"/>
  <c r="I159" i="1"/>
  <c r="I158" i="1"/>
  <c r="I138" i="1"/>
  <c r="I137" i="1"/>
  <c r="G159" i="1"/>
  <c r="G158" i="1"/>
  <c r="G138" i="1"/>
  <c r="G137" i="1"/>
  <c r="C159" i="1"/>
  <c r="C158" i="1"/>
  <c r="C138" i="1"/>
  <c r="C137" i="1"/>
  <c r="K106" i="1"/>
  <c r="I106" i="1"/>
  <c r="I105" i="1"/>
  <c r="G106" i="1"/>
  <c r="G105" i="1"/>
  <c r="E106" i="1"/>
  <c r="E105" i="1"/>
  <c r="C106" i="1"/>
  <c r="C105" i="1"/>
  <c r="C173" i="1"/>
  <c r="C174" i="1"/>
  <c r="O19" i="6"/>
  <c r="O22" i="6"/>
  <c r="C19" i="6"/>
  <c r="C28" i="6" s="1"/>
  <c r="C22" i="6"/>
  <c r="O4" i="6"/>
  <c r="O8" i="6"/>
  <c r="R25" i="6"/>
  <c r="R10" i="6"/>
  <c r="F25" i="6"/>
  <c r="C7" i="6"/>
  <c r="C4" i="6" s="1"/>
  <c r="R28" i="6"/>
  <c r="O28" i="6"/>
  <c r="S27" i="6"/>
  <c r="R27" i="6"/>
  <c r="O27" i="6"/>
  <c r="R13" i="6"/>
  <c r="O13" i="6"/>
  <c r="S12" i="6"/>
  <c r="R12" i="6"/>
  <c r="O12" i="6"/>
  <c r="F28" i="6"/>
  <c r="F27" i="6"/>
  <c r="G27" i="6"/>
  <c r="G12" i="6"/>
  <c r="F13" i="6"/>
  <c r="F10" i="6"/>
  <c r="F12" i="6"/>
  <c r="G135" i="1"/>
  <c r="G134" i="1"/>
  <c r="G109" i="1"/>
  <c r="G108" i="1"/>
  <c r="K166" i="1"/>
  <c r="K165" i="1"/>
  <c r="K162" i="1"/>
  <c r="K161" i="1"/>
  <c r="K129" i="1"/>
  <c r="K128" i="1"/>
  <c r="K119" i="1"/>
  <c r="K118" i="1"/>
  <c r="K156" i="1"/>
  <c r="K155" i="1"/>
  <c r="K112" i="1"/>
  <c r="K111" i="1"/>
  <c r="K100" i="1"/>
  <c r="K99" i="1"/>
  <c r="K97" i="1"/>
  <c r="K96" i="1"/>
  <c r="K91" i="1"/>
  <c r="K90" i="1"/>
  <c r="K65" i="1"/>
  <c r="K64" i="1"/>
  <c r="K62" i="1"/>
  <c r="K61" i="1"/>
  <c r="K59" i="1"/>
  <c r="K58" i="1"/>
  <c r="K56" i="1"/>
  <c r="K55" i="1"/>
  <c r="K44" i="1"/>
  <c r="K43" i="1"/>
  <c r="K35" i="1"/>
  <c r="K34" i="1"/>
  <c r="I25" i="1"/>
  <c r="K25" i="1"/>
  <c r="I166" i="1"/>
  <c r="I162" i="1"/>
  <c r="I129" i="1"/>
  <c r="I156" i="1"/>
  <c r="I65" i="1"/>
  <c r="I62" i="1"/>
  <c r="I59" i="1"/>
  <c r="I56" i="1"/>
  <c r="I44" i="1"/>
  <c r="I35" i="1"/>
  <c r="G172" i="1"/>
  <c r="G171" i="1"/>
  <c r="E172" i="1"/>
  <c r="E171" i="1"/>
  <c r="C28" i="1"/>
  <c r="C27" i="1"/>
  <c r="G47" i="1"/>
  <c r="G46" i="1"/>
  <c r="K50" i="1"/>
  <c r="K49" i="1"/>
  <c r="K28" i="1"/>
  <c r="K27" i="1"/>
  <c r="K24" i="1"/>
  <c r="K22" i="1"/>
  <c r="K18" i="1" s="1"/>
  <c r="K21" i="1"/>
  <c r="K41" i="1"/>
  <c r="K40" i="1"/>
  <c r="I28" i="1"/>
  <c r="I22" i="1"/>
  <c r="I41" i="1"/>
  <c r="K47" i="1" l="1"/>
  <c r="J31" i="1"/>
  <c r="J87" i="1" s="1"/>
  <c r="K52" i="1"/>
  <c r="K30" i="1" s="1"/>
  <c r="J30" i="1"/>
  <c r="J86" i="1" s="1"/>
  <c r="I31" i="1"/>
  <c r="G31" i="1"/>
  <c r="G30" i="1"/>
  <c r="I30" i="1"/>
  <c r="K31" i="1"/>
  <c r="K87" i="1" s="1"/>
  <c r="E30" i="1"/>
  <c r="E31" i="1"/>
  <c r="K108" i="1"/>
  <c r="J114" i="1"/>
  <c r="N109" i="1"/>
  <c r="J115" i="1"/>
  <c r="I18" i="1"/>
  <c r="G17" i="1"/>
  <c r="K17" i="1"/>
  <c r="E18" i="1"/>
  <c r="I17" i="1"/>
  <c r="I86" i="1" s="1"/>
  <c r="C114" i="1"/>
  <c r="G114" i="1"/>
  <c r="C115" i="1"/>
  <c r="G115" i="1"/>
  <c r="E114" i="1"/>
  <c r="I115" i="1"/>
  <c r="I114" i="1"/>
  <c r="E115" i="1"/>
  <c r="R14" i="6"/>
  <c r="E35" i="6"/>
  <c r="C47" i="6" s="1"/>
  <c r="C53" i="6" s="1"/>
  <c r="F14" i="6"/>
  <c r="E17" i="1"/>
  <c r="G18" i="1"/>
  <c r="F47" i="6"/>
  <c r="C13" i="6"/>
  <c r="C35" i="6" s="1"/>
  <c r="C42" i="6" s="1"/>
  <c r="C12" i="6"/>
  <c r="F29" i="6"/>
  <c r="C27" i="6"/>
  <c r="C29" i="6" s="1"/>
  <c r="E34" i="6"/>
  <c r="K172" i="1"/>
  <c r="K105" i="1"/>
  <c r="K137" i="1"/>
  <c r="K132" i="1"/>
  <c r="K138" i="1"/>
  <c r="N53" i="1"/>
  <c r="N135" i="1"/>
  <c r="K103" i="1"/>
  <c r="K115" i="1" s="1"/>
  <c r="K93" i="1"/>
  <c r="N121" i="1"/>
  <c r="N52" i="1"/>
  <c r="N134" i="1"/>
  <c r="N108" i="1"/>
  <c r="N114" i="1"/>
  <c r="K131" i="1"/>
  <c r="N94" i="1"/>
  <c r="K122" i="1"/>
  <c r="N115" i="1"/>
  <c r="N47" i="1"/>
  <c r="R29" i="6"/>
  <c r="O29" i="6"/>
  <c r="O14" i="6"/>
  <c r="K26" i="1"/>
  <c r="L109" i="1"/>
  <c r="L108" i="1"/>
  <c r="E21" i="2"/>
  <c r="E22" i="2"/>
  <c r="E23" i="2"/>
  <c r="E24" i="2"/>
  <c r="K86" i="1" l="1"/>
  <c r="E87" i="1"/>
  <c r="G87" i="1"/>
  <c r="I87" i="1"/>
  <c r="E86" i="1"/>
  <c r="G86" i="1"/>
  <c r="K114" i="1"/>
  <c r="L114" i="1" s="1"/>
  <c r="L115" i="1"/>
  <c r="D47" i="6"/>
  <c r="C34" i="6"/>
  <c r="C14" i="6"/>
  <c r="C46" i="6"/>
  <c r="C52" i="6" s="1"/>
  <c r="F52" i="6" s="1"/>
  <c r="I52" i="6" s="1"/>
  <c r="E36" i="6"/>
  <c r="D42" i="6"/>
  <c r="F42" i="6"/>
  <c r="G47" i="6"/>
  <c r="I47" i="6"/>
  <c r="J47" i="6" s="1"/>
  <c r="E20" i="2"/>
  <c r="G42" i="6" l="1"/>
  <c r="I42" i="6"/>
  <c r="J42" i="6" s="1"/>
  <c r="C41" i="6"/>
  <c r="C36" i="6"/>
  <c r="D46" i="6"/>
  <c r="E46" i="6" s="1"/>
  <c r="F46" i="6"/>
  <c r="B170" i="1"/>
  <c r="B168" i="1" s="1"/>
  <c r="D170" i="1"/>
  <c r="D168" i="1" s="1"/>
  <c r="F170" i="1"/>
  <c r="F168" i="1" s="1"/>
  <c r="H170" i="1"/>
  <c r="H168" i="1" s="1"/>
  <c r="J170" i="1"/>
  <c r="J168" i="1" s="1"/>
  <c r="G21" i="2"/>
  <c r="G24" i="2"/>
  <c r="G20" i="2"/>
  <c r="G22" i="2"/>
  <c r="G23" i="2"/>
  <c r="F21" i="2"/>
  <c r="F24" i="2"/>
  <c r="F20" i="2"/>
  <c r="F22" i="2"/>
  <c r="F23" i="2"/>
  <c r="J152" i="1"/>
  <c r="J145" i="1" s="1"/>
  <c r="J125" i="1"/>
  <c r="J141" i="1" s="1"/>
  <c r="J196" i="1" s="1"/>
  <c r="J151" i="1"/>
  <c r="J144" i="1" s="1"/>
  <c r="J124" i="1"/>
  <c r="N31" i="1"/>
  <c r="H152" i="1"/>
  <c r="H145" i="1" s="1"/>
  <c r="H125" i="1"/>
  <c r="N30" i="1"/>
  <c r="H151" i="1"/>
  <c r="H144" i="1" s="1"/>
  <c r="H124" i="1"/>
  <c r="F152" i="1"/>
  <c r="F145" i="1" s="1"/>
  <c r="F125" i="1"/>
  <c r="F141" i="1" s="1"/>
  <c r="F196" i="1" s="1"/>
  <c r="F151" i="1"/>
  <c r="F144" i="1" s="1"/>
  <c r="F124" i="1"/>
  <c r="F140" i="1" s="1"/>
  <c r="F195" i="1" s="1"/>
  <c r="D152" i="1"/>
  <c r="D145" i="1" s="1"/>
  <c r="D125" i="1"/>
  <c r="D141" i="1" s="1"/>
  <c r="D196" i="1" s="1"/>
  <c r="D151" i="1"/>
  <c r="D144" i="1" s="1"/>
  <c r="D124" i="1"/>
  <c r="D140" i="1" s="1"/>
  <c r="D195" i="1" s="1"/>
  <c r="B152" i="1"/>
  <c r="B145" i="1" s="1"/>
  <c r="B125" i="1"/>
  <c r="B141" i="1" s="1"/>
  <c r="B196" i="1" s="1"/>
  <c r="B124" i="1"/>
  <c r="J160" i="1"/>
  <c r="H160" i="1"/>
  <c r="F160" i="1"/>
  <c r="D160" i="1"/>
  <c r="B160" i="1"/>
  <c r="G18" i="2"/>
  <c r="F18" i="2"/>
  <c r="G19" i="2"/>
  <c r="F19" i="2"/>
  <c r="G17" i="2"/>
  <c r="F17" i="2"/>
  <c r="G16" i="2"/>
  <c r="F16" i="2"/>
  <c r="G15" i="2"/>
  <c r="F15" i="2"/>
  <c r="G13" i="2"/>
  <c r="F13" i="2"/>
  <c r="G12" i="2"/>
  <c r="F12" i="2"/>
  <c r="G11" i="2"/>
  <c r="F11" i="2"/>
  <c r="G10" i="2"/>
  <c r="I172" i="1" s="1"/>
  <c r="F10" i="2"/>
  <c r="G9" i="2"/>
  <c r="F9" i="2"/>
  <c r="G8" i="2"/>
  <c r="F8" i="2"/>
  <c r="G7" i="2"/>
  <c r="F7" i="2"/>
  <c r="G6" i="2"/>
  <c r="F6" i="2"/>
  <c r="G5" i="2"/>
  <c r="F5" i="2"/>
  <c r="G4" i="2"/>
  <c r="F4" i="2"/>
  <c r="J63" i="1"/>
  <c r="H63" i="1"/>
  <c r="F63" i="1"/>
  <c r="D63" i="1"/>
  <c r="B63" i="1"/>
  <c r="J60" i="1"/>
  <c r="H60" i="1"/>
  <c r="F60" i="1"/>
  <c r="D60" i="1"/>
  <c r="B60" i="1"/>
  <c r="J33" i="1"/>
  <c r="H33" i="1"/>
  <c r="F33" i="1"/>
  <c r="D33" i="1"/>
  <c r="B33" i="1"/>
  <c r="J57" i="1"/>
  <c r="H57" i="1"/>
  <c r="F57" i="1"/>
  <c r="D57" i="1"/>
  <c r="B57" i="1"/>
  <c r="J26" i="1"/>
  <c r="H26" i="1"/>
  <c r="F26" i="1"/>
  <c r="D26" i="1"/>
  <c r="B26" i="1"/>
  <c r="J20" i="1"/>
  <c r="H20" i="1"/>
  <c r="F20" i="1"/>
  <c r="D20" i="1"/>
  <c r="B20" i="1"/>
  <c r="J39" i="1"/>
  <c r="H39" i="1"/>
  <c r="F39" i="1"/>
  <c r="D39" i="1"/>
  <c r="B39" i="1"/>
  <c r="G14" i="2"/>
  <c r="F14" i="2"/>
  <c r="J164" i="1"/>
  <c r="H164" i="1"/>
  <c r="F164" i="1"/>
  <c r="D164" i="1"/>
  <c r="B164" i="1"/>
  <c r="J136" i="1"/>
  <c r="H136" i="1"/>
  <c r="F136" i="1"/>
  <c r="D136" i="1"/>
  <c r="B136" i="1"/>
  <c r="J133" i="1"/>
  <c r="H133" i="1"/>
  <c r="F133" i="1"/>
  <c r="D133" i="1"/>
  <c r="B133" i="1"/>
  <c r="J130" i="1"/>
  <c r="H130" i="1"/>
  <c r="F130" i="1"/>
  <c r="D130" i="1"/>
  <c r="B130" i="1"/>
  <c r="J127" i="1"/>
  <c r="H127" i="1"/>
  <c r="F127" i="1"/>
  <c r="D127" i="1"/>
  <c r="B127" i="1"/>
  <c r="J120" i="1"/>
  <c r="H120" i="1"/>
  <c r="F120" i="1"/>
  <c r="D120" i="1"/>
  <c r="B120" i="1"/>
  <c r="J117" i="1"/>
  <c r="H117" i="1"/>
  <c r="F117" i="1"/>
  <c r="D117" i="1"/>
  <c r="B117" i="1"/>
  <c r="J157" i="1"/>
  <c r="H157" i="1"/>
  <c r="F157" i="1"/>
  <c r="D157" i="1"/>
  <c r="B157" i="1"/>
  <c r="J154" i="1"/>
  <c r="H154" i="1"/>
  <c r="F154" i="1"/>
  <c r="D154" i="1"/>
  <c r="B154" i="1"/>
  <c r="J110" i="1"/>
  <c r="H110" i="1"/>
  <c r="F110" i="1"/>
  <c r="D110" i="1"/>
  <c r="B110" i="1"/>
  <c r="J107" i="1"/>
  <c r="H107" i="1"/>
  <c r="F107" i="1"/>
  <c r="D107" i="1"/>
  <c r="B107" i="1"/>
  <c r="J104" i="1"/>
  <c r="H104" i="1"/>
  <c r="F104" i="1"/>
  <c r="D104" i="1"/>
  <c r="B104" i="1"/>
  <c r="J101" i="1"/>
  <c r="H101" i="1"/>
  <c r="F101" i="1"/>
  <c r="D101" i="1"/>
  <c r="B101" i="1"/>
  <c r="J98" i="1"/>
  <c r="H98" i="1"/>
  <c r="F98" i="1"/>
  <c r="D98" i="1"/>
  <c r="B98" i="1"/>
  <c r="J95" i="1"/>
  <c r="H95" i="1"/>
  <c r="F95" i="1"/>
  <c r="D95" i="1"/>
  <c r="B95" i="1"/>
  <c r="J92" i="1"/>
  <c r="H92" i="1"/>
  <c r="F92" i="1"/>
  <c r="D92" i="1"/>
  <c r="B92" i="1"/>
  <c r="J89" i="1"/>
  <c r="H89" i="1"/>
  <c r="F89" i="1"/>
  <c r="D89" i="1"/>
  <c r="B89" i="1"/>
  <c r="J54" i="1"/>
  <c r="H54" i="1"/>
  <c r="F54" i="1"/>
  <c r="D54" i="1"/>
  <c r="B54" i="1"/>
  <c r="J51" i="1"/>
  <c r="H51" i="1"/>
  <c r="F51" i="1"/>
  <c r="D51" i="1"/>
  <c r="B51" i="1"/>
  <c r="J48" i="1"/>
  <c r="H48" i="1"/>
  <c r="F48" i="1"/>
  <c r="D48" i="1"/>
  <c r="B48" i="1"/>
  <c r="J45" i="1"/>
  <c r="H45" i="1"/>
  <c r="F45" i="1"/>
  <c r="D45" i="1"/>
  <c r="B45" i="1"/>
  <c r="J42" i="1"/>
  <c r="H42" i="1"/>
  <c r="F42" i="1"/>
  <c r="D42" i="1"/>
  <c r="B42" i="1"/>
  <c r="J23" i="1"/>
  <c r="H23" i="1"/>
  <c r="F23" i="1"/>
  <c r="D23" i="1"/>
  <c r="B23" i="1"/>
  <c r="B143" i="1" l="1"/>
  <c r="G46" i="6"/>
  <c r="H46" i="6" s="1"/>
  <c r="I46" i="6"/>
  <c r="J46" i="6" s="1"/>
  <c r="K46" i="6" s="1"/>
  <c r="D41" i="6"/>
  <c r="E41" i="6" s="1"/>
  <c r="F41" i="6"/>
  <c r="N151" i="1"/>
  <c r="H140" i="1"/>
  <c r="H195" i="1" s="1"/>
  <c r="N124" i="1"/>
  <c r="H141" i="1"/>
  <c r="N125" i="1"/>
  <c r="N145" i="1"/>
  <c r="N152" i="1"/>
  <c r="D29" i="1"/>
  <c r="D139" i="1"/>
  <c r="D113" i="1"/>
  <c r="D143" i="1"/>
  <c r="F143" i="1"/>
  <c r="J143" i="1"/>
  <c r="B113" i="1"/>
  <c r="B150" i="1"/>
  <c r="H16" i="1"/>
  <c r="F29" i="1"/>
  <c r="D123" i="1"/>
  <c r="F123" i="1"/>
  <c r="J150" i="1"/>
  <c r="J29" i="1"/>
  <c r="J123" i="1"/>
  <c r="B123" i="1"/>
  <c r="B86" i="1"/>
  <c r="B16" i="1"/>
  <c r="H150" i="1"/>
  <c r="K48" i="1"/>
  <c r="J113" i="1"/>
  <c r="I48" i="1"/>
  <c r="F16" i="1"/>
  <c r="H113" i="1"/>
  <c r="F139" i="1"/>
  <c r="B140" i="1"/>
  <c r="B139" i="1" s="1"/>
  <c r="J140" i="1"/>
  <c r="F150" i="1"/>
  <c r="D150" i="1"/>
  <c r="J16" i="1"/>
  <c r="H123" i="1"/>
  <c r="F113" i="1"/>
  <c r="B29" i="1"/>
  <c r="H29" i="1"/>
  <c r="D16" i="1"/>
  <c r="E39" i="1"/>
  <c r="L174" i="1"/>
  <c r="G45" i="1"/>
  <c r="I170" i="1"/>
  <c r="I168" i="1" s="1"/>
  <c r="C21" i="1"/>
  <c r="C24" i="1"/>
  <c r="C40" i="1"/>
  <c r="C30" i="1" s="1"/>
  <c r="L173" i="1"/>
  <c r="K130" i="1"/>
  <c r="K110" i="1"/>
  <c r="I23" i="1"/>
  <c r="G120" i="1"/>
  <c r="G51" i="1"/>
  <c r="E26" i="1"/>
  <c r="G48" i="1"/>
  <c r="K171" i="1"/>
  <c r="K170" i="1" s="1"/>
  <c r="K168" i="1" s="1"/>
  <c r="E23" i="1"/>
  <c r="G23" i="1"/>
  <c r="I133" i="1"/>
  <c r="I101" i="1"/>
  <c r="I130" i="1"/>
  <c r="K51" i="1"/>
  <c r="K92" i="1"/>
  <c r="K101" i="1"/>
  <c r="L172" i="1"/>
  <c r="C41" i="1"/>
  <c r="C31" i="1" s="1"/>
  <c r="C25" i="1"/>
  <c r="C22" i="1"/>
  <c r="J139" i="1" l="1"/>
  <c r="J195" i="1"/>
  <c r="B195" i="1"/>
  <c r="B194" i="1" s="1"/>
  <c r="N141" i="1"/>
  <c r="H196" i="1"/>
  <c r="C18" i="1"/>
  <c r="C87" i="1" s="1"/>
  <c r="C17" i="1"/>
  <c r="C86" i="1" s="1"/>
  <c r="G41" i="6"/>
  <c r="H41" i="6" s="1"/>
  <c r="I41" i="6"/>
  <c r="J41" i="6" s="1"/>
  <c r="K41" i="6" s="1"/>
  <c r="L46" i="6"/>
  <c r="N140" i="1"/>
  <c r="H139" i="1"/>
  <c r="H143" i="1"/>
  <c r="N144" i="1"/>
  <c r="H85" i="1"/>
  <c r="I104" i="1"/>
  <c r="G104" i="1"/>
  <c r="K104" i="1"/>
  <c r="F85" i="1"/>
  <c r="E104" i="1"/>
  <c r="E136" i="1"/>
  <c r="G157" i="1"/>
  <c r="G152" i="1"/>
  <c r="G145" i="1" s="1"/>
  <c r="I42" i="1"/>
  <c r="E157" i="1"/>
  <c r="F194" i="1"/>
  <c r="I110" i="1"/>
  <c r="I120" i="1"/>
  <c r="D85" i="1"/>
  <c r="K57" i="1"/>
  <c r="I152" i="1"/>
  <c r="I145" i="1" s="1"/>
  <c r="B85" i="1"/>
  <c r="I98" i="1"/>
  <c r="K120" i="1"/>
  <c r="J85" i="1"/>
  <c r="D194" i="1"/>
  <c r="K133" i="1"/>
  <c r="I45" i="1"/>
  <c r="L25" i="1"/>
  <c r="I57" i="1"/>
  <c r="L106" i="1"/>
  <c r="E95" i="1"/>
  <c r="G170" i="1"/>
  <c r="G168" i="1" s="1"/>
  <c r="E170" i="1"/>
  <c r="E168" i="1" s="1"/>
  <c r="L59" i="1"/>
  <c r="G160" i="1"/>
  <c r="K107" i="1"/>
  <c r="K60" i="1"/>
  <c r="I92" i="1"/>
  <c r="I107" i="1"/>
  <c r="L94" i="1"/>
  <c r="G136" i="1"/>
  <c r="E98" i="1"/>
  <c r="E20" i="1"/>
  <c r="E57" i="1"/>
  <c r="L44" i="1"/>
  <c r="L41" i="1"/>
  <c r="L100" i="1"/>
  <c r="G95" i="1"/>
  <c r="E160" i="1"/>
  <c r="E164" i="1"/>
  <c r="G57" i="1"/>
  <c r="E54" i="1"/>
  <c r="G26" i="1"/>
  <c r="G39" i="1"/>
  <c r="E63" i="1"/>
  <c r="G60" i="1"/>
  <c r="E110" i="1"/>
  <c r="I157" i="1"/>
  <c r="G20" i="1"/>
  <c r="E60" i="1"/>
  <c r="L22" i="1"/>
  <c r="L56" i="1"/>
  <c r="G98" i="1"/>
  <c r="E133" i="1"/>
  <c r="K125" i="1"/>
  <c r="K141" i="1" s="1"/>
  <c r="K98" i="1"/>
  <c r="K23" i="1"/>
  <c r="I164" i="1"/>
  <c r="E130" i="1"/>
  <c r="G107" i="1"/>
  <c r="K45" i="1"/>
  <c r="L111" i="1"/>
  <c r="C110" i="1"/>
  <c r="C125" i="1"/>
  <c r="C141" i="1" s="1"/>
  <c r="L129" i="1"/>
  <c r="L91" i="1"/>
  <c r="G164" i="1"/>
  <c r="E42" i="1"/>
  <c r="L132" i="1"/>
  <c r="L165" i="1"/>
  <c r="C164" i="1"/>
  <c r="G92" i="1"/>
  <c r="L97" i="1"/>
  <c r="L62" i="1"/>
  <c r="L166" i="1"/>
  <c r="I51" i="1"/>
  <c r="G42" i="1"/>
  <c r="E33" i="1"/>
  <c r="G117" i="1"/>
  <c r="G110" i="1"/>
  <c r="E124" i="1"/>
  <c r="E140" i="1" s="1"/>
  <c r="E127" i="1"/>
  <c r="E89" i="1"/>
  <c r="I54" i="1"/>
  <c r="L47" i="1"/>
  <c r="E101" i="1"/>
  <c r="I124" i="1"/>
  <c r="I140" i="1" s="1"/>
  <c r="I127" i="1"/>
  <c r="E125" i="1"/>
  <c r="E141" i="1" s="1"/>
  <c r="C48" i="1"/>
  <c r="L50" i="1"/>
  <c r="L90" i="1"/>
  <c r="C89" i="1"/>
  <c r="C124" i="1"/>
  <c r="C140" i="1" s="1"/>
  <c r="L128" i="1"/>
  <c r="C127" i="1"/>
  <c r="C23" i="1"/>
  <c r="L24" i="1"/>
  <c r="C20" i="1"/>
  <c r="L21" i="1"/>
  <c r="L105" i="1"/>
  <c r="C104" i="1"/>
  <c r="K157" i="1"/>
  <c r="K151" i="1"/>
  <c r="K144" i="1" s="1"/>
  <c r="K154" i="1"/>
  <c r="K39" i="1"/>
  <c r="K42" i="1"/>
  <c r="K33" i="1"/>
  <c r="I33" i="1"/>
  <c r="I117" i="1"/>
  <c r="I26" i="1"/>
  <c r="G101" i="1"/>
  <c r="E107" i="1"/>
  <c r="I95" i="1"/>
  <c r="E152" i="1"/>
  <c r="E145" i="1" s="1"/>
  <c r="L99" i="1"/>
  <c r="L119" i="1"/>
  <c r="L28" i="1"/>
  <c r="L112" i="1"/>
  <c r="G124" i="1"/>
  <c r="G127" i="1"/>
  <c r="G151" i="1"/>
  <c r="G144" i="1" s="1"/>
  <c r="G154" i="1"/>
  <c r="C133" i="1"/>
  <c r="L134" i="1"/>
  <c r="C60" i="1"/>
  <c r="L61" i="1"/>
  <c r="L96" i="1"/>
  <c r="C95" i="1"/>
  <c r="L161" i="1"/>
  <c r="C160" i="1"/>
  <c r="C170" i="1"/>
  <c r="C168" i="1" s="1"/>
  <c r="L171" i="1"/>
  <c r="K89" i="1"/>
  <c r="K124" i="1"/>
  <c r="K140" i="1" s="1"/>
  <c r="K127" i="1"/>
  <c r="K20" i="1"/>
  <c r="I20" i="1"/>
  <c r="I151" i="1"/>
  <c r="I144" i="1" s="1"/>
  <c r="I154" i="1"/>
  <c r="I39" i="1"/>
  <c r="L49" i="1"/>
  <c r="E48" i="1"/>
  <c r="G125" i="1"/>
  <c r="G141" i="1" s="1"/>
  <c r="C101" i="1"/>
  <c r="L102" i="1"/>
  <c r="C45" i="1"/>
  <c r="L46" i="1"/>
  <c r="G89" i="1"/>
  <c r="G33" i="1"/>
  <c r="L103" i="1"/>
  <c r="C107" i="1"/>
  <c r="L122" i="1"/>
  <c r="C130" i="1"/>
  <c r="L131" i="1"/>
  <c r="L53" i="1"/>
  <c r="I125" i="1"/>
  <c r="I141" i="1" s="1"/>
  <c r="C117" i="1"/>
  <c r="L118" i="1"/>
  <c r="C26" i="1"/>
  <c r="L27" i="1"/>
  <c r="C54" i="1"/>
  <c r="L55" i="1"/>
  <c r="C63" i="1"/>
  <c r="L64" i="1"/>
  <c r="C136" i="1"/>
  <c r="L137" i="1"/>
  <c r="K95" i="1"/>
  <c r="K160" i="1"/>
  <c r="I136" i="1"/>
  <c r="I160" i="1"/>
  <c r="I89" i="1"/>
  <c r="E120" i="1"/>
  <c r="E45" i="1"/>
  <c r="E51" i="1"/>
  <c r="E151" i="1"/>
  <c r="E144" i="1" s="1"/>
  <c r="E154" i="1"/>
  <c r="K164" i="1"/>
  <c r="L138" i="1"/>
  <c r="K152" i="1"/>
  <c r="K145" i="1" s="1"/>
  <c r="C120" i="1"/>
  <c r="L121" i="1"/>
  <c r="E117" i="1"/>
  <c r="C152" i="1"/>
  <c r="C145" i="1" s="1"/>
  <c r="L156" i="1"/>
  <c r="G54" i="1"/>
  <c r="L58" i="1"/>
  <c r="C57" i="1"/>
  <c r="L162" i="1"/>
  <c r="L52" i="1"/>
  <c r="C51" i="1"/>
  <c r="L159" i="1"/>
  <c r="C151" i="1"/>
  <c r="C144" i="1" s="1"/>
  <c r="C154" i="1"/>
  <c r="L155" i="1"/>
  <c r="C39" i="1"/>
  <c r="L40" i="1"/>
  <c r="C42" i="1"/>
  <c r="L43" i="1"/>
  <c r="C33" i="1"/>
  <c r="L34" i="1"/>
  <c r="C157" i="1"/>
  <c r="L158" i="1"/>
  <c r="K136" i="1"/>
  <c r="K117" i="1"/>
  <c r="K54" i="1"/>
  <c r="K63" i="1"/>
  <c r="I63" i="1"/>
  <c r="I60" i="1"/>
  <c r="E92" i="1"/>
  <c r="G130" i="1"/>
  <c r="G133" i="1"/>
  <c r="G63" i="1"/>
  <c r="L65" i="1"/>
  <c r="L135" i="1"/>
  <c r="C92" i="1"/>
  <c r="L93" i="1"/>
  <c r="L35" i="1"/>
  <c r="C98" i="1"/>
  <c r="E196" i="1" l="1"/>
  <c r="G196" i="1"/>
  <c r="K195" i="1"/>
  <c r="I195" i="1"/>
  <c r="K196" i="1"/>
  <c r="I196" i="1"/>
  <c r="E195" i="1"/>
  <c r="C195" i="1"/>
  <c r="C196" i="1"/>
  <c r="L145" i="1"/>
  <c r="L144" i="1"/>
  <c r="L41" i="6"/>
  <c r="C143" i="1"/>
  <c r="E52" i="6"/>
  <c r="F53" i="6"/>
  <c r="I143" i="1"/>
  <c r="K143" i="1"/>
  <c r="H194" i="1"/>
  <c r="L104" i="1"/>
  <c r="G150" i="1"/>
  <c r="G143" i="1"/>
  <c r="J194" i="1"/>
  <c r="E143" i="1"/>
  <c r="I150" i="1"/>
  <c r="L23" i="1"/>
  <c r="K123" i="1"/>
  <c r="K29" i="1"/>
  <c r="L98" i="1"/>
  <c r="L26" i="1"/>
  <c r="I113" i="1"/>
  <c r="I29" i="1"/>
  <c r="L120" i="1"/>
  <c r="L57" i="1"/>
  <c r="L152" i="1"/>
  <c r="G29" i="1"/>
  <c r="L157" i="1"/>
  <c r="L101" i="1"/>
  <c r="L92" i="1"/>
  <c r="L33" i="1"/>
  <c r="L39" i="1"/>
  <c r="L31" i="1"/>
  <c r="L117" i="1"/>
  <c r="E139" i="1"/>
  <c r="G16" i="1"/>
  <c r="L63" i="1"/>
  <c r="K16" i="1"/>
  <c r="L141" i="1"/>
  <c r="I123" i="1"/>
  <c r="K139" i="1"/>
  <c r="L42" i="1"/>
  <c r="L154" i="1"/>
  <c r="L51" i="1"/>
  <c r="E150" i="1"/>
  <c r="L107" i="1"/>
  <c r="G113" i="1"/>
  <c r="L168" i="1"/>
  <c r="L170" i="1"/>
  <c r="L133" i="1"/>
  <c r="L89" i="1"/>
  <c r="L48" i="1"/>
  <c r="E123" i="1"/>
  <c r="L136" i="1"/>
  <c r="L54" i="1"/>
  <c r="C139" i="1"/>
  <c r="I16" i="1"/>
  <c r="L160" i="1"/>
  <c r="I139" i="1"/>
  <c r="K150" i="1"/>
  <c r="L127" i="1"/>
  <c r="E29" i="1"/>
  <c r="L18" i="1"/>
  <c r="L164" i="1"/>
  <c r="L125" i="1"/>
  <c r="C29" i="1"/>
  <c r="L30" i="1"/>
  <c r="L130" i="1"/>
  <c r="E16" i="1"/>
  <c r="L45" i="1"/>
  <c r="K113" i="1"/>
  <c r="L60" i="1"/>
  <c r="C16" i="1"/>
  <c r="L17" i="1"/>
  <c r="L20" i="1"/>
  <c r="E113" i="1"/>
  <c r="L110" i="1"/>
  <c r="L151" i="1"/>
  <c r="C150" i="1"/>
  <c r="L95" i="1"/>
  <c r="G123" i="1"/>
  <c r="L124" i="1"/>
  <c r="C123" i="1"/>
  <c r="G140" i="1"/>
  <c r="C113" i="1"/>
  <c r="G139" i="1" l="1"/>
  <c r="L139" i="1" s="1"/>
  <c r="G195" i="1"/>
  <c r="G194" i="1" s="1"/>
  <c r="L113" i="1"/>
  <c r="L143" i="1"/>
  <c r="H52" i="6"/>
  <c r="I53" i="6"/>
  <c r="K52" i="6" s="1"/>
  <c r="L123" i="1"/>
  <c r="L16" i="1"/>
  <c r="L140" i="1"/>
  <c r="G85" i="1"/>
  <c r="E194" i="1"/>
  <c r="E85" i="1"/>
  <c r="I194" i="1"/>
  <c r="I85" i="1"/>
  <c r="L150" i="1"/>
  <c r="L86" i="1"/>
  <c r="C85" i="1"/>
  <c r="L29" i="1"/>
  <c r="L196" i="1"/>
  <c r="L87" i="1"/>
  <c r="K194" i="1"/>
  <c r="K85" i="1"/>
  <c r="L52" i="6" l="1"/>
  <c r="L85" i="1"/>
  <c r="C194" i="1"/>
  <c r="L194" i="1" s="1"/>
  <c r="L195" i="1"/>
</calcChain>
</file>

<file path=xl/sharedStrings.xml><?xml version="1.0" encoding="utf-8"?>
<sst xmlns="http://schemas.openxmlformats.org/spreadsheetml/2006/main" count="504" uniqueCount="140">
  <si>
    <t>Наименование объектов</t>
  </si>
  <si>
    <t>Электроэнергия</t>
  </si>
  <si>
    <t>Отопление</t>
  </si>
  <si>
    <t xml:space="preserve">ГВС                 </t>
  </si>
  <si>
    <t>Холодная вода</t>
  </si>
  <si>
    <t>Водоотведение</t>
  </si>
  <si>
    <t>Гкал.</t>
  </si>
  <si>
    <t>тыс.</t>
  </si>
  <si>
    <t>руб.</t>
  </si>
  <si>
    <t>куб. м.</t>
  </si>
  <si>
    <t>МУНИЦИПАЛЬНОЕ УПРАВЛЕНИЕ</t>
  </si>
  <si>
    <t>«Администрация Хасынского городского округа»</t>
  </si>
  <si>
    <t>I полугодие</t>
  </si>
  <si>
    <t>II полугодие</t>
  </si>
  <si>
    <t>ВСЕГО:</t>
  </si>
  <si>
    <t>ОБРАЗОВАНИЕ</t>
  </si>
  <si>
    <t>МБОУ «Средняя общеобразовательная школа № 2» п. Палатка</t>
  </si>
  <si>
    <t>МБОУ «Средняя общеобразовательная школа» п. Стекольный</t>
  </si>
  <si>
    <t>МБОУ «Средняя общеобразовательная школа» п. Талая</t>
  </si>
  <si>
    <t>в том числе:</t>
  </si>
  <si>
    <t>КУЛЬТУРА</t>
  </si>
  <si>
    <t>МБУК «Дом культуры Хасынского городского округа»</t>
  </si>
  <si>
    <t>СРЕДСТВА МАССОВОЙ ИНФОРМАЦИИ</t>
  </si>
  <si>
    <t>ПРОЧИЕ</t>
  </si>
  <si>
    <t>п. Стекольный</t>
  </si>
  <si>
    <t>п. Атка</t>
  </si>
  <si>
    <t>п. Талая</t>
  </si>
  <si>
    <t>МБУК «Хасынская централизованная библиотечная система»</t>
  </si>
  <si>
    <t>Итого, тыс. руб.</t>
  </si>
  <si>
    <t>кВт/час</t>
  </si>
  <si>
    <t>п. Палатка</t>
  </si>
  <si>
    <t>1 полугодие</t>
  </si>
  <si>
    <t>ВСЕГО ПО ОКРУГУ:</t>
  </si>
  <si>
    <t>№ п/п</t>
  </si>
  <si>
    <t>Наименование показателя</t>
  </si>
  <si>
    <t>Населенный пункт</t>
  </si>
  <si>
    <t>1.</t>
  </si>
  <si>
    <t>Тепловая энергия</t>
  </si>
  <si>
    <t>с. Хасын</t>
  </si>
  <si>
    <t>1 полугодие (без НДС)</t>
  </si>
  <si>
    <t>2 полугодие (без НДС)</t>
  </si>
  <si>
    <t>1 полугодие (с НДС)</t>
  </si>
  <si>
    <t>2 полугодие (с НДС)</t>
  </si>
  <si>
    <t>2.</t>
  </si>
  <si>
    <t>Водоснабжение (Холодная вода)</t>
  </si>
  <si>
    <t>3.</t>
  </si>
  <si>
    <t>Водоотведение (Вывоз ЖБО)</t>
  </si>
  <si>
    <t>4.</t>
  </si>
  <si>
    <t>Электроснабжение (ДЭС)</t>
  </si>
  <si>
    <t>Кабинет № 25                (Опека и попечительство)</t>
  </si>
  <si>
    <t>Кабинет № 26          (Комиссия по делам несовершеннолетних)</t>
  </si>
  <si>
    <t>МКУ "Управление по обеспечению деятельности органов местного самоуправления Хасынского городского округа"</t>
  </si>
  <si>
    <t>тыс.      руб.</t>
  </si>
  <si>
    <t>«БАНЯ»                               (ул. Пионерская, д. 24,            п. Палатка)</t>
  </si>
  <si>
    <t>«Отдел ЗАГС»                             (ул. Космонавтов, д. 11,          п. Палатка)</t>
  </si>
  <si>
    <t>Здание РКЦ                                         (ул. Юбилейная, д. 16,                                    п. Палатка)</t>
  </si>
  <si>
    <t>Здание Администрации Хасынского городского округа + Гараж                                        (ул. Ленина, д. 76,                                    п. Палатка)</t>
  </si>
  <si>
    <t>Комитет жизнеобеспечения территории Администрации Хасынского городского округа                                 (уличное освещение)</t>
  </si>
  <si>
    <t>п. Палатка, с. Хасын,                     п. Стекольный</t>
  </si>
  <si>
    <t>Библиотека-филиал              п. Стекольный</t>
  </si>
  <si>
    <t>Библиотека-филиал              п. Талая</t>
  </si>
  <si>
    <t>МБОУДО "Хасынская детско-юношеская спортивная школа                        п. Палатка"</t>
  </si>
  <si>
    <t>МБДОУ детский сад «Светлячок»                          п. Стекольный</t>
  </si>
  <si>
    <t>«Комитет образования, культуры, спорта и молодёжной политики администрации Хасынского городского округа» (Централизованная бухгалтерия: ул. Ленина,             д. 74, п. Палатка)</t>
  </si>
  <si>
    <t>«Нежилые помещения                 по ул. Центральная, д. 24,                          п. Палатка»</t>
  </si>
  <si>
    <t>«Территориальный отдел                  в п. Стекольный»                    (ул. Советская, д. 5)</t>
  </si>
  <si>
    <t>«Территориальный отдел                    в п. Атка»                                  (ул. Пролетарская, д. 2-4)</t>
  </si>
  <si>
    <t>«Территориальный отдел                    в п. Талая»                                                    (ул. Зеленая, д. 6)</t>
  </si>
  <si>
    <t>МБОУ «Средняя общеобразовательная школа № 1» п. Палатка                          + Гараж</t>
  </si>
  <si>
    <t>Объект МБОУДО «ДЮСШ                                в с. Хасын»</t>
  </si>
  <si>
    <t>МБУК «Дом культуры                              пос. Стекольный»</t>
  </si>
  <si>
    <t>Центральная библиотека                        п. Палатка</t>
  </si>
  <si>
    <t>МАУ Редакция газеты                                  «Заря Севера»                                                 + Гараж</t>
  </si>
  <si>
    <t>Пункт выдачи в с. Хасын</t>
  </si>
  <si>
    <t>СПОРТ</t>
  </si>
  <si>
    <t>ГАРАЖИ                                  (п. Палатка:                            ул. Юбилейная, 21, 25,                  ул. Почтовая, 2, ул.Школьная,5, ул. Юбилейная, 16,ул. Ленина,74)</t>
  </si>
  <si>
    <t>Прогнозируемые лимиты потребления энергоресурсов и коммунальных услуг учреждениями, финансируемыми из бюджета</t>
  </si>
  <si>
    <t>муниципального образования "Хасынский городской округ" на 2020 год</t>
  </si>
  <si>
    <t>МКУ ФОК "Плавательный бассейн  "Арбат"</t>
  </si>
  <si>
    <t>прибавить фонтаны</t>
  </si>
  <si>
    <t>Тарифы на 2020 год</t>
  </si>
  <si>
    <t>МБУДО «Хасынский Центр детского творчества»</t>
  </si>
  <si>
    <t>фонтан "Скульптурный"</t>
  </si>
  <si>
    <t>эл. энергия</t>
  </si>
  <si>
    <t>количество дней</t>
  </si>
  <si>
    <t>май</t>
  </si>
  <si>
    <t>июнь</t>
  </si>
  <si>
    <t>июль</t>
  </si>
  <si>
    <t>август</t>
  </si>
  <si>
    <t>сентябрь</t>
  </si>
  <si>
    <t>м3</t>
  </si>
  <si>
    <t>Всего расход</t>
  </si>
  <si>
    <t>2 полугодие</t>
  </si>
  <si>
    <t>квт/час</t>
  </si>
  <si>
    <t>водопада 2 ед.</t>
  </si>
  <si>
    <t>среднесуточное потребление</t>
  </si>
  <si>
    <t>раз в 45 дней воду сливают, моют</t>
  </si>
  <si>
    <t>октябрь</t>
  </si>
  <si>
    <t>фонтан "Ажурный"</t>
  </si>
  <si>
    <t>фонтан "Вдохновение"</t>
  </si>
  <si>
    <t>Церковь</t>
  </si>
  <si>
    <t>Фонтан-водопад</t>
  </si>
  <si>
    <t>в час</t>
  </si>
  <si>
    <t>сутки</t>
  </si>
  <si>
    <t>Всего</t>
  </si>
  <si>
    <t>эл. энерг.</t>
  </si>
  <si>
    <t>вода холодная</t>
  </si>
  <si>
    <t>кВт</t>
  </si>
  <si>
    <t>палатка</t>
  </si>
  <si>
    <t>Атка</t>
  </si>
  <si>
    <t>Стекольный</t>
  </si>
  <si>
    <t>Талая</t>
  </si>
  <si>
    <t>Хасын</t>
  </si>
  <si>
    <t>МБУДО «Детский сад №1» п. Палатка</t>
  </si>
  <si>
    <t>МБДОУ «Детский сад»         с. Хасын</t>
  </si>
  <si>
    <t>эл.энергия</t>
  </si>
  <si>
    <t>тыс. кВт</t>
  </si>
  <si>
    <t>тыс. руб.</t>
  </si>
  <si>
    <t>2020-2022</t>
  </si>
  <si>
    <t>Итого</t>
  </si>
  <si>
    <t>хол. Вода</t>
  </si>
  <si>
    <t>водоотведение</t>
  </si>
  <si>
    <t>дни</t>
  </si>
  <si>
    <t>тариф</t>
  </si>
  <si>
    <t>2019 г.</t>
  </si>
  <si>
    <t>август, сентябрь, октябрь</t>
  </si>
  <si>
    <t xml:space="preserve">Кабинет № 18 </t>
  </si>
  <si>
    <t xml:space="preserve">Кабинет № 24     </t>
  </si>
  <si>
    <t>Фонтаны, водопад</t>
  </si>
  <si>
    <t>"Нежилое помещение по ул. Юбилейная, д.18, пос. Палатка</t>
  </si>
  <si>
    <t>Фонтан "Ажурный"                               (1 школа)</t>
  </si>
  <si>
    <t>Фонтан "Вдохновение"                               (около церкви)</t>
  </si>
  <si>
    <t>Фонтан "Скульптурный"                               (около водопада)</t>
  </si>
  <si>
    <t xml:space="preserve">Фонтан - водопад                       </t>
  </si>
  <si>
    <t>Фонтан "Скульптурный"                               (около "Арбат")</t>
  </si>
  <si>
    <r>
      <t xml:space="preserve">МБОУДО </t>
    </r>
    <r>
      <rPr>
        <sz val="11.5"/>
        <rFont val="Times New Roman"/>
        <family val="1"/>
        <charset val="204"/>
      </rPr>
      <t>"</t>
    </r>
    <r>
      <rPr>
        <b/>
        <sz val="11.5"/>
        <rFont val="Times New Roman"/>
        <family val="1"/>
        <charset val="204"/>
      </rPr>
      <t>Хасынская детско-юношеская спортивная школа"</t>
    </r>
  </si>
  <si>
    <t>Приложение</t>
  </si>
  <si>
    <t>к постановлению Администрации</t>
  </si>
  <si>
    <t>Хасынского городского округа</t>
  </si>
  <si>
    <t>от ____________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</si>
</sst>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name val="Calibri"/>
      <family val="2"/>
      <charset val="204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5" borderId="0" applyNumberFormat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2" fillId="4" borderId="2" xfId="0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/>
    </xf>
    <xf numFmtId="0" fontId="11" fillId="0" borderId="0" xfId="0" applyFont="1"/>
    <xf numFmtId="4" fontId="13" fillId="4" borderId="8" xfId="0" applyNumberFormat="1" applyFont="1" applyFill="1" applyBorder="1" applyAlignment="1">
      <alignment horizontal="center" vertical="center"/>
    </xf>
    <xf numFmtId="4" fontId="12" fillId="4" borderId="8" xfId="0" applyNumberFormat="1" applyFont="1" applyFill="1" applyBorder="1" applyAlignment="1">
      <alignment horizontal="center" vertical="center"/>
    </xf>
    <xf numFmtId="0" fontId="15" fillId="5" borderId="0" xfId="1"/>
    <xf numFmtId="0" fontId="0" fillId="0" borderId="0" xfId="0" applyAlignment="1">
      <alignment horizontal="center"/>
    </xf>
    <xf numFmtId="0" fontId="16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6" fillId="0" borderId="0" xfId="0" applyNumberFormat="1" applyFont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4" fontId="0" fillId="0" borderId="2" xfId="0" applyNumberFormat="1" applyBorder="1"/>
    <xf numFmtId="164" fontId="6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164" fontId="17" fillId="0" borderId="0" xfId="0" applyNumberFormat="1" applyFont="1"/>
    <xf numFmtId="2" fontId="17" fillId="0" borderId="0" xfId="0" applyNumberFormat="1" applyFont="1"/>
    <xf numFmtId="0" fontId="17" fillId="0" borderId="0" xfId="0" applyFont="1" applyFill="1"/>
    <xf numFmtId="2" fontId="1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5" borderId="0" xfId="1" applyFont="1"/>
    <xf numFmtId="0" fontId="0" fillId="0" borderId="0" xfId="0" applyAlignment="1">
      <alignment horizontal="center" vertical="center"/>
    </xf>
    <xf numFmtId="0" fontId="10" fillId="3" borderId="14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center" vertical="top" wrapText="1"/>
    </xf>
    <xf numFmtId="164" fontId="19" fillId="3" borderId="11" xfId="0" applyNumberFormat="1" applyFont="1" applyFill="1" applyBorder="1" applyAlignment="1">
      <alignment horizontal="center" vertical="top" wrapText="1"/>
    </xf>
    <xf numFmtId="164" fontId="10" fillId="3" borderId="5" xfId="0" applyNumberFormat="1" applyFont="1" applyFill="1" applyBorder="1" applyAlignment="1">
      <alignment horizontal="center" vertical="top" wrapText="1"/>
    </xf>
    <xf numFmtId="164" fontId="10" fillId="3" borderId="6" xfId="0" applyNumberFormat="1" applyFont="1" applyFill="1" applyBorder="1" applyAlignment="1">
      <alignment horizontal="center" vertical="top" wrapText="1"/>
    </xf>
    <xf numFmtId="164" fontId="19" fillId="3" borderId="7" xfId="0" applyNumberFormat="1" applyFont="1" applyFill="1" applyBorder="1" applyAlignment="1">
      <alignment horizontal="center" vertical="top" wrapText="1"/>
    </xf>
    <xf numFmtId="164" fontId="20" fillId="3" borderId="15" xfId="0" applyNumberFormat="1" applyFont="1" applyFill="1" applyBorder="1" applyAlignment="1">
      <alignment horizontal="center" vertical="top" wrapText="1"/>
    </xf>
    <xf numFmtId="164" fontId="20" fillId="3" borderId="12" xfId="0" applyNumberFormat="1" applyFont="1" applyFill="1" applyBorder="1" applyAlignment="1">
      <alignment horizontal="center" vertical="top" wrapText="1"/>
    </xf>
    <xf numFmtId="164" fontId="21" fillId="3" borderId="11" xfId="0" applyNumberFormat="1" applyFont="1" applyFill="1" applyBorder="1" applyAlignment="1">
      <alignment horizontal="center" vertical="top" wrapText="1"/>
    </xf>
    <xf numFmtId="164" fontId="22" fillId="3" borderId="5" xfId="0" applyNumberFormat="1" applyFont="1" applyFill="1" applyBorder="1" applyAlignment="1">
      <alignment horizontal="center" vertical="top" wrapText="1"/>
    </xf>
    <xf numFmtId="164" fontId="22" fillId="3" borderId="6" xfId="0" applyNumberFormat="1" applyFont="1" applyFill="1" applyBorder="1" applyAlignment="1">
      <alignment horizontal="center" vertical="top" wrapText="1"/>
    </xf>
    <xf numFmtId="164" fontId="23" fillId="3" borderId="11" xfId="0" applyNumberFormat="1" applyFont="1" applyFill="1" applyBorder="1" applyAlignment="1">
      <alignment horizontal="center" vertical="top" wrapText="1"/>
    </xf>
    <xf numFmtId="164" fontId="23" fillId="3" borderId="5" xfId="0" applyNumberFormat="1" applyFont="1" applyFill="1" applyBorder="1" applyAlignment="1">
      <alignment horizontal="center" vertical="top" wrapText="1"/>
    </xf>
    <xf numFmtId="164" fontId="23" fillId="3" borderId="6" xfId="0" applyNumberFormat="1" applyFont="1" applyFill="1" applyBorder="1" applyAlignment="1">
      <alignment horizontal="center" vertical="top" wrapText="1"/>
    </xf>
    <xf numFmtId="164" fontId="19" fillId="3" borderId="15" xfId="0" applyNumberFormat="1" applyFont="1" applyFill="1" applyBorder="1" applyAlignment="1">
      <alignment horizontal="center" vertical="top" wrapText="1"/>
    </xf>
    <xf numFmtId="164" fontId="19" fillId="3" borderId="12" xfId="0" applyNumberFormat="1" applyFont="1" applyFill="1" applyBorder="1" applyAlignment="1">
      <alignment horizontal="center" vertical="top" wrapText="1"/>
    </xf>
    <xf numFmtId="164" fontId="19" fillId="3" borderId="6" xfId="0" applyNumberFormat="1" applyFont="1" applyFill="1" applyBorder="1" applyAlignment="1">
      <alignment horizontal="center" vertical="top" wrapText="1"/>
    </xf>
    <xf numFmtId="164" fontId="22" fillId="3" borderId="11" xfId="0" applyNumberFormat="1" applyFont="1" applyFill="1" applyBorder="1" applyAlignment="1">
      <alignment horizontal="center" vertical="top" wrapText="1"/>
    </xf>
    <xf numFmtId="164" fontId="10" fillId="3" borderId="11" xfId="0" applyNumberFormat="1" applyFont="1" applyFill="1" applyBorder="1" applyAlignment="1">
      <alignment horizontal="center" vertical="top" wrapText="1"/>
    </xf>
    <xf numFmtId="164" fontId="17" fillId="0" borderId="12" xfId="0" applyNumberFormat="1" applyFont="1" applyBorder="1" applyAlignment="1">
      <alignment horizontal="center" vertical="top" wrapText="1"/>
    </xf>
    <xf numFmtId="164" fontId="10" fillId="3" borderId="7" xfId="0" applyNumberFormat="1" applyFont="1" applyFill="1" applyBorder="1" applyAlignment="1">
      <alignment horizontal="center" vertical="top" wrapText="1"/>
    </xf>
    <xf numFmtId="164" fontId="23" fillId="3" borderId="7" xfId="0" applyNumberFormat="1" applyFont="1" applyFill="1" applyBorder="1" applyAlignment="1">
      <alignment horizontal="center" vertical="top" wrapText="1"/>
    </xf>
    <xf numFmtId="164" fontId="23" fillId="3" borderId="7" xfId="0" applyNumberFormat="1" applyFont="1" applyFill="1" applyBorder="1" applyAlignment="1">
      <alignment horizontal="center" vertical="top" wrapText="1"/>
    </xf>
    <xf numFmtId="164" fontId="23" fillId="3" borderId="15" xfId="0" applyNumberFormat="1" applyFont="1" applyFill="1" applyBorder="1" applyAlignment="1">
      <alignment horizontal="center" vertical="top" wrapText="1"/>
    </xf>
    <xf numFmtId="164" fontId="23" fillId="3" borderId="12" xfId="0" applyNumberFormat="1" applyFont="1" applyFill="1" applyBorder="1" applyAlignment="1">
      <alignment horizontal="center" vertical="top" wrapText="1"/>
    </xf>
    <xf numFmtId="164" fontId="10" fillId="3" borderId="12" xfId="0" applyNumberFormat="1" applyFont="1" applyFill="1" applyBorder="1" applyAlignment="1">
      <alignment horizontal="center" vertical="top" wrapText="1"/>
    </xf>
    <xf numFmtId="164" fontId="17" fillId="6" borderId="11" xfId="1" applyNumberFormat="1" applyFont="1" applyFill="1" applyBorder="1" applyAlignment="1">
      <alignment horizontal="center" vertical="top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5"/>
  <sheetViews>
    <sheetView tabSelected="1" zoomScale="95" zoomScaleNormal="95" workbookViewId="0">
      <pane xSplit="1" ySplit="14" topLeftCell="B15" activePane="bottomRight" state="frozen"/>
      <selection pane="topRight" activeCell="B1" sqref="B1"/>
      <selection pane="bottomLeft" activeCell="A6" sqref="A6"/>
      <selection pane="bottomRight" activeCell="F6" sqref="F6"/>
    </sheetView>
  </sheetViews>
  <sheetFormatPr defaultRowHeight="15" x14ac:dyDescent="0.25"/>
  <cols>
    <col min="1" max="1" width="28.140625" customWidth="1"/>
    <col min="2" max="2" width="11.5703125" customWidth="1"/>
    <col min="3" max="3" width="11.85546875" customWidth="1"/>
    <col min="4" max="4" width="11.28515625" customWidth="1"/>
    <col min="5" max="5" width="11.42578125" customWidth="1"/>
    <col min="6" max="6" width="9.85546875" customWidth="1"/>
    <col min="7" max="8" width="11.28515625" customWidth="1"/>
    <col min="9" max="9" width="13" customWidth="1"/>
    <col min="10" max="10" width="12.5703125" customWidth="1"/>
    <col min="11" max="11" width="13.85546875" customWidth="1"/>
    <col min="12" max="12" width="13.42578125" customWidth="1"/>
    <col min="13" max="13" width="26.5703125" hidden="1" customWidth="1"/>
    <col min="14" max="18" width="0" hidden="1" customWidth="1"/>
    <col min="19" max="19" width="1.42578125" hidden="1" customWidth="1"/>
  </cols>
  <sheetData>
    <row r="1" spans="1:15" ht="15.75" customHeight="1" x14ac:dyDescent="0.25">
      <c r="A1" s="16"/>
      <c r="B1" s="16"/>
      <c r="C1" s="16"/>
      <c r="D1" s="16"/>
      <c r="E1" s="16"/>
      <c r="F1" s="16"/>
      <c r="G1" s="16"/>
      <c r="H1" s="44"/>
      <c r="I1" s="44"/>
      <c r="J1" s="44"/>
      <c r="K1" s="44" t="s">
        <v>136</v>
      </c>
      <c r="L1" s="44"/>
    </row>
    <row r="2" spans="1:15" ht="15.75" customHeight="1" x14ac:dyDescent="0.25">
      <c r="A2" s="16"/>
      <c r="B2" s="16"/>
      <c r="C2" s="16"/>
      <c r="D2" s="16"/>
      <c r="E2" s="16"/>
      <c r="F2" s="16"/>
      <c r="G2" s="16"/>
      <c r="H2" s="44"/>
      <c r="I2" s="44"/>
      <c r="J2" s="44"/>
      <c r="K2" s="44"/>
      <c r="L2" s="44"/>
    </row>
    <row r="3" spans="1:15" ht="15.75" customHeight="1" x14ac:dyDescent="0.25">
      <c r="A3" s="16"/>
      <c r="B3" s="16"/>
      <c r="C3" s="16"/>
      <c r="D3" s="16"/>
      <c r="E3" s="16"/>
      <c r="F3" s="16"/>
      <c r="G3" s="16"/>
      <c r="H3" s="44"/>
      <c r="I3" s="44"/>
      <c r="J3" s="45" t="s">
        <v>137</v>
      </c>
      <c r="K3" s="79"/>
      <c r="L3" s="79"/>
    </row>
    <row r="4" spans="1:15" ht="15.75" customHeight="1" x14ac:dyDescent="0.25">
      <c r="A4" s="16"/>
      <c r="B4" s="16"/>
      <c r="C4" s="16"/>
      <c r="D4" s="16"/>
      <c r="E4" s="16"/>
      <c r="F4" s="16"/>
      <c r="G4" s="16"/>
      <c r="H4" s="44"/>
      <c r="I4" s="44"/>
      <c r="J4" s="45" t="s">
        <v>138</v>
      </c>
      <c r="K4" s="79"/>
      <c r="L4" s="79"/>
    </row>
    <row r="5" spans="1:15" ht="15.75" customHeight="1" x14ac:dyDescent="0.25">
      <c r="A5" s="16"/>
      <c r="B5" s="16"/>
      <c r="C5" s="16"/>
      <c r="D5" s="16"/>
      <c r="E5" s="16"/>
      <c r="F5" s="16"/>
      <c r="G5" s="16"/>
      <c r="H5" s="44"/>
      <c r="I5" s="44"/>
      <c r="J5" s="45" t="s">
        <v>139</v>
      </c>
      <c r="K5" s="79"/>
      <c r="L5" s="79"/>
    </row>
    <row r="6" spans="1:15" ht="15.75" customHeight="1" x14ac:dyDescent="0.25">
      <c r="A6" s="16"/>
      <c r="B6" s="16"/>
      <c r="C6" s="16"/>
      <c r="D6" s="16"/>
      <c r="E6" s="16"/>
      <c r="F6" s="16"/>
      <c r="G6" s="16"/>
      <c r="H6" s="44"/>
      <c r="I6" s="44"/>
      <c r="J6" s="44"/>
      <c r="K6" s="44"/>
      <c r="L6" s="44"/>
    </row>
    <row r="7" spans="1:15" ht="15.75" customHeight="1" x14ac:dyDescent="0.25">
      <c r="A7" s="16"/>
      <c r="B7" s="16"/>
      <c r="C7" s="16"/>
      <c r="D7" s="16"/>
      <c r="E7" s="16"/>
      <c r="F7" s="16"/>
      <c r="G7" s="16"/>
      <c r="H7" s="44"/>
      <c r="I7" s="44"/>
      <c r="J7" s="44"/>
      <c r="K7" s="44"/>
      <c r="L7" s="44"/>
    </row>
    <row r="8" spans="1:15" ht="15.75" customHeight="1" x14ac:dyDescent="0.25">
      <c r="A8" s="46" t="s">
        <v>76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5" ht="15.75" customHeight="1" x14ac:dyDescent="0.25">
      <c r="A9" s="46" t="s">
        <v>77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5" ht="15" customHeight="1" thickBot="1" x14ac:dyDescent="0.3">
      <c r="A10" s="16"/>
      <c r="B10" s="16"/>
      <c r="C10" s="16"/>
      <c r="D10" s="16"/>
      <c r="E10" s="16"/>
      <c r="F10" s="16"/>
      <c r="G10" s="16"/>
      <c r="H10" s="45"/>
      <c r="I10" s="45"/>
      <c r="J10" s="45"/>
      <c r="K10" s="45"/>
      <c r="L10" s="45"/>
      <c r="N10" s="2"/>
    </row>
    <row r="11" spans="1:15" ht="15" customHeight="1" thickBot="1" x14ac:dyDescent="0.3">
      <c r="A11" s="80" t="s">
        <v>0</v>
      </c>
      <c r="B11" s="81" t="s">
        <v>1</v>
      </c>
      <c r="C11" s="82"/>
      <c r="D11" s="81" t="s">
        <v>2</v>
      </c>
      <c r="E11" s="83"/>
      <c r="F11" s="81" t="s">
        <v>3</v>
      </c>
      <c r="G11" s="83"/>
      <c r="H11" s="81" t="s">
        <v>4</v>
      </c>
      <c r="I11" s="83"/>
      <c r="J11" s="81" t="s">
        <v>5</v>
      </c>
      <c r="K11" s="83"/>
      <c r="L11" s="80" t="s">
        <v>28</v>
      </c>
      <c r="M11" s="71"/>
      <c r="N11" s="72"/>
    </row>
    <row r="12" spans="1:15" ht="15" customHeight="1" x14ac:dyDescent="0.25">
      <c r="A12" s="84"/>
      <c r="B12" s="85" t="s">
        <v>7</v>
      </c>
      <c r="C12" s="86" t="s">
        <v>52</v>
      </c>
      <c r="D12" s="80" t="s">
        <v>6</v>
      </c>
      <c r="E12" s="85" t="s">
        <v>7</v>
      </c>
      <c r="F12" s="80" t="s">
        <v>6</v>
      </c>
      <c r="G12" s="85" t="s">
        <v>7</v>
      </c>
      <c r="H12" s="80" t="s">
        <v>9</v>
      </c>
      <c r="I12" s="85" t="s">
        <v>7</v>
      </c>
      <c r="J12" s="80" t="s">
        <v>9</v>
      </c>
      <c r="K12" s="85" t="s">
        <v>7</v>
      </c>
      <c r="L12" s="87"/>
      <c r="M12" s="71"/>
      <c r="N12" s="72"/>
    </row>
    <row r="13" spans="1:15" ht="15" customHeight="1" thickBot="1" x14ac:dyDescent="0.3">
      <c r="A13" s="88"/>
      <c r="B13" s="89" t="s">
        <v>29</v>
      </c>
      <c r="C13" s="90"/>
      <c r="D13" s="88"/>
      <c r="E13" s="89" t="s">
        <v>8</v>
      </c>
      <c r="F13" s="88"/>
      <c r="G13" s="89" t="s">
        <v>8</v>
      </c>
      <c r="H13" s="88"/>
      <c r="I13" s="89" t="s">
        <v>8</v>
      </c>
      <c r="J13" s="88"/>
      <c r="K13" s="89" t="s">
        <v>8</v>
      </c>
      <c r="L13" s="91"/>
      <c r="M13" s="71"/>
      <c r="N13" s="72"/>
    </row>
    <row r="14" spans="1:15" ht="15" customHeight="1" thickBot="1" x14ac:dyDescent="0.3">
      <c r="A14" s="92">
        <v>1</v>
      </c>
      <c r="B14" s="92">
        <v>2</v>
      </c>
      <c r="C14" s="93">
        <v>3</v>
      </c>
      <c r="D14" s="92">
        <v>4</v>
      </c>
      <c r="E14" s="92">
        <v>5</v>
      </c>
      <c r="F14" s="92">
        <v>6</v>
      </c>
      <c r="G14" s="92">
        <v>7</v>
      </c>
      <c r="H14" s="92">
        <v>8</v>
      </c>
      <c r="I14" s="92">
        <v>9</v>
      </c>
      <c r="J14" s="92">
        <v>10</v>
      </c>
      <c r="K14" s="92">
        <v>11</v>
      </c>
      <c r="L14" s="92">
        <v>12</v>
      </c>
      <c r="M14" s="71"/>
      <c r="N14" s="72"/>
    </row>
    <row r="15" spans="1:15" ht="28.5" customHeight="1" thickBot="1" x14ac:dyDescent="0.3">
      <c r="A15" s="94" t="s">
        <v>10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71"/>
      <c r="N15" s="71"/>
    </row>
    <row r="16" spans="1:15" ht="45" customHeight="1" thickBot="1" x14ac:dyDescent="0.3">
      <c r="A16" s="97" t="s">
        <v>11</v>
      </c>
      <c r="B16" s="98">
        <f>SUM(B17:B18)</f>
        <v>0</v>
      </c>
      <c r="C16" s="99">
        <f>SUM(C17:C18)</f>
        <v>0</v>
      </c>
      <c r="D16" s="98">
        <f t="shared" ref="D16:K16" si="0">SUM(D17:D18)</f>
        <v>11.1</v>
      </c>
      <c r="E16" s="98">
        <f t="shared" si="0"/>
        <v>67.400000000000006</v>
      </c>
      <c r="F16" s="98">
        <f t="shared" si="0"/>
        <v>0.4</v>
      </c>
      <c r="G16" s="98">
        <f t="shared" si="0"/>
        <v>2.8</v>
      </c>
      <c r="H16" s="98">
        <f t="shared" si="0"/>
        <v>24.2</v>
      </c>
      <c r="I16" s="98">
        <f t="shared" si="0"/>
        <v>1.2000000000000002</v>
      </c>
      <c r="J16" s="98">
        <f t="shared" si="0"/>
        <v>24.2</v>
      </c>
      <c r="K16" s="98">
        <f t="shared" si="0"/>
        <v>2</v>
      </c>
      <c r="L16" s="98">
        <f t="shared" ref="L16:L87" si="1">SUM(C16,E16,G16,I16,K16)</f>
        <v>73.400000000000006</v>
      </c>
      <c r="M16" s="71"/>
      <c r="N16" s="71"/>
      <c r="O16" s="23"/>
    </row>
    <row r="17" spans="1:21" ht="28.5" customHeight="1" thickBot="1" x14ac:dyDescent="0.3">
      <c r="A17" s="97" t="s">
        <v>12</v>
      </c>
      <c r="B17" s="98">
        <f>SUM(B21+B24)</f>
        <v>0</v>
      </c>
      <c r="C17" s="98">
        <f t="shared" ref="C17:K17" si="2">SUM(C21+C24)</f>
        <v>0</v>
      </c>
      <c r="D17" s="98">
        <f t="shared" si="2"/>
        <v>6.5</v>
      </c>
      <c r="E17" s="98">
        <f t="shared" si="2"/>
        <v>39.400000000000006</v>
      </c>
      <c r="F17" s="98">
        <f t="shared" si="2"/>
        <v>0.2</v>
      </c>
      <c r="G17" s="98">
        <f t="shared" si="2"/>
        <v>1.4</v>
      </c>
      <c r="H17" s="98">
        <f t="shared" si="2"/>
        <v>12.2</v>
      </c>
      <c r="I17" s="98">
        <f t="shared" si="2"/>
        <v>0.60000000000000009</v>
      </c>
      <c r="J17" s="98">
        <f t="shared" si="2"/>
        <v>12.2</v>
      </c>
      <c r="K17" s="98">
        <f t="shared" si="2"/>
        <v>1</v>
      </c>
      <c r="L17" s="98">
        <f t="shared" si="1"/>
        <v>42.400000000000006</v>
      </c>
      <c r="M17" s="71"/>
      <c r="N17" s="71"/>
    </row>
    <row r="18" spans="1:21" ht="28.5" customHeight="1" thickBot="1" x14ac:dyDescent="0.3">
      <c r="A18" s="97" t="s">
        <v>13</v>
      </c>
      <c r="B18" s="98">
        <f>SUM(B22+B25)</f>
        <v>0</v>
      </c>
      <c r="C18" s="98">
        <f t="shared" ref="C18:K18" si="3">SUM(C22+C25)</f>
        <v>0</v>
      </c>
      <c r="D18" s="98">
        <f t="shared" si="3"/>
        <v>4.5999999999999996</v>
      </c>
      <c r="E18" s="98">
        <f t="shared" si="3"/>
        <v>28</v>
      </c>
      <c r="F18" s="98">
        <f t="shared" si="3"/>
        <v>0.2</v>
      </c>
      <c r="G18" s="98">
        <f t="shared" si="3"/>
        <v>1.4</v>
      </c>
      <c r="H18" s="98">
        <f t="shared" si="3"/>
        <v>12</v>
      </c>
      <c r="I18" s="98">
        <f t="shared" si="3"/>
        <v>0.6</v>
      </c>
      <c r="J18" s="98">
        <f t="shared" si="3"/>
        <v>12</v>
      </c>
      <c r="K18" s="98">
        <f t="shared" si="3"/>
        <v>1</v>
      </c>
      <c r="L18" s="98">
        <f t="shared" si="1"/>
        <v>31</v>
      </c>
      <c r="M18" s="71"/>
      <c r="N18" s="71"/>
    </row>
    <row r="19" spans="1:21" ht="18" customHeight="1" thickBot="1" x14ac:dyDescent="0.3">
      <c r="A19" s="100" t="s">
        <v>19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71"/>
      <c r="N19" s="71"/>
    </row>
    <row r="20" spans="1:21" ht="45" customHeight="1" thickBot="1" x14ac:dyDescent="0.3">
      <c r="A20" s="97" t="s">
        <v>49</v>
      </c>
      <c r="B20" s="98">
        <f>SUM(B21:B22)</f>
        <v>0</v>
      </c>
      <c r="C20" s="99">
        <f>SUM(C21:C22)</f>
        <v>0</v>
      </c>
      <c r="D20" s="98">
        <f t="shared" ref="D20:K20" si="4">SUM(D21:D22)</f>
        <v>5.5</v>
      </c>
      <c r="E20" s="98">
        <f t="shared" si="4"/>
        <v>33.400000000000006</v>
      </c>
      <c r="F20" s="98">
        <f t="shared" si="4"/>
        <v>0.2</v>
      </c>
      <c r="G20" s="98">
        <f t="shared" si="4"/>
        <v>1.4</v>
      </c>
      <c r="H20" s="98">
        <f t="shared" si="4"/>
        <v>12.1</v>
      </c>
      <c r="I20" s="98">
        <f t="shared" si="4"/>
        <v>0.60000000000000009</v>
      </c>
      <c r="J20" s="98">
        <f t="shared" si="4"/>
        <v>12.1</v>
      </c>
      <c r="K20" s="98">
        <f t="shared" si="4"/>
        <v>1</v>
      </c>
      <c r="L20" s="98">
        <f t="shared" si="1"/>
        <v>36.400000000000006</v>
      </c>
      <c r="M20" s="71"/>
      <c r="N20" s="71"/>
    </row>
    <row r="21" spans="1:21" ht="20.100000000000001" customHeight="1" thickBot="1" x14ac:dyDescent="0.3">
      <c r="A21" s="103" t="s">
        <v>12</v>
      </c>
      <c r="B21" s="104">
        <v>0</v>
      </c>
      <c r="C21" s="105">
        <f>SUM(B21*ТАРИФЫ!F21)</f>
        <v>0</v>
      </c>
      <c r="D21" s="104">
        <v>3.2</v>
      </c>
      <c r="E21" s="104">
        <f>ROUNDUP(D21*ТАРИФЫ!$F$5/1000,1)</f>
        <v>19.400000000000002</v>
      </c>
      <c r="F21" s="104">
        <v>0.1</v>
      </c>
      <c r="G21" s="104">
        <f>ROUNDUP(F21*ТАРИФЫ!$F$5/1000,1)</f>
        <v>0.7</v>
      </c>
      <c r="H21" s="104">
        <v>6.1</v>
      </c>
      <c r="I21" s="104">
        <f>ROUNDUP(H21*ТАРИФЫ!$F$10/1000,1)</f>
        <v>0.30000000000000004</v>
      </c>
      <c r="J21" s="104">
        <v>6.1</v>
      </c>
      <c r="K21" s="104">
        <f>ROUND(J21*ТАРИФЫ!$F$15/1000,1)</f>
        <v>0.5</v>
      </c>
      <c r="L21" s="98">
        <f t="shared" si="1"/>
        <v>20.900000000000002</v>
      </c>
      <c r="M21" s="71" t="s">
        <v>108</v>
      </c>
      <c r="N21" s="73">
        <f t="shared" ref="N21:N22" si="5">H21-J21</f>
        <v>0</v>
      </c>
    </row>
    <row r="22" spans="1:21" ht="20.100000000000001" customHeight="1" thickBot="1" x14ac:dyDescent="0.3">
      <c r="A22" s="103" t="s">
        <v>13</v>
      </c>
      <c r="B22" s="104">
        <v>0</v>
      </c>
      <c r="C22" s="105">
        <f>SUM(B22*ТАРИФЫ!G21)</f>
        <v>0</v>
      </c>
      <c r="D22" s="104">
        <v>2.2999999999999998</v>
      </c>
      <c r="E22" s="104">
        <f>ROUNDUP(D22*ТАРИФЫ!$G$5/1000,1)</f>
        <v>14</v>
      </c>
      <c r="F22" s="104">
        <v>0.1</v>
      </c>
      <c r="G22" s="104">
        <f>ROUNDUP(F22*ТАРИФЫ!$G$5/1000,1)</f>
        <v>0.7</v>
      </c>
      <c r="H22" s="104">
        <v>6</v>
      </c>
      <c r="I22" s="104">
        <f>ROUND(H22*ТАРИФЫ!$G$10/1000,1)</f>
        <v>0.3</v>
      </c>
      <c r="J22" s="104">
        <v>6</v>
      </c>
      <c r="K22" s="104">
        <f>ROUND(J22*ТАРИФЫ!$G$15/1000,1)</f>
        <v>0.5</v>
      </c>
      <c r="L22" s="98">
        <f t="shared" si="1"/>
        <v>15.5</v>
      </c>
      <c r="M22" s="71" t="s">
        <v>108</v>
      </c>
      <c r="N22" s="73">
        <f t="shared" si="5"/>
        <v>0</v>
      </c>
    </row>
    <row r="23" spans="1:21" ht="45" customHeight="1" thickBot="1" x14ac:dyDescent="0.3">
      <c r="A23" s="97" t="s">
        <v>50</v>
      </c>
      <c r="B23" s="98">
        <f>SUM(B24:B25)</f>
        <v>0</v>
      </c>
      <c r="C23" s="99">
        <f>SUM(C24:C25)</f>
        <v>0</v>
      </c>
      <c r="D23" s="98">
        <f t="shared" ref="D23:K23" si="6">SUM(D24:D25)</f>
        <v>5.6</v>
      </c>
      <c r="E23" s="98">
        <f t="shared" si="6"/>
        <v>34</v>
      </c>
      <c r="F23" s="98">
        <f t="shared" si="6"/>
        <v>0.2</v>
      </c>
      <c r="G23" s="98">
        <f t="shared" si="6"/>
        <v>1.4</v>
      </c>
      <c r="H23" s="98">
        <f t="shared" si="6"/>
        <v>12.1</v>
      </c>
      <c r="I23" s="98">
        <f t="shared" si="6"/>
        <v>0.60000000000000009</v>
      </c>
      <c r="J23" s="98">
        <f t="shared" si="6"/>
        <v>12.1</v>
      </c>
      <c r="K23" s="98">
        <f t="shared" si="6"/>
        <v>1</v>
      </c>
      <c r="L23" s="98">
        <f t="shared" si="1"/>
        <v>37</v>
      </c>
      <c r="M23" s="71"/>
      <c r="N23" s="71"/>
    </row>
    <row r="24" spans="1:21" ht="20.100000000000001" customHeight="1" thickBot="1" x14ac:dyDescent="0.3">
      <c r="A24" s="103" t="s">
        <v>12</v>
      </c>
      <c r="B24" s="104">
        <v>0</v>
      </c>
      <c r="C24" s="105">
        <f>SUM(B24*ТАРИФЫ!F21)</f>
        <v>0</v>
      </c>
      <c r="D24" s="104">
        <v>3.3</v>
      </c>
      <c r="E24" s="104">
        <f>ROUNDUP(D24*ТАРИФЫ!$F$5/1000,1)</f>
        <v>20</v>
      </c>
      <c r="F24" s="104">
        <v>0.1</v>
      </c>
      <c r="G24" s="104">
        <f>ROUNDUP(F24*ТАРИФЫ!$F$5/1000,1)</f>
        <v>0.7</v>
      </c>
      <c r="H24" s="104">
        <v>6.1</v>
      </c>
      <c r="I24" s="104">
        <f>ROUNDUP(H24*ТАРИФЫ!$F$10/1000,1)</f>
        <v>0.30000000000000004</v>
      </c>
      <c r="J24" s="104">
        <v>6.1</v>
      </c>
      <c r="K24" s="104">
        <f>ROUND(J24*ТАРИФЫ!$F$15/1000,1)</f>
        <v>0.5</v>
      </c>
      <c r="L24" s="98">
        <f t="shared" si="1"/>
        <v>21.5</v>
      </c>
      <c r="M24" s="71" t="s">
        <v>108</v>
      </c>
      <c r="N24" s="73">
        <f t="shared" ref="N24:N25" si="7">H24-J24</f>
        <v>0</v>
      </c>
    </row>
    <row r="25" spans="1:21" ht="20.100000000000001" customHeight="1" thickBot="1" x14ac:dyDescent="0.3">
      <c r="A25" s="103" t="s">
        <v>13</v>
      </c>
      <c r="B25" s="104">
        <v>0</v>
      </c>
      <c r="C25" s="105">
        <f>SUM(B25*ТАРИФЫ!G21)</f>
        <v>0</v>
      </c>
      <c r="D25" s="104">
        <v>2.2999999999999998</v>
      </c>
      <c r="E25" s="104">
        <f>ROUNDUP(D25*ТАРИФЫ!$G$5/1000,1)</f>
        <v>14</v>
      </c>
      <c r="F25" s="104">
        <v>0.1</v>
      </c>
      <c r="G25" s="104">
        <f>ROUNDUP(F25*ТАРИФЫ!$G$5/1000,1)</f>
        <v>0.7</v>
      </c>
      <c r="H25" s="104">
        <v>6</v>
      </c>
      <c r="I25" s="104">
        <f>ROUND(H25*ТАРИФЫ!$G$10/1000,1)</f>
        <v>0.3</v>
      </c>
      <c r="J25" s="104">
        <v>6</v>
      </c>
      <c r="K25" s="104">
        <f>ROUND(J25*ТАРИФЫ!$G$15/1000,1)</f>
        <v>0.5</v>
      </c>
      <c r="L25" s="98">
        <f t="shared" si="1"/>
        <v>15.5</v>
      </c>
      <c r="M25" s="71" t="s">
        <v>108</v>
      </c>
      <c r="N25" s="73">
        <f t="shared" si="7"/>
        <v>0</v>
      </c>
    </row>
    <row r="26" spans="1:21" ht="132.94999999999999" customHeight="1" thickBot="1" x14ac:dyDescent="0.3">
      <c r="A26" s="97" t="s">
        <v>63</v>
      </c>
      <c r="B26" s="98">
        <f>SUM(B27:B28)</f>
        <v>0</v>
      </c>
      <c r="C26" s="99">
        <f>SUM(C27:C28)</f>
        <v>0</v>
      </c>
      <c r="D26" s="98">
        <f t="shared" ref="D26:K26" si="8">SUM(D27:D28)</f>
        <v>26</v>
      </c>
      <c r="E26" s="98">
        <f t="shared" si="8"/>
        <v>157.39999999999998</v>
      </c>
      <c r="F26" s="98">
        <f t="shared" si="8"/>
        <v>0</v>
      </c>
      <c r="G26" s="98">
        <f t="shared" si="8"/>
        <v>0</v>
      </c>
      <c r="H26" s="98">
        <f t="shared" si="8"/>
        <v>82.2</v>
      </c>
      <c r="I26" s="98">
        <f t="shared" si="8"/>
        <v>3.4000000000000004</v>
      </c>
      <c r="J26" s="98">
        <f t="shared" si="8"/>
        <v>82.2</v>
      </c>
      <c r="K26" s="98">
        <f t="shared" si="8"/>
        <v>6.5</v>
      </c>
      <c r="L26" s="98">
        <f t="shared" si="1"/>
        <v>167.29999999999998</v>
      </c>
      <c r="M26" s="71"/>
      <c r="N26" s="71"/>
    </row>
    <row r="27" spans="1:21" ht="28.5" customHeight="1" thickBot="1" x14ac:dyDescent="0.3">
      <c r="A27" s="103" t="s">
        <v>12</v>
      </c>
      <c r="B27" s="104">
        <v>0</v>
      </c>
      <c r="C27" s="105">
        <f>MROUND(B27*ТАРИФЫ!$F$21,1)</f>
        <v>0</v>
      </c>
      <c r="D27" s="104">
        <v>15.3</v>
      </c>
      <c r="E27" s="104">
        <f>ROUNDUP(D27*ТАРИФЫ!$F$5/1000,1)</f>
        <v>92.6</v>
      </c>
      <c r="F27" s="104">
        <v>0</v>
      </c>
      <c r="G27" s="104">
        <f>ROUNDUP(F27*ТАРИФЫ!$F$5/1000,1)</f>
        <v>0</v>
      </c>
      <c r="H27" s="104">
        <v>41.1</v>
      </c>
      <c r="I27" s="104">
        <f>ROUNDUP(H27*ТАРИФЫ!$F$10/1000,1)</f>
        <v>1.7000000000000002</v>
      </c>
      <c r="J27" s="104">
        <v>41.1</v>
      </c>
      <c r="K27" s="104">
        <f>ROUND(J27*ТАРИФЫ!$F$15/1000,1)</f>
        <v>3.2</v>
      </c>
      <c r="L27" s="98">
        <f t="shared" si="1"/>
        <v>97.5</v>
      </c>
      <c r="M27" s="71" t="s">
        <v>108</v>
      </c>
      <c r="N27" s="73">
        <f t="shared" ref="N27:N31" si="9">H27-J27</f>
        <v>0</v>
      </c>
    </row>
    <row r="28" spans="1:21" ht="28.5" customHeight="1" thickBot="1" x14ac:dyDescent="0.3">
      <c r="A28" s="103" t="s">
        <v>13</v>
      </c>
      <c r="B28" s="104">
        <v>0</v>
      </c>
      <c r="C28" s="105">
        <f>MROUND(B28*ТАРИФЫ!$G$21,1)</f>
        <v>0</v>
      </c>
      <c r="D28" s="104">
        <v>10.7</v>
      </c>
      <c r="E28" s="104">
        <f>ROUNDUP(D28*ТАРИФЫ!$G$5/1000,1)</f>
        <v>64.8</v>
      </c>
      <c r="F28" s="104">
        <v>0</v>
      </c>
      <c r="G28" s="104">
        <f>ROUNDUP(F28*ТАРИФЫ!$G$5/1000,1)</f>
        <v>0</v>
      </c>
      <c r="H28" s="104">
        <v>41.1</v>
      </c>
      <c r="I28" s="104">
        <f>ROUND(H28*ТАРИФЫ!$G$10/1000,1)</f>
        <v>1.7</v>
      </c>
      <c r="J28" s="104">
        <v>41.1</v>
      </c>
      <c r="K28" s="104">
        <f>ROUND(J28*ТАРИФЫ!$G$15/1000,1)</f>
        <v>3.3</v>
      </c>
      <c r="L28" s="98">
        <f t="shared" si="1"/>
        <v>69.8</v>
      </c>
      <c r="M28" s="71" t="s">
        <v>108</v>
      </c>
      <c r="N28" s="73">
        <f t="shared" si="9"/>
        <v>0</v>
      </c>
    </row>
    <row r="29" spans="1:21" ht="89.25" customHeight="1" thickBot="1" x14ac:dyDescent="0.3">
      <c r="A29" s="97" t="s">
        <v>51</v>
      </c>
      <c r="B29" s="98">
        <f>SUM(B30:B31)</f>
        <v>271.29999999999995</v>
      </c>
      <c r="C29" s="99">
        <f>SUM(C30:C31)</f>
        <v>1604.7</v>
      </c>
      <c r="D29" s="98">
        <f t="shared" ref="D29:K29" si="10">SUM(D30:D31)</f>
        <v>1091.48</v>
      </c>
      <c r="E29" s="98">
        <f t="shared" si="10"/>
        <v>7592.1</v>
      </c>
      <c r="F29" s="98">
        <f t="shared" si="10"/>
        <v>27.33</v>
      </c>
      <c r="G29" s="98">
        <f t="shared" si="10"/>
        <v>169.8</v>
      </c>
      <c r="H29" s="98">
        <f t="shared" si="10"/>
        <v>2535.0100000000002</v>
      </c>
      <c r="I29" s="98">
        <f t="shared" si="10"/>
        <v>112.8</v>
      </c>
      <c r="J29" s="98">
        <f t="shared" si="10"/>
        <v>2954.88</v>
      </c>
      <c r="K29" s="98">
        <f t="shared" si="10"/>
        <v>234.39999999999998</v>
      </c>
      <c r="L29" s="98">
        <f t="shared" si="1"/>
        <v>9713.7999999999993</v>
      </c>
      <c r="M29" s="71"/>
      <c r="N29" s="71"/>
      <c r="T29" s="23"/>
    </row>
    <row r="30" spans="1:21" ht="28.5" customHeight="1" thickBot="1" x14ac:dyDescent="0.3">
      <c r="A30" s="103" t="s">
        <v>12</v>
      </c>
      <c r="B30" s="104">
        <f>SUM(B34+B37+B40+B43+B46+B49+B52+B55+B58+B61+B64+B67)</f>
        <v>140.69999999999999</v>
      </c>
      <c r="C30" s="104">
        <f t="shared" ref="C30:K30" si="11">SUM(C34+C37+C40+C43+C46+C49+C52+C55+C58+C61+C64+C67)</f>
        <v>810.80000000000007</v>
      </c>
      <c r="D30" s="104">
        <f t="shared" si="11"/>
        <v>637.13</v>
      </c>
      <c r="E30" s="104">
        <f t="shared" si="11"/>
        <v>4435.3</v>
      </c>
      <c r="F30" s="104">
        <f t="shared" si="11"/>
        <v>12.500000000000002</v>
      </c>
      <c r="G30" s="104">
        <f t="shared" si="11"/>
        <v>78.2</v>
      </c>
      <c r="H30" s="104">
        <f t="shared" si="11"/>
        <v>1085.5900000000004</v>
      </c>
      <c r="I30" s="104">
        <f t="shared" si="11"/>
        <v>48.399999999999991</v>
      </c>
      <c r="J30" s="104">
        <f t="shared" si="11"/>
        <v>1292.9000000000003</v>
      </c>
      <c r="K30" s="104">
        <f t="shared" si="11"/>
        <v>100.89999999999999</v>
      </c>
      <c r="L30" s="98">
        <f t="shared" si="1"/>
        <v>5473.5999999999995</v>
      </c>
      <c r="M30" s="71"/>
      <c r="N30" s="73">
        <f t="shared" si="9"/>
        <v>-207.30999999999995</v>
      </c>
      <c r="U30" s="23"/>
    </row>
    <row r="31" spans="1:21" ht="28.5" customHeight="1" thickBot="1" x14ac:dyDescent="0.3">
      <c r="A31" s="103" t="s">
        <v>13</v>
      </c>
      <c r="B31" s="104">
        <f>SUM(B35+B38+B41+B44+B47+B50+B53+B56+B59+B62+B65+B68)</f>
        <v>130.6</v>
      </c>
      <c r="C31" s="104">
        <f t="shared" ref="C31:K31" si="12">SUM(C35+C38+C41+C44+C47+C50+C53+C56+C59+C62+C65+C68)</f>
        <v>793.9</v>
      </c>
      <c r="D31" s="104">
        <f t="shared" si="12"/>
        <v>454.34999999999997</v>
      </c>
      <c r="E31" s="104">
        <f t="shared" si="12"/>
        <v>3156.8</v>
      </c>
      <c r="F31" s="104">
        <f t="shared" si="12"/>
        <v>14.829999999999998</v>
      </c>
      <c r="G31" s="104">
        <f t="shared" si="12"/>
        <v>91.6</v>
      </c>
      <c r="H31" s="104">
        <f t="shared" si="12"/>
        <v>1449.42</v>
      </c>
      <c r="I31" s="104">
        <f t="shared" si="12"/>
        <v>64.400000000000006</v>
      </c>
      <c r="J31" s="104">
        <f t="shared" si="12"/>
        <v>1661.98</v>
      </c>
      <c r="K31" s="104">
        <f t="shared" si="12"/>
        <v>133.5</v>
      </c>
      <c r="L31" s="98">
        <f t="shared" si="1"/>
        <v>4240.2</v>
      </c>
      <c r="M31" s="74"/>
      <c r="N31" s="73">
        <f t="shared" si="9"/>
        <v>-212.55999999999995</v>
      </c>
    </row>
    <row r="32" spans="1:21" ht="18" customHeight="1" thickBot="1" x14ac:dyDescent="0.3">
      <c r="A32" s="100" t="s">
        <v>19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71"/>
      <c r="N32" s="71"/>
    </row>
    <row r="33" spans="1:15" ht="75" customHeight="1" thickBot="1" x14ac:dyDescent="0.3">
      <c r="A33" s="97" t="s">
        <v>56</v>
      </c>
      <c r="B33" s="98">
        <f>SUM(B34:B35)</f>
        <v>102.6</v>
      </c>
      <c r="C33" s="99">
        <f>SUM(C34:C35)</f>
        <v>607.80000000000007</v>
      </c>
      <c r="D33" s="98">
        <f t="shared" ref="D33:K33" si="13">SUM(D34:D35)</f>
        <v>410</v>
      </c>
      <c r="E33" s="98">
        <f t="shared" si="13"/>
        <v>2480.2999999999997</v>
      </c>
      <c r="F33" s="98">
        <f t="shared" si="13"/>
        <v>13.5</v>
      </c>
      <c r="G33" s="98">
        <f t="shared" si="13"/>
        <v>81.7</v>
      </c>
      <c r="H33" s="98">
        <f t="shared" si="13"/>
        <v>1109.3</v>
      </c>
      <c r="I33" s="98">
        <f t="shared" si="13"/>
        <v>45.7</v>
      </c>
      <c r="J33" s="98">
        <f t="shared" si="13"/>
        <v>1500</v>
      </c>
      <c r="K33" s="98">
        <f t="shared" si="13"/>
        <v>118.6</v>
      </c>
      <c r="L33" s="98">
        <f>SUM(C33,E33,G33,I33,K33)</f>
        <v>3334.0999999999995</v>
      </c>
      <c r="M33" s="71"/>
      <c r="N33" s="71"/>
    </row>
    <row r="34" spans="1:15" ht="20.100000000000001" customHeight="1" thickBot="1" x14ac:dyDescent="0.3">
      <c r="A34" s="103" t="s">
        <v>12</v>
      </c>
      <c r="B34" s="104">
        <v>49.6</v>
      </c>
      <c r="C34" s="105">
        <f>ROUNDUP(B34*ТАРИФЫ!$F$21,1)</f>
        <v>285.70000000000005</v>
      </c>
      <c r="D34" s="104">
        <v>232.4</v>
      </c>
      <c r="E34" s="104">
        <f>ROUNDUP(D34*ТАРИФЫ!$F$5/1000,1)</f>
        <v>1405.8999999999999</v>
      </c>
      <c r="F34" s="104">
        <v>5.4</v>
      </c>
      <c r="G34" s="104">
        <f>ROUNDUP(F34*ТАРИФЫ!$F$5/1000,1)</f>
        <v>32.700000000000003</v>
      </c>
      <c r="H34" s="104">
        <v>552.5</v>
      </c>
      <c r="I34" s="104">
        <f>ROUNDUP(H34*ТАРИФЫ!$F$10/1000,1)</f>
        <v>22.3</v>
      </c>
      <c r="J34" s="104">
        <v>756.5</v>
      </c>
      <c r="K34" s="104">
        <f>ROUND(J34*ТАРИФЫ!$F$15/1000,1)</f>
        <v>58.8</v>
      </c>
      <c r="L34" s="98">
        <f>SUM(C34,E34,G34,I34,K34)</f>
        <v>1805.3999999999999</v>
      </c>
      <c r="M34" s="71" t="s">
        <v>108</v>
      </c>
      <c r="N34" s="73">
        <f t="shared" ref="N34:N35" si="14">H34-J34</f>
        <v>-204</v>
      </c>
    </row>
    <row r="35" spans="1:15" ht="20.100000000000001" customHeight="1" thickBot="1" x14ac:dyDescent="0.3">
      <c r="A35" s="103" t="s">
        <v>13</v>
      </c>
      <c r="B35" s="104">
        <v>53</v>
      </c>
      <c r="C35" s="105">
        <f>ROUNDUP(B35*ТАРИФЫ!$G$21,1)</f>
        <v>322.10000000000002</v>
      </c>
      <c r="D35" s="104">
        <v>177.6</v>
      </c>
      <c r="E35" s="104">
        <f>ROUNDUP(D35*ТАРИФЫ!$G$5/1000,1)</f>
        <v>1074.3999999999999</v>
      </c>
      <c r="F35" s="104">
        <v>8.1</v>
      </c>
      <c r="G35" s="104">
        <f>ROUNDUP(F35*ТАРИФЫ!$G$5/1000,1)</f>
        <v>49</v>
      </c>
      <c r="H35" s="104">
        <v>556.79999999999995</v>
      </c>
      <c r="I35" s="104">
        <f>ROUND(H35*ТАРИФЫ!$G$10/1000,1)</f>
        <v>23.4</v>
      </c>
      <c r="J35" s="104">
        <v>743.5</v>
      </c>
      <c r="K35" s="104">
        <f>ROUND(J35*ТАРИФЫ!$G$15/1000,1)</f>
        <v>59.8</v>
      </c>
      <c r="L35" s="98">
        <f>SUM(C35,E35,G35,I35,K35)</f>
        <v>1528.7</v>
      </c>
      <c r="M35" s="71" t="s">
        <v>108</v>
      </c>
      <c r="N35" s="73">
        <f t="shared" si="14"/>
        <v>-186.70000000000005</v>
      </c>
    </row>
    <row r="36" spans="1:15" ht="45" customHeight="1" thickBot="1" x14ac:dyDescent="0.3">
      <c r="A36" s="97" t="s">
        <v>126</v>
      </c>
      <c r="B36" s="98">
        <f>SUM(B37:B38)</f>
        <v>0</v>
      </c>
      <c r="C36" s="99">
        <f>SUM(C37:C38)</f>
        <v>0</v>
      </c>
      <c r="D36" s="98">
        <f t="shared" ref="D36:K36" si="15">SUM(D37:D38)</f>
        <v>2.6</v>
      </c>
      <c r="E36" s="98">
        <f t="shared" si="15"/>
        <v>15.799999999999999</v>
      </c>
      <c r="F36" s="98">
        <f t="shared" si="15"/>
        <v>0.1</v>
      </c>
      <c r="G36" s="98">
        <f t="shared" si="15"/>
        <v>0.8</v>
      </c>
      <c r="H36" s="98">
        <f t="shared" si="15"/>
        <v>6.1</v>
      </c>
      <c r="I36" s="98">
        <f t="shared" si="15"/>
        <v>0.4</v>
      </c>
      <c r="J36" s="98">
        <f t="shared" si="15"/>
        <v>6.1</v>
      </c>
      <c r="K36" s="98">
        <f t="shared" si="15"/>
        <v>0.4</v>
      </c>
      <c r="L36" s="98">
        <f t="shared" ref="L36:L38" si="16">SUM(C36,E36,G36,I36,K36)</f>
        <v>17.399999999999995</v>
      </c>
      <c r="M36" s="71"/>
      <c r="N36" s="71"/>
    </row>
    <row r="37" spans="1:15" ht="20.100000000000001" customHeight="1" thickBot="1" x14ac:dyDescent="0.3">
      <c r="A37" s="103" t="s">
        <v>12</v>
      </c>
      <c r="B37" s="104">
        <v>0</v>
      </c>
      <c r="C37" s="105">
        <f>SUM(B37*ТАРИФЫ!F43)</f>
        <v>0</v>
      </c>
      <c r="D37" s="104">
        <v>1.5</v>
      </c>
      <c r="E37" s="104">
        <f>ROUNDUP(D37*ТАРИФЫ!$F$5/1000,1)</f>
        <v>9.1</v>
      </c>
      <c r="F37" s="104">
        <v>0.05</v>
      </c>
      <c r="G37" s="104">
        <f>ROUNDUP(F37*ТАРИФЫ!$F$5/1000,1)</f>
        <v>0.4</v>
      </c>
      <c r="H37" s="104">
        <v>3.1</v>
      </c>
      <c r="I37" s="104">
        <f>ROUNDUP(H37*ТАРИФЫ!$F$10/1000,1)</f>
        <v>0.2</v>
      </c>
      <c r="J37" s="104">
        <v>3.1</v>
      </c>
      <c r="K37" s="104">
        <f>ROUND(J37*ТАРИФЫ!$F$15/1000,1)</f>
        <v>0.2</v>
      </c>
      <c r="L37" s="98">
        <f t="shared" si="16"/>
        <v>9.8999999999999986</v>
      </c>
      <c r="M37" s="71" t="s">
        <v>108</v>
      </c>
      <c r="N37" s="73">
        <f t="shared" ref="N37:N38" si="17">H37-J37</f>
        <v>0</v>
      </c>
    </row>
    <row r="38" spans="1:15" ht="20.100000000000001" customHeight="1" thickBot="1" x14ac:dyDescent="0.3">
      <c r="A38" s="103" t="s">
        <v>13</v>
      </c>
      <c r="B38" s="104">
        <v>0</v>
      </c>
      <c r="C38" s="105">
        <f>SUM(B38*ТАРИФЫ!G43)</f>
        <v>0</v>
      </c>
      <c r="D38" s="104">
        <v>1.1000000000000001</v>
      </c>
      <c r="E38" s="104">
        <f>ROUNDUP(D38*ТАРИФЫ!$G$5/1000,1)</f>
        <v>6.6999999999999993</v>
      </c>
      <c r="F38" s="104">
        <v>0.05</v>
      </c>
      <c r="G38" s="104">
        <f>ROUNDUP(F38*ТАРИФЫ!$G$5/1000,1)</f>
        <v>0.4</v>
      </c>
      <c r="H38" s="104">
        <v>3</v>
      </c>
      <c r="I38" s="104">
        <f>ROUNDUP(H38*ТАРИФЫ!$G$10/1000,1)</f>
        <v>0.2</v>
      </c>
      <c r="J38" s="104">
        <v>3</v>
      </c>
      <c r="K38" s="104">
        <f>ROUND(J38*ТАРИФЫ!$G$15/1000,1)</f>
        <v>0.2</v>
      </c>
      <c r="L38" s="98">
        <f t="shared" si="16"/>
        <v>7.5</v>
      </c>
      <c r="M38" s="71" t="s">
        <v>108</v>
      </c>
      <c r="N38" s="73">
        <f t="shared" si="17"/>
        <v>0</v>
      </c>
    </row>
    <row r="39" spans="1:15" ht="40.5" customHeight="1" thickBot="1" x14ac:dyDescent="0.3">
      <c r="A39" s="97" t="s">
        <v>127</v>
      </c>
      <c r="B39" s="98">
        <f>SUM(B40:B41)</f>
        <v>0</v>
      </c>
      <c r="C39" s="99">
        <f>SUM(C40:C41)</f>
        <v>0</v>
      </c>
      <c r="D39" s="98">
        <f t="shared" ref="D39:K39" si="18">SUM(D40:D41)</f>
        <v>5.5</v>
      </c>
      <c r="E39" s="98">
        <f t="shared" si="18"/>
        <v>33.400000000000006</v>
      </c>
      <c r="F39" s="98">
        <f t="shared" si="18"/>
        <v>0.18</v>
      </c>
      <c r="G39" s="98">
        <f t="shared" si="18"/>
        <v>1.2</v>
      </c>
      <c r="H39" s="98">
        <f t="shared" si="18"/>
        <v>6</v>
      </c>
      <c r="I39" s="98">
        <f t="shared" si="18"/>
        <v>0.30000000000000004</v>
      </c>
      <c r="J39" s="98">
        <f t="shared" si="18"/>
        <v>6</v>
      </c>
      <c r="K39" s="98">
        <f t="shared" si="18"/>
        <v>0.4</v>
      </c>
      <c r="L39" s="98">
        <f>SUM(C39,E39,G39,I39,K39)</f>
        <v>35.300000000000004</v>
      </c>
      <c r="M39" s="71"/>
      <c r="N39" s="73"/>
    </row>
    <row r="40" spans="1:15" ht="20.100000000000001" customHeight="1" thickBot="1" x14ac:dyDescent="0.3">
      <c r="A40" s="103" t="s">
        <v>12</v>
      </c>
      <c r="B40" s="104">
        <v>0</v>
      </c>
      <c r="C40" s="105">
        <f>SUM(B40*ТАРИФЫ!F21)</f>
        <v>0</v>
      </c>
      <c r="D40" s="104">
        <v>3.2</v>
      </c>
      <c r="E40" s="104">
        <f>ROUNDUP(D40*ТАРИФЫ!$F$5/1000,1)</f>
        <v>19.400000000000002</v>
      </c>
      <c r="F40" s="104">
        <v>0.09</v>
      </c>
      <c r="G40" s="104">
        <f>ROUNDUP(F40*ТАРИФЫ!$F$5/1000,1)</f>
        <v>0.6</v>
      </c>
      <c r="H40" s="104">
        <v>3</v>
      </c>
      <c r="I40" s="104">
        <f>ROUNDUP(H40*ТАРИФЫ!$F$10/1000,1)</f>
        <v>0.2</v>
      </c>
      <c r="J40" s="104">
        <v>3</v>
      </c>
      <c r="K40" s="104">
        <f>ROUND(J40*ТАРИФЫ!$F$15/1000,1)</f>
        <v>0.2</v>
      </c>
      <c r="L40" s="98">
        <f>SUM(C40,E40,G40,I40,K40)</f>
        <v>20.400000000000002</v>
      </c>
      <c r="M40" s="71"/>
      <c r="N40" s="73"/>
    </row>
    <row r="41" spans="1:15" ht="20.100000000000001" customHeight="1" thickBot="1" x14ac:dyDescent="0.3">
      <c r="A41" s="103" t="s">
        <v>13</v>
      </c>
      <c r="B41" s="104">
        <v>0</v>
      </c>
      <c r="C41" s="105">
        <f>SUM(B41*ТАРИФЫ!G21)</f>
        <v>0</v>
      </c>
      <c r="D41" s="104">
        <v>2.2999999999999998</v>
      </c>
      <c r="E41" s="104">
        <f>ROUNDUP(D41*ТАРИФЫ!$G$5/1000,1)</f>
        <v>14</v>
      </c>
      <c r="F41" s="104">
        <v>0.09</v>
      </c>
      <c r="G41" s="104">
        <f>ROUNDUP(F41*ТАРИФЫ!$G$5/1000,1)</f>
        <v>0.6</v>
      </c>
      <c r="H41" s="104">
        <v>3</v>
      </c>
      <c r="I41" s="104">
        <f>ROUND(H41*ТАРИФЫ!$G$10/1000,1)</f>
        <v>0.1</v>
      </c>
      <c r="J41" s="104">
        <v>3</v>
      </c>
      <c r="K41" s="104">
        <f>ROUND(J41*ТАРИФЫ!$G$15/1000,1)</f>
        <v>0.2</v>
      </c>
      <c r="L41" s="98">
        <f>SUM(C41,E41,G41,I41,K41)</f>
        <v>14.899999999999999</v>
      </c>
      <c r="M41" s="71"/>
      <c r="N41" s="73"/>
    </row>
    <row r="42" spans="1:15" ht="45" customHeight="1" thickBot="1" x14ac:dyDescent="0.3">
      <c r="A42" s="97" t="s">
        <v>64</v>
      </c>
      <c r="B42" s="98">
        <f>SUM(B43:B44)</f>
        <v>1.2</v>
      </c>
      <c r="C42" s="99">
        <f>SUM(C43:C44)</f>
        <v>7.2</v>
      </c>
      <c r="D42" s="98">
        <f t="shared" ref="D42:K42" si="19">SUM(D43:D44)</f>
        <v>66.599999999999994</v>
      </c>
      <c r="E42" s="98">
        <f t="shared" si="19"/>
        <v>403</v>
      </c>
      <c r="F42" s="98">
        <f t="shared" si="19"/>
        <v>1.2999999999999998</v>
      </c>
      <c r="G42" s="98">
        <f t="shared" si="19"/>
        <v>8</v>
      </c>
      <c r="H42" s="98">
        <f t="shared" si="19"/>
        <v>69.900000000000006</v>
      </c>
      <c r="I42" s="98">
        <f t="shared" si="19"/>
        <v>2.9</v>
      </c>
      <c r="J42" s="98">
        <f t="shared" si="19"/>
        <v>69.900000000000006</v>
      </c>
      <c r="K42" s="98">
        <f t="shared" si="19"/>
        <v>5.5</v>
      </c>
      <c r="L42" s="98">
        <f t="shared" si="1"/>
        <v>426.59999999999997</v>
      </c>
      <c r="M42" s="71"/>
      <c r="N42" s="71"/>
    </row>
    <row r="43" spans="1:15" ht="20.100000000000001" customHeight="1" thickBot="1" x14ac:dyDescent="0.3">
      <c r="A43" s="103" t="s">
        <v>12</v>
      </c>
      <c r="B43" s="104">
        <v>0.6</v>
      </c>
      <c r="C43" s="105">
        <f>ROUNDUP(B43*ТАРИФЫ!$F$21,1)</f>
        <v>3.5</v>
      </c>
      <c r="D43" s="104">
        <v>39.200000000000003</v>
      </c>
      <c r="E43" s="104">
        <f>ROUNDUP(D43*ТАРИФЫ!$F$5/1000,1)</f>
        <v>237.2</v>
      </c>
      <c r="F43" s="104">
        <v>0.7</v>
      </c>
      <c r="G43" s="104">
        <f>ROUNDUP(F43*ТАРИФЫ!$F$5/1000,1)</f>
        <v>4.3</v>
      </c>
      <c r="H43" s="104">
        <v>35.700000000000003</v>
      </c>
      <c r="I43" s="104">
        <f>ROUNDUP(H43*ТАРИФЫ!$F$10/1000,1)</f>
        <v>1.5</v>
      </c>
      <c r="J43" s="104">
        <v>35.700000000000003</v>
      </c>
      <c r="K43" s="104">
        <f>ROUND(J43*ТАРИФЫ!$F$15/1000,1)</f>
        <v>2.8</v>
      </c>
      <c r="L43" s="98">
        <f t="shared" si="1"/>
        <v>249.3</v>
      </c>
      <c r="M43" s="71" t="s">
        <v>108</v>
      </c>
      <c r="N43" s="73">
        <f t="shared" ref="N43:N53" si="20">H43-J43</f>
        <v>0</v>
      </c>
    </row>
    <row r="44" spans="1:15" ht="20.100000000000001" customHeight="1" thickBot="1" x14ac:dyDescent="0.3">
      <c r="A44" s="103" t="s">
        <v>13</v>
      </c>
      <c r="B44" s="104">
        <v>0.6</v>
      </c>
      <c r="C44" s="105">
        <f>ROUNDUP(B44*ТАРИФЫ!$G$21,1)</f>
        <v>3.7</v>
      </c>
      <c r="D44" s="104">
        <v>27.4</v>
      </c>
      <c r="E44" s="104">
        <f>ROUNDUP(D44*ТАРИФЫ!$G$5/1000,1)</f>
        <v>165.79999999999998</v>
      </c>
      <c r="F44" s="104">
        <v>0.6</v>
      </c>
      <c r="G44" s="104">
        <f>ROUNDUP(F44*ТАРИФЫ!$G$5/1000,1)</f>
        <v>3.7</v>
      </c>
      <c r="H44" s="104">
        <v>34.200000000000003</v>
      </c>
      <c r="I44" s="104">
        <f>ROUND(H44*ТАРИФЫ!$G$10/1000,1)</f>
        <v>1.4</v>
      </c>
      <c r="J44" s="104">
        <v>34.200000000000003</v>
      </c>
      <c r="K44" s="104">
        <f>ROUND(J44*ТАРИФЫ!$G$15/1000,1)</f>
        <v>2.7</v>
      </c>
      <c r="L44" s="98">
        <f t="shared" si="1"/>
        <v>177.29999999999995</v>
      </c>
      <c r="M44" s="71" t="s">
        <v>108</v>
      </c>
      <c r="N44" s="73">
        <f t="shared" si="20"/>
        <v>0</v>
      </c>
    </row>
    <row r="45" spans="1:15" ht="45" customHeight="1" thickBot="1" x14ac:dyDescent="0.3">
      <c r="A45" s="97" t="s">
        <v>65</v>
      </c>
      <c r="B45" s="98">
        <f t="shared" ref="B45:K45" si="21">SUM(B46:B47)</f>
        <v>5.7</v>
      </c>
      <c r="C45" s="99">
        <f t="shared" si="21"/>
        <v>33.9</v>
      </c>
      <c r="D45" s="98">
        <f t="shared" si="21"/>
        <v>107.2</v>
      </c>
      <c r="E45" s="98">
        <f t="shared" si="21"/>
        <v>1253.5</v>
      </c>
      <c r="F45" s="98">
        <f t="shared" si="21"/>
        <v>0</v>
      </c>
      <c r="G45" s="98">
        <f t="shared" si="21"/>
        <v>0</v>
      </c>
      <c r="H45" s="98">
        <f t="shared" si="21"/>
        <v>72.2</v>
      </c>
      <c r="I45" s="98">
        <f t="shared" si="21"/>
        <v>5.4</v>
      </c>
      <c r="J45" s="98">
        <f t="shared" si="21"/>
        <v>72.2</v>
      </c>
      <c r="K45" s="98">
        <f t="shared" si="21"/>
        <v>8.3999999999999986</v>
      </c>
      <c r="L45" s="98">
        <f t="shared" si="1"/>
        <v>1301.2000000000003</v>
      </c>
      <c r="M45" s="71"/>
      <c r="N45" s="71"/>
    </row>
    <row r="46" spans="1:15" ht="20.100000000000001" customHeight="1" thickBot="1" x14ac:dyDescent="0.3">
      <c r="A46" s="103" t="s">
        <v>12</v>
      </c>
      <c r="B46" s="104">
        <v>2.7</v>
      </c>
      <c r="C46" s="105">
        <f>ROUNDUP(B46*ТАРИФЫ!$F$24,1)</f>
        <v>15.6</v>
      </c>
      <c r="D46" s="104">
        <v>65</v>
      </c>
      <c r="E46" s="104">
        <f>ROUNDUP(D46*ТАРИФЫ!$F$8/1000,1)</f>
        <v>751.30000000000007</v>
      </c>
      <c r="F46" s="104">
        <v>0</v>
      </c>
      <c r="G46" s="105">
        <f>MROUND(F46*ТАРИФЫ!$F$8/1000,1)</f>
        <v>0</v>
      </c>
      <c r="H46" s="104">
        <v>45.9</v>
      </c>
      <c r="I46" s="104">
        <f>ROUNDUP(H46*ТАРИФЫ!$F$13/1000,1)</f>
        <v>3.4</v>
      </c>
      <c r="J46" s="104">
        <v>45.9</v>
      </c>
      <c r="K46" s="104">
        <f>ROUNDUP(J46*ТАРИФЫ!$F$19/1000,1)</f>
        <v>5.1999999999999993</v>
      </c>
      <c r="L46" s="98">
        <f t="shared" si="1"/>
        <v>775.50000000000011</v>
      </c>
      <c r="M46" s="71" t="s">
        <v>110</v>
      </c>
      <c r="N46" s="73">
        <f t="shared" si="20"/>
        <v>0</v>
      </c>
      <c r="O46" s="21"/>
    </row>
    <row r="47" spans="1:15" ht="20.100000000000001" customHeight="1" thickBot="1" x14ac:dyDescent="0.3">
      <c r="A47" s="103" t="s">
        <v>13</v>
      </c>
      <c r="B47" s="104">
        <v>3</v>
      </c>
      <c r="C47" s="105">
        <f>ROUNDUP(B47*ТАРИФЫ!$G$24,1)</f>
        <v>18.3</v>
      </c>
      <c r="D47" s="104">
        <v>42.2</v>
      </c>
      <c r="E47" s="104">
        <f>ROUNDUP(D47*ТАРИФЫ!$G$8/1000,1)</f>
        <v>502.20000000000005</v>
      </c>
      <c r="F47" s="104">
        <v>0</v>
      </c>
      <c r="G47" s="105">
        <f>MROUND(F47*ТАРИФЫ!$G$8/1000,1)</f>
        <v>0</v>
      </c>
      <c r="H47" s="104">
        <v>26.3</v>
      </c>
      <c r="I47" s="104">
        <f>ROUNDUP(H47*ТАРИФЫ!$G$13/1000,1)</f>
        <v>2</v>
      </c>
      <c r="J47" s="104">
        <f>H47</f>
        <v>26.3</v>
      </c>
      <c r="K47" s="104">
        <f>ROUNDUP(J47*ТАРИФЫ!$G$19/1000,1)</f>
        <v>3.2</v>
      </c>
      <c r="L47" s="98">
        <f t="shared" si="1"/>
        <v>525.70000000000005</v>
      </c>
      <c r="M47" s="71" t="s">
        <v>110</v>
      </c>
      <c r="N47" s="73">
        <f t="shared" si="20"/>
        <v>0</v>
      </c>
    </row>
    <row r="48" spans="1:15" ht="45" customHeight="1" thickBot="1" x14ac:dyDescent="0.3">
      <c r="A48" s="97" t="s">
        <v>66</v>
      </c>
      <c r="B48" s="98">
        <f>SUM(B49:B50)</f>
        <v>7.1</v>
      </c>
      <c r="C48" s="99">
        <f>SUM(C49:C50)</f>
        <v>41.7</v>
      </c>
      <c r="D48" s="98">
        <f t="shared" ref="D48:K48" si="22">SUM(D49:D50)</f>
        <v>16.68</v>
      </c>
      <c r="E48" s="98">
        <f t="shared" si="22"/>
        <v>229.2</v>
      </c>
      <c r="F48" s="98">
        <f t="shared" si="22"/>
        <v>0.45</v>
      </c>
      <c r="G48" s="98">
        <f t="shared" si="22"/>
        <v>6.3000000000000007</v>
      </c>
      <c r="H48" s="98">
        <f t="shared" si="22"/>
        <v>20.93</v>
      </c>
      <c r="I48" s="98">
        <f t="shared" si="22"/>
        <v>3.7</v>
      </c>
      <c r="J48" s="98">
        <f t="shared" si="22"/>
        <v>0</v>
      </c>
      <c r="K48" s="98">
        <f t="shared" si="22"/>
        <v>0</v>
      </c>
      <c r="L48" s="98">
        <f t="shared" si="1"/>
        <v>280.89999999999998</v>
      </c>
      <c r="M48" s="71"/>
      <c r="N48" s="71"/>
    </row>
    <row r="49" spans="1:14" ht="20.100000000000001" customHeight="1" thickBot="1" x14ac:dyDescent="0.3">
      <c r="A49" s="103" t="s">
        <v>12</v>
      </c>
      <c r="B49" s="104">
        <v>4.5999999999999996</v>
      </c>
      <c r="C49" s="105">
        <f>ROUNDUP(B49*ТАРИФЫ!$F$20,1)</f>
        <v>26.5</v>
      </c>
      <c r="D49" s="104">
        <v>9.5299999999999994</v>
      </c>
      <c r="E49" s="104">
        <f>ROUNDUP(D49*ТАРИФЫ!$F$4/1000,1)</f>
        <v>132.9</v>
      </c>
      <c r="F49" s="104">
        <v>0.26</v>
      </c>
      <c r="G49" s="104">
        <f>ROUNDUP(F49*ТАРИФЫ!$F$4/1000,1)</f>
        <v>3.7</v>
      </c>
      <c r="H49" s="104">
        <v>10.69</v>
      </c>
      <c r="I49" s="104">
        <f>ROUND(H49*ТАРИФЫ!$F$9/1000,1)</f>
        <v>1.8</v>
      </c>
      <c r="J49" s="104">
        <v>0</v>
      </c>
      <c r="K49" s="105">
        <f>MROUND(J49*ТАРИФЫ!$F$14/1000,1)</f>
        <v>0</v>
      </c>
      <c r="L49" s="98">
        <f t="shared" si="1"/>
        <v>164.9</v>
      </c>
      <c r="M49" s="71" t="s">
        <v>109</v>
      </c>
      <c r="N49" s="73">
        <f t="shared" si="20"/>
        <v>10.69</v>
      </c>
    </row>
    <row r="50" spans="1:14" ht="20.100000000000001" customHeight="1" thickBot="1" x14ac:dyDescent="0.3">
      <c r="A50" s="103" t="s">
        <v>13</v>
      </c>
      <c r="B50" s="104">
        <v>2.5</v>
      </c>
      <c r="C50" s="105">
        <f>ROUNDUP(B50*ТАРИФЫ!$G$20,1)</f>
        <v>15.2</v>
      </c>
      <c r="D50" s="104">
        <v>7.15</v>
      </c>
      <c r="E50" s="104">
        <f>ROUNDUP(D50*ТАРИФЫ!$G$4/1000,1)</f>
        <v>96.3</v>
      </c>
      <c r="F50" s="104">
        <v>0.19</v>
      </c>
      <c r="G50" s="104">
        <f>ROUNDUP(F50*ТАРИФЫ!$G$4/1000,1)</f>
        <v>2.6</v>
      </c>
      <c r="H50" s="104">
        <v>10.24</v>
      </c>
      <c r="I50" s="104">
        <f>ROUND(H50*ТАРИФЫ!$G$9/1000,1)</f>
        <v>1.9</v>
      </c>
      <c r="J50" s="104">
        <v>0</v>
      </c>
      <c r="K50" s="105">
        <f>MROUND(J50*ТАРИФЫ!$G$14/1000,1)</f>
        <v>0</v>
      </c>
      <c r="L50" s="98">
        <f t="shared" si="1"/>
        <v>116</v>
      </c>
      <c r="M50" s="71" t="s">
        <v>109</v>
      </c>
      <c r="N50" s="73">
        <f t="shared" si="20"/>
        <v>10.24</v>
      </c>
    </row>
    <row r="51" spans="1:14" ht="45" customHeight="1" thickBot="1" x14ac:dyDescent="0.3">
      <c r="A51" s="97" t="s">
        <v>67</v>
      </c>
      <c r="B51" s="98">
        <f t="shared" ref="B51:K51" si="23">SUM(B52:B53)</f>
        <v>2.1</v>
      </c>
      <c r="C51" s="99">
        <f t="shared" si="23"/>
        <v>12.599999999999998</v>
      </c>
      <c r="D51" s="98">
        <f t="shared" si="23"/>
        <v>41.9</v>
      </c>
      <c r="E51" s="98">
        <f t="shared" si="23"/>
        <v>508.90000000000003</v>
      </c>
      <c r="F51" s="98">
        <f t="shared" si="23"/>
        <v>0</v>
      </c>
      <c r="G51" s="98">
        <f t="shared" si="23"/>
        <v>0</v>
      </c>
      <c r="H51" s="98">
        <f t="shared" si="23"/>
        <v>53.1</v>
      </c>
      <c r="I51" s="98">
        <f t="shared" si="23"/>
        <v>4.2</v>
      </c>
      <c r="J51" s="98">
        <f t="shared" si="23"/>
        <v>53.1</v>
      </c>
      <c r="K51" s="98">
        <f t="shared" si="23"/>
        <v>2</v>
      </c>
      <c r="L51" s="98">
        <f t="shared" si="1"/>
        <v>527.70000000000005</v>
      </c>
      <c r="M51" s="71"/>
      <c r="N51" s="71"/>
    </row>
    <row r="52" spans="1:14" ht="20.100000000000001" customHeight="1" thickBot="1" x14ac:dyDescent="0.3">
      <c r="A52" s="103" t="s">
        <v>12</v>
      </c>
      <c r="B52" s="104">
        <v>0.8</v>
      </c>
      <c r="C52" s="105">
        <f>ROUNDUP(B52*ТАРИФЫ!$F$22,1)</f>
        <v>4.6999999999999993</v>
      </c>
      <c r="D52" s="104">
        <v>24.2</v>
      </c>
      <c r="E52" s="104">
        <f>ROUNDUP(D52*ТАРИФЫ!$F$6/1000,1)</f>
        <v>293.90000000000003</v>
      </c>
      <c r="F52" s="104">
        <v>0</v>
      </c>
      <c r="G52" s="104">
        <f>ROUNDUP(F52*ТАРИФЫ!$F$6/1000,1)</f>
        <v>0</v>
      </c>
      <c r="H52" s="104">
        <v>27.1</v>
      </c>
      <c r="I52" s="104">
        <f>ROUNDUP(H52*ТАРИФЫ!$F$11/1000,1)</f>
        <v>2.1</v>
      </c>
      <c r="J52" s="104">
        <f>H52</f>
        <v>27.1</v>
      </c>
      <c r="K52" s="104">
        <f>ROUND(J52*ТАРИФЫ!$F$16/1000,1)</f>
        <v>1</v>
      </c>
      <c r="L52" s="98">
        <f t="shared" si="1"/>
        <v>301.70000000000005</v>
      </c>
      <c r="M52" s="71" t="s">
        <v>111</v>
      </c>
      <c r="N52" s="73">
        <f t="shared" si="20"/>
        <v>0</v>
      </c>
    </row>
    <row r="53" spans="1:14" ht="20.100000000000001" customHeight="1" thickBot="1" x14ac:dyDescent="0.3">
      <c r="A53" s="103" t="s">
        <v>13</v>
      </c>
      <c r="B53" s="104">
        <v>1.3</v>
      </c>
      <c r="C53" s="105">
        <f>ROUNDUP(B53*ТАРИФЫ!$G$22,1)</f>
        <v>7.8999999999999995</v>
      </c>
      <c r="D53" s="104">
        <v>17.7</v>
      </c>
      <c r="E53" s="104">
        <f>ROUNDUP(D53*ТАРИФЫ!$G$6/1000,1)</f>
        <v>215</v>
      </c>
      <c r="F53" s="104">
        <v>0</v>
      </c>
      <c r="G53" s="104">
        <f>ROUNDUP(F53*ТАРИФЫ!$G$6/1000,1)</f>
        <v>0</v>
      </c>
      <c r="H53" s="104">
        <v>26</v>
      </c>
      <c r="I53" s="104">
        <f>ROUNDUP(H53*ТАРИФЫ!$G$11/1000,1)</f>
        <v>2.1</v>
      </c>
      <c r="J53" s="104">
        <f>H53</f>
        <v>26</v>
      </c>
      <c r="K53" s="104">
        <f>ROUND(J53*ТАРИФЫ!$G$16/1000,1)</f>
        <v>1</v>
      </c>
      <c r="L53" s="98">
        <f t="shared" si="1"/>
        <v>226</v>
      </c>
      <c r="M53" s="71" t="s">
        <v>111</v>
      </c>
      <c r="N53" s="73">
        <f t="shared" si="20"/>
        <v>0</v>
      </c>
    </row>
    <row r="54" spans="1:14" ht="45" customHeight="1" thickBot="1" x14ac:dyDescent="0.3">
      <c r="A54" s="97" t="s">
        <v>54</v>
      </c>
      <c r="B54" s="98">
        <f t="shared" ref="B54:K54" si="24">SUM(B55:B56)</f>
        <v>4</v>
      </c>
      <c r="C54" s="99">
        <f t="shared" si="24"/>
        <v>23.799999999999997</v>
      </c>
      <c r="D54" s="98">
        <f t="shared" si="24"/>
        <v>62.8</v>
      </c>
      <c r="E54" s="98">
        <f t="shared" si="24"/>
        <v>380</v>
      </c>
      <c r="F54" s="98">
        <f t="shared" si="24"/>
        <v>0.4</v>
      </c>
      <c r="G54" s="98">
        <f t="shared" si="24"/>
        <v>2.6</v>
      </c>
      <c r="H54" s="98">
        <f t="shared" si="24"/>
        <v>15.6</v>
      </c>
      <c r="I54" s="98">
        <f t="shared" si="24"/>
        <v>0.7</v>
      </c>
      <c r="J54" s="98">
        <f t="shared" si="24"/>
        <v>15.6</v>
      </c>
      <c r="K54" s="98">
        <f t="shared" si="24"/>
        <v>1.2</v>
      </c>
      <c r="L54" s="98">
        <f t="shared" si="1"/>
        <v>408.3</v>
      </c>
      <c r="M54" s="71"/>
      <c r="N54" s="71"/>
    </row>
    <row r="55" spans="1:14" ht="20.100000000000001" customHeight="1" thickBot="1" x14ac:dyDescent="0.3">
      <c r="A55" s="103" t="s">
        <v>12</v>
      </c>
      <c r="B55" s="104">
        <v>1.7</v>
      </c>
      <c r="C55" s="105">
        <f>ROUNDUP(B55*ТАРИФЫ!$F$21,1)</f>
        <v>9.7999999999999989</v>
      </c>
      <c r="D55" s="104">
        <v>38.299999999999997</v>
      </c>
      <c r="E55" s="104">
        <f>ROUNDUP(D55*ТАРИФЫ!$F$5/1000,1)</f>
        <v>231.7</v>
      </c>
      <c r="F55" s="104">
        <v>0.2</v>
      </c>
      <c r="G55" s="104">
        <f>ROUNDUP(F55*ТАРИФЫ!$F$5/1000,1)</f>
        <v>1.3</v>
      </c>
      <c r="H55" s="104">
        <v>8.1999999999999993</v>
      </c>
      <c r="I55" s="104">
        <f>ROUNDUP(H55*ТАРИФЫ!$F$10/1000,1)</f>
        <v>0.4</v>
      </c>
      <c r="J55" s="104">
        <v>8.1999999999999993</v>
      </c>
      <c r="K55" s="104">
        <f>ROUND(J55*ТАРИФЫ!$F$15/1000,1)</f>
        <v>0.6</v>
      </c>
      <c r="L55" s="98">
        <f t="shared" si="1"/>
        <v>243.8</v>
      </c>
      <c r="M55" s="71" t="s">
        <v>108</v>
      </c>
      <c r="N55" s="73">
        <f t="shared" ref="N55:N56" si="25">H55-J55</f>
        <v>0</v>
      </c>
    </row>
    <row r="56" spans="1:14" ht="20.100000000000001" customHeight="1" thickBot="1" x14ac:dyDescent="0.3">
      <c r="A56" s="103" t="s">
        <v>13</v>
      </c>
      <c r="B56" s="104">
        <v>2.2999999999999998</v>
      </c>
      <c r="C56" s="105">
        <f>ROUNDUP(B56*ТАРИФЫ!$G$21,1)</f>
        <v>14</v>
      </c>
      <c r="D56" s="104">
        <v>24.5</v>
      </c>
      <c r="E56" s="104">
        <f>ROUNDUP(D56*ТАРИФЫ!$G$5/1000,1)</f>
        <v>148.29999999999998</v>
      </c>
      <c r="F56" s="104">
        <v>0.2</v>
      </c>
      <c r="G56" s="104">
        <f>ROUNDUP(F56*ТАРИФЫ!$G$5/1000,1)</f>
        <v>1.3</v>
      </c>
      <c r="H56" s="104">
        <v>7.4</v>
      </c>
      <c r="I56" s="104">
        <f>ROUND(H56*ТАРИФЫ!$G$10/1000,1)</f>
        <v>0.3</v>
      </c>
      <c r="J56" s="104">
        <v>7.4</v>
      </c>
      <c r="K56" s="104">
        <f>ROUND(J56*ТАРИФЫ!$G$15/1000,1)</f>
        <v>0.6</v>
      </c>
      <c r="L56" s="98">
        <f t="shared" si="1"/>
        <v>164.5</v>
      </c>
      <c r="M56" s="71" t="s">
        <v>108</v>
      </c>
      <c r="N56" s="73">
        <f t="shared" si="25"/>
        <v>0</v>
      </c>
    </row>
    <row r="57" spans="1:14" ht="45" customHeight="1" thickBot="1" x14ac:dyDescent="0.3">
      <c r="A57" s="97" t="s">
        <v>53</v>
      </c>
      <c r="B57" s="98">
        <f>SUM(B58:B59)</f>
        <v>31.3</v>
      </c>
      <c r="C57" s="99">
        <f>SUM(C58:C59)</f>
        <v>184.89999999999998</v>
      </c>
      <c r="D57" s="98">
        <f t="shared" ref="D57:K57" si="26">SUM(D58:D59)</f>
        <v>62</v>
      </c>
      <c r="E57" s="98">
        <f t="shared" si="26"/>
        <v>375.1</v>
      </c>
      <c r="F57" s="98">
        <f t="shared" si="26"/>
        <v>10.5</v>
      </c>
      <c r="G57" s="98">
        <f t="shared" si="26"/>
        <v>63.600000000000009</v>
      </c>
      <c r="H57" s="98">
        <f t="shared" si="26"/>
        <v>260.3</v>
      </c>
      <c r="I57" s="98">
        <f t="shared" si="26"/>
        <v>10.7</v>
      </c>
      <c r="J57" s="98">
        <f t="shared" si="26"/>
        <v>310.39999999999998</v>
      </c>
      <c r="K57" s="98">
        <f t="shared" si="26"/>
        <v>24.5</v>
      </c>
      <c r="L57" s="98">
        <f t="shared" ref="L57:L68" si="27">SUM(C57,E57,G57,I57,K57)</f>
        <v>658.80000000000007</v>
      </c>
      <c r="M57" s="71"/>
      <c r="N57" s="71"/>
    </row>
    <row r="58" spans="1:14" ht="20.100000000000001" customHeight="1" thickBot="1" x14ac:dyDescent="0.3">
      <c r="A58" s="103" t="s">
        <v>12</v>
      </c>
      <c r="B58" s="104">
        <v>17</v>
      </c>
      <c r="C58" s="105">
        <f>ROUNDUP(B58*ТАРИФЫ!$F$21,1)</f>
        <v>98</v>
      </c>
      <c r="D58" s="104">
        <v>36.299999999999997</v>
      </c>
      <c r="E58" s="104">
        <f>ROUNDUP(D58*ТАРИФЫ!$F$5/1000,1)</f>
        <v>219.6</v>
      </c>
      <c r="F58" s="104">
        <v>5.4</v>
      </c>
      <c r="G58" s="104">
        <f>ROUNDUP(F58*ТАРИФЫ!$F$5/1000,1)</f>
        <v>32.700000000000003</v>
      </c>
      <c r="H58" s="104">
        <v>144.1</v>
      </c>
      <c r="I58" s="104">
        <f>ROUNDUP(H58*ТАРИФЫ!$F$10/1000,1)</f>
        <v>5.8</v>
      </c>
      <c r="J58" s="104">
        <v>158.1</v>
      </c>
      <c r="K58" s="104">
        <f>ROUND(J58*ТАРИФЫ!$F$15/1000,1)</f>
        <v>12.3</v>
      </c>
      <c r="L58" s="98">
        <f t="shared" si="27"/>
        <v>368.40000000000003</v>
      </c>
      <c r="M58" s="71" t="s">
        <v>108</v>
      </c>
      <c r="N58" s="73">
        <f>H58-J58</f>
        <v>-14</v>
      </c>
    </row>
    <row r="59" spans="1:14" ht="20.100000000000001" customHeight="1" thickBot="1" x14ac:dyDescent="0.3">
      <c r="A59" s="103" t="s">
        <v>13</v>
      </c>
      <c r="B59" s="104">
        <v>14.3</v>
      </c>
      <c r="C59" s="105">
        <f>ROUNDUP(B59*ТАРИФЫ!$G$21,1)</f>
        <v>86.899999999999991</v>
      </c>
      <c r="D59" s="104">
        <v>25.7</v>
      </c>
      <c r="E59" s="104">
        <f>ROUNDUP(D59*ТАРИФЫ!$G$5/1000,1)</f>
        <v>155.5</v>
      </c>
      <c r="F59" s="104">
        <v>5.0999999999999996</v>
      </c>
      <c r="G59" s="104">
        <f>ROUNDUP(F59*ТАРИФЫ!$G$5/1000,1)</f>
        <v>30.900000000000002</v>
      </c>
      <c r="H59" s="104">
        <v>116.2</v>
      </c>
      <c r="I59" s="104">
        <f>ROUND(H59*ТАРИФЫ!$G$10/1000,1)</f>
        <v>4.9000000000000004</v>
      </c>
      <c r="J59" s="104">
        <v>152.30000000000001</v>
      </c>
      <c r="K59" s="104">
        <f>ROUND(J59*ТАРИФЫ!$G$15/1000,1)</f>
        <v>12.2</v>
      </c>
      <c r="L59" s="98">
        <f t="shared" si="27"/>
        <v>290.39999999999992</v>
      </c>
      <c r="M59" s="71" t="s">
        <v>108</v>
      </c>
      <c r="N59" s="73">
        <f>H59-J59</f>
        <v>-36.100000000000009</v>
      </c>
    </row>
    <row r="60" spans="1:14" ht="45" customHeight="1" thickBot="1" x14ac:dyDescent="0.3">
      <c r="A60" s="97" t="s">
        <v>55</v>
      </c>
      <c r="B60" s="98">
        <f>SUM(B61:B62)</f>
        <v>15</v>
      </c>
      <c r="C60" s="99">
        <f>SUM(C61:C62)</f>
        <v>88.9</v>
      </c>
      <c r="D60" s="98">
        <f t="shared" ref="D60:K60" si="28">SUM(D61:D62)</f>
        <v>173.5</v>
      </c>
      <c r="E60" s="98">
        <f t="shared" si="28"/>
        <v>1049.6000000000001</v>
      </c>
      <c r="F60" s="98">
        <f t="shared" si="28"/>
        <v>0.9</v>
      </c>
      <c r="G60" s="98">
        <f t="shared" si="28"/>
        <v>5.6</v>
      </c>
      <c r="H60" s="98">
        <f t="shared" si="28"/>
        <v>72.800000000000011</v>
      </c>
      <c r="I60" s="98">
        <f t="shared" si="28"/>
        <v>3</v>
      </c>
      <c r="J60" s="98">
        <f t="shared" si="28"/>
        <v>72.800000000000011</v>
      </c>
      <c r="K60" s="98">
        <f t="shared" si="28"/>
        <v>5.7</v>
      </c>
      <c r="L60" s="98">
        <f t="shared" si="27"/>
        <v>1152.8000000000002</v>
      </c>
      <c r="M60" s="71"/>
      <c r="N60" s="71"/>
    </row>
    <row r="61" spans="1:14" ht="20.100000000000001" customHeight="1" thickBot="1" x14ac:dyDescent="0.3">
      <c r="A61" s="103" t="s">
        <v>12</v>
      </c>
      <c r="B61" s="104">
        <v>7.4</v>
      </c>
      <c r="C61" s="105">
        <f>ROUNDUP(B61*ТАРИФЫ!$F$21,1)</f>
        <v>42.7</v>
      </c>
      <c r="D61" s="104">
        <v>102.7</v>
      </c>
      <c r="E61" s="104">
        <f>ROUNDUP(D61*ТАРИФЫ!$F$5/1000,1)</f>
        <v>621.30000000000007</v>
      </c>
      <c r="F61" s="104">
        <v>0.4</v>
      </c>
      <c r="G61" s="104">
        <f>ROUNDUP(F61*ТАРИФЫ!$F$5/1000,1)</f>
        <v>2.5</v>
      </c>
      <c r="H61" s="104">
        <v>45.7</v>
      </c>
      <c r="I61" s="104">
        <f>ROUNDUP(H61*ТАРИФЫ!$F$10/1000,1)</f>
        <v>1.9000000000000001</v>
      </c>
      <c r="J61" s="104">
        <v>45.7</v>
      </c>
      <c r="K61" s="104">
        <f>ROUND(J61*ТАРИФЫ!$F$15/1000,1)</f>
        <v>3.5</v>
      </c>
      <c r="L61" s="98">
        <f t="shared" si="27"/>
        <v>671.90000000000009</v>
      </c>
      <c r="M61" s="71" t="s">
        <v>108</v>
      </c>
      <c r="N61" s="73">
        <f t="shared" ref="N61:N62" si="29">H61-J61</f>
        <v>0</v>
      </c>
    </row>
    <row r="62" spans="1:14" ht="20.100000000000001" customHeight="1" thickBot="1" x14ac:dyDescent="0.3">
      <c r="A62" s="103" t="s">
        <v>13</v>
      </c>
      <c r="B62" s="104">
        <v>7.6</v>
      </c>
      <c r="C62" s="105">
        <f>ROUNDUP(B62*ТАРИФЫ!$G$21,1)</f>
        <v>46.2</v>
      </c>
      <c r="D62" s="104">
        <v>70.8</v>
      </c>
      <c r="E62" s="104">
        <f>ROUNDUP(D62*ТАРИФЫ!$G$5/1000,1)</f>
        <v>428.3</v>
      </c>
      <c r="F62" s="104">
        <v>0.5</v>
      </c>
      <c r="G62" s="104">
        <f>ROUNDUP(F62*ТАРИФЫ!$G$5/1000,1)</f>
        <v>3.1</v>
      </c>
      <c r="H62" s="104">
        <v>27.1</v>
      </c>
      <c r="I62" s="104">
        <f>ROUND(H62*ТАРИФЫ!$G$10/1000,1)</f>
        <v>1.1000000000000001</v>
      </c>
      <c r="J62" s="104">
        <v>27.1</v>
      </c>
      <c r="K62" s="104">
        <f>ROUND(J62*ТАРИФЫ!$G$15/1000,1)</f>
        <v>2.2000000000000002</v>
      </c>
      <c r="L62" s="98">
        <f t="shared" si="27"/>
        <v>480.90000000000003</v>
      </c>
      <c r="M62" s="71" t="s">
        <v>108</v>
      </c>
      <c r="N62" s="73">
        <f t="shared" si="29"/>
        <v>0</v>
      </c>
    </row>
    <row r="63" spans="1:14" ht="111" customHeight="1" thickBot="1" x14ac:dyDescent="0.3">
      <c r="A63" s="97" t="s">
        <v>75</v>
      </c>
      <c r="B63" s="98">
        <f>SUM(B64:B65)</f>
        <v>102.3</v>
      </c>
      <c r="C63" s="99">
        <f>SUM(C64:C65)</f>
        <v>603.90000000000009</v>
      </c>
      <c r="D63" s="98">
        <f t="shared" ref="D63:K63" si="30">SUM(D64:D65)</f>
        <v>142.69999999999999</v>
      </c>
      <c r="E63" s="98">
        <f t="shared" si="30"/>
        <v>863.3</v>
      </c>
      <c r="F63" s="98">
        <f t="shared" si="30"/>
        <v>0</v>
      </c>
      <c r="G63" s="98">
        <f t="shared" si="30"/>
        <v>0</v>
      </c>
      <c r="H63" s="98">
        <f t="shared" si="30"/>
        <v>3.4</v>
      </c>
      <c r="I63" s="98">
        <f t="shared" si="30"/>
        <v>0.2</v>
      </c>
      <c r="J63" s="98">
        <f t="shared" si="30"/>
        <v>3.4</v>
      </c>
      <c r="K63" s="98">
        <f t="shared" si="30"/>
        <v>0.2</v>
      </c>
      <c r="L63" s="98">
        <f t="shared" si="27"/>
        <v>1467.6000000000001</v>
      </c>
      <c r="M63" s="71"/>
      <c r="N63" s="71"/>
    </row>
    <row r="64" spans="1:14" ht="20.100000000000001" customHeight="1" thickBot="1" x14ac:dyDescent="0.3">
      <c r="A64" s="103" t="s">
        <v>12</v>
      </c>
      <c r="B64" s="104">
        <v>56.3</v>
      </c>
      <c r="C64" s="105">
        <f>ROUNDUP(B64*ТАРИФЫ!$F$21,1)</f>
        <v>324.3</v>
      </c>
      <c r="D64" s="104">
        <v>84.8</v>
      </c>
      <c r="E64" s="104">
        <f>ROUNDUP(D64*ТАРИФЫ!$F$5/1000,1)</f>
        <v>513</v>
      </c>
      <c r="F64" s="104">
        <v>0</v>
      </c>
      <c r="G64" s="104">
        <f>ROUNDUP(F64*ТАРИФЫ!$F$5/1000,1)</f>
        <v>0</v>
      </c>
      <c r="H64" s="104">
        <v>1.7</v>
      </c>
      <c r="I64" s="104">
        <f>ROUNDUP(H64*ТАРИФЫ!$F$10/1000,1)</f>
        <v>0.1</v>
      </c>
      <c r="J64" s="104">
        <v>1.7</v>
      </c>
      <c r="K64" s="104">
        <f>ROUND(J64*ТАРИФЫ!$F$15/1000,1)</f>
        <v>0.1</v>
      </c>
      <c r="L64" s="98">
        <f t="shared" si="27"/>
        <v>837.5</v>
      </c>
      <c r="M64" s="71" t="s">
        <v>108</v>
      </c>
      <c r="N64" s="73">
        <f t="shared" ref="N64:N65" si="31">H64-J64</f>
        <v>0</v>
      </c>
    </row>
    <row r="65" spans="1:14" ht="20.100000000000001" customHeight="1" thickBot="1" x14ac:dyDescent="0.3">
      <c r="A65" s="103" t="s">
        <v>13</v>
      </c>
      <c r="B65" s="104">
        <v>46</v>
      </c>
      <c r="C65" s="105">
        <f>ROUNDUP(B65*ТАРИФЫ!$G$21,1)</f>
        <v>279.60000000000002</v>
      </c>
      <c r="D65" s="104">
        <v>57.9</v>
      </c>
      <c r="E65" s="104">
        <f>ROUNDUP(D65*ТАРИФЫ!$G$5/1000,1)</f>
        <v>350.3</v>
      </c>
      <c r="F65" s="104">
        <v>0</v>
      </c>
      <c r="G65" s="104">
        <f>ROUNDUP(F65*ТАРИФЫ!$G$5/1000,1)</f>
        <v>0</v>
      </c>
      <c r="H65" s="104">
        <v>1.7</v>
      </c>
      <c r="I65" s="104">
        <f>ROUND(H65*ТАРИФЫ!$G$10/1000,1)</f>
        <v>0.1</v>
      </c>
      <c r="J65" s="104">
        <v>1.7</v>
      </c>
      <c r="K65" s="104">
        <f>ROUND(J65*ТАРИФЫ!$G$15/1000,1)</f>
        <v>0.1</v>
      </c>
      <c r="L65" s="98">
        <f t="shared" si="27"/>
        <v>630.10000000000014</v>
      </c>
      <c r="M65" s="71" t="s">
        <v>108</v>
      </c>
      <c r="N65" s="73">
        <f t="shared" si="31"/>
        <v>0</v>
      </c>
    </row>
    <row r="66" spans="1:14" ht="66.75" customHeight="1" thickBot="1" x14ac:dyDescent="0.3">
      <c r="A66" s="97" t="s">
        <v>128</v>
      </c>
      <c r="B66" s="98">
        <f>SUM(B67:B68)</f>
        <v>0</v>
      </c>
      <c r="C66" s="99">
        <f>SUM(C67:C68)</f>
        <v>0</v>
      </c>
      <c r="D66" s="98">
        <f t="shared" ref="D66:K66" si="32">SUM(D67:D68)</f>
        <v>0</v>
      </c>
      <c r="E66" s="98">
        <f t="shared" si="32"/>
        <v>0</v>
      </c>
      <c r="F66" s="98">
        <f t="shared" si="32"/>
        <v>0</v>
      </c>
      <c r="G66" s="98">
        <f t="shared" si="32"/>
        <v>0</v>
      </c>
      <c r="H66" s="98">
        <f t="shared" si="32"/>
        <v>845.38</v>
      </c>
      <c r="I66" s="98">
        <f t="shared" si="32"/>
        <v>35.599999999999994</v>
      </c>
      <c r="J66" s="98">
        <f t="shared" si="32"/>
        <v>845.38</v>
      </c>
      <c r="K66" s="98">
        <f t="shared" si="32"/>
        <v>67.5</v>
      </c>
      <c r="L66" s="98">
        <f t="shared" si="27"/>
        <v>103.1</v>
      </c>
      <c r="M66" s="71"/>
      <c r="N66" s="71"/>
    </row>
    <row r="67" spans="1:14" ht="20.100000000000001" customHeight="1" thickBot="1" x14ac:dyDescent="0.3">
      <c r="A67" s="103" t="s">
        <v>12</v>
      </c>
      <c r="B67" s="104">
        <v>0</v>
      </c>
      <c r="C67" s="105">
        <f>ROUNDUP(B67*ТАРИФЫ!$F$21,1)</f>
        <v>0</v>
      </c>
      <c r="D67" s="104">
        <v>0</v>
      </c>
      <c r="E67" s="104">
        <f>ROUNDUP(D67*ТАРИФЫ!$F$5/1000,1)</f>
        <v>0</v>
      </c>
      <c r="F67" s="104">
        <v>0</v>
      </c>
      <c r="G67" s="104">
        <f>ROUNDUP(F67*ТАРИФЫ!$F$5/1000,1)</f>
        <v>0</v>
      </c>
      <c r="H67" s="104">
        <f>H71+H74+H77+H80+H83</f>
        <v>207.9</v>
      </c>
      <c r="I67" s="104">
        <f t="shared" ref="I67:K67" si="33">I71+I74+I77+I80+I83</f>
        <v>8.6999999999999993</v>
      </c>
      <c r="J67" s="104">
        <f t="shared" si="33"/>
        <v>207.9</v>
      </c>
      <c r="K67" s="104">
        <f t="shared" si="33"/>
        <v>16.2</v>
      </c>
      <c r="L67" s="98">
        <f t="shared" si="27"/>
        <v>24.9</v>
      </c>
      <c r="M67" s="71" t="s">
        <v>108</v>
      </c>
      <c r="N67" s="73">
        <f t="shared" ref="N67:N68" si="34">H67-J67</f>
        <v>0</v>
      </c>
    </row>
    <row r="68" spans="1:14" ht="20.100000000000001" customHeight="1" thickBot="1" x14ac:dyDescent="0.3">
      <c r="A68" s="103" t="s">
        <v>13</v>
      </c>
      <c r="B68" s="104">
        <v>0</v>
      </c>
      <c r="C68" s="105">
        <f>ROUNDUP(B68*ТАРИФЫ!$G$21,1)</f>
        <v>0</v>
      </c>
      <c r="D68" s="104">
        <v>0</v>
      </c>
      <c r="E68" s="104">
        <f>ROUNDUP(D68*ТАРИФЫ!$G$5/1000,1)</f>
        <v>0</v>
      </c>
      <c r="F68" s="104">
        <v>0</v>
      </c>
      <c r="G68" s="104">
        <f>ROUNDUP(F68*ТАРИФЫ!$G$5/1000,1)</f>
        <v>0</v>
      </c>
      <c r="H68" s="104">
        <f>H72+H75+H78+H81+H84</f>
        <v>637.48</v>
      </c>
      <c r="I68" s="104">
        <f t="shared" ref="I68:K68" si="35">I72+I75+I78+I81+I84</f>
        <v>26.9</v>
      </c>
      <c r="J68" s="104">
        <f t="shared" si="35"/>
        <v>637.48</v>
      </c>
      <c r="K68" s="104">
        <f t="shared" si="35"/>
        <v>51.3</v>
      </c>
      <c r="L68" s="98">
        <f t="shared" si="27"/>
        <v>78.199999999999989</v>
      </c>
      <c r="M68" s="71" t="s">
        <v>108</v>
      </c>
      <c r="N68" s="73">
        <f t="shared" si="34"/>
        <v>0</v>
      </c>
    </row>
    <row r="69" spans="1:14" ht="18" customHeight="1" thickBot="1" x14ac:dyDescent="0.3">
      <c r="A69" s="100" t="s">
        <v>19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2"/>
      <c r="M69" s="71"/>
      <c r="N69" s="71"/>
    </row>
    <row r="70" spans="1:14" ht="30.75" customHeight="1" thickBot="1" x14ac:dyDescent="0.3">
      <c r="A70" s="103" t="s">
        <v>130</v>
      </c>
      <c r="B70" s="104">
        <f>SUM(B71:B72)</f>
        <v>0</v>
      </c>
      <c r="C70" s="104">
        <f t="shared" ref="C70:K70" si="36">SUM(C71:C72)</f>
        <v>0</v>
      </c>
      <c r="D70" s="104">
        <f t="shared" si="36"/>
        <v>0</v>
      </c>
      <c r="E70" s="104">
        <f t="shared" si="36"/>
        <v>0</v>
      </c>
      <c r="F70" s="104">
        <f t="shared" si="36"/>
        <v>0</v>
      </c>
      <c r="G70" s="104">
        <f t="shared" si="36"/>
        <v>0</v>
      </c>
      <c r="H70" s="104">
        <f t="shared" si="36"/>
        <v>93.94</v>
      </c>
      <c r="I70" s="104">
        <f t="shared" si="36"/>
        <v>4</v>
      </c>
      <c r="J70" s="104">
        <f t="shared" si="36"/>
        <v>93.94</v>
      </c>
      <c r="K70" s="104">
        <f t="shared" si="36"/>
        <v>7.5</v>
      </c>
      <c r="L70" s="98">
        <f t="shared" ref="L70" si="37">SUM(C70,E70,G70,I70,K70)</f>
        <v>11.5</v>
      </c>
      <c r="M70" s="71"/>
      <c r="N70" s="73"/>
    </row>
    <row r="71" spans="1:14" ht="20.100000000000001" customHeight="1" thickBot="1" x14ac:dyDescent="0.3">
      <c r="A71" s="103" t="s">
        <v>12</v>
      </c>
      <c r="B71" s="104">
        <v>0</v>
      </c>
      <c r="C71" s="105">
        <f>ROUNDUP(B71*ТАРИФЫ!$F$21,1)</f>
        <v>0</v>
      </c>
      <c r="D71" s="104">
        <v>0</v>
      </c>
      <c r="E71" s="104">
        <f>ROUNDUP(D71*ТАРИФЫ!$F$5/1000,1)</f>
        <v>0</v>
      </c>
      <c r="F71" s="104">
        <v>0</v>
      </c>
      <c r="G71" s="104">
        <f>ROUNDUP(F71*ТАРИФЫ!$F$5/1000,1)</f>
        <v>0</v>
      </c>
      <c r="H71" s="104">
        <v>23.1</v>
      </c>
      <c r="I71" s="104">
        <f>ROUNDUP(H71*ТАРИФЫ!$F$10/1000,1)</f>
        <v>1</v>
      </c>
      <c r="J71" s="104">
        <f>H71</f>
        <v>23.1</v>
      </c>
      <c r="K71" s="104">
        <f>ROUND(J71*ТАРИФЫ!$F$15/1000,1)</f>
        <v>1.8</v>
      </c>
      <c r="L71" s="98">
        <f t="shared" ref="L71:L73" si="38">SUM(C71,E71,G71,I71,K71)</f>
        <v>2.8</v>
      </c>
      <c r="M71" s="71" t="s">
        <v>108</v>
      </c>
      <c r="N71" s="73">
        <f t="shared" ref="N71:N72" si="39">H71-J71</f>
        <v>0</v>
      </c>
    </row>
    <row r="72" spans="1:14" ht="20.100000000000001" customHeight="1" thickBot="1" x14ac:dyDescent="0.3">
      <c r="A72" s="103" t="s">
        <v>13</v>
      </c>
      <c r="B72" s="104">
        <v>0</v>
      </c>
      <c r="C72" s="105">
        <f>ROUNDUP(B72*ТАРИФЫ!$G$21,1)</f>
        <v>0</v>
      </c>
      <c r="D72" s="104">
        <v>0</v>
      </c>
      <c r="E72" s="104">
        <f>ROUNDUP(D72*ТАРИФЫ!$G$5/1000,1)</f>
        <v>0</v>
      </c>
      <c r="F72" s="104">
        <v>0</v>
      </c>
      <c r="G72" s="104">
        <f>ROUNDUP(F72*ТАРИФЫ!$G$5/1000,1)</f>
        <v>0</v>
      </c>
      <c r="H72" s="104">
        <v>70.84</v>
      </c>
      <c r="I72" s="104">
        <f>ROUND(H72*ТАРИФЫ!$G$10/1000,1)</f>
        <v>3</v>
      </c>
      <c r="J72" s="104">
        <f>H72</f>
        <v>70.84</v>
      </c>
      <c r="K72" s="104">
        <f>ROUND(J72*ТАРИФЫ!$G$15/1000,1)</f>
        <v>5.7</v>
      </c>
      <c r="L72" s="98">
        <f t="shared" si="38"/>
        <v>8.6999999999999993</v>
      </c>
      <c r="M72" s="71" t="s">
        <v>108</v>
      </c>
      <c r="N72" s="73">
        <f t="shared" si="39"/>
        <v>0</v>
      </c>
    </row>
    <row r="73" spans="1:14" ht="40.5" customHeight="1" thickBot="1" x14ac:dyDescent="0.3">
      <c r="A73" s="103" t="s">
        <v>131</v>
      </c>
      <c r="B73" s="104">
        <f>SUM(B74:B75)</f>
        <v>0</v>
      </c>
      <c r="C73" s="104">
        <f t="shared" ref="C73:K73" si="40">SUM(C74:C75)</f>
        <v>0</v>
      </c>
      <c r="D73" s="104">
        <f t="shared" si="40"/>
        <v>0</v>
      </c>
      <c r="E73" s="104">
        <f t="shared" si="40"/>
        <v>0</v>
      </c>
      <c r="F73" s="104">
        <f t="shared" si="40"/>
        <v>0</v>
      </c>
      <c r="G73" s="104">
        <f t="shared" si="40"/>
        <v>0</v>
      </c>
      <c r="H73" s="104">
        <f t="shared" si="40"/>
        <v>93.94</v>
      </c>
      <c r="I73" s="104">
        <f t="shared" si="40"/>
        <v>4</v>
      </c>
      <c r="J73" s="104">
        <f t="shared" si="40"/>
        <v>93.94</v>
      </c>
      <c r="K73" s="104">
        <f t="shared" si="40"/>
        <v>7.5</v>
      </c>
      <c r="L73" s="98">
        <f t="shared" si="38"/>
        <v>11.5</v>
      </c>
      <c r="M73" s="71"/>
      <c r="N73" s="73"/>
    </row>
    <row r="74" spans="1:14" ht="20.100000000000001" customHeight="1" thickBot="1" x14ac:dyDescent="0.3">
      <c r="A74" s="103" t="s">
        <v>12</v>
      </c>
      <c r="B74" s="104">
        <v>0</v>
      </c>
      <c r="C74" s="105">
        <f>ROUNDUP(B74*ТАРИФЫ!$F$21,1)</f>
        <v>0</v>
      </c>
      <c r="D74" s="104">
        <v>0</v>
      </c>
      <c r="E74" s="104">
        <f>ROUNDUP(D74*ТАРИФЫ!$F$5/1000,1)</f>
        <v>0</v>
      </c>
      <c r="F74" s="104">
        <v>0</v>
      </c>
      <c r="G74" s="104">
        <f>ROUNDUP(F74*ТАРИФЫ!$F$5/1000,1)</f>
        <v>0</v>
      </c>
      <c r="H74" s="104">
        <v>23.1</v>
      </c>
      <c r="I74" s="104">
        <f>ROUNDUP(H74*ТАРИФЫ!$F$10/1000,1)</f>
        <v>1</v>
      </c>
      <c r="J74" s="104">
        <f>H74</f>
        <v>23.1</v>
      </c>
      <c r="K74" s="104">
        <f>ROUND(J74*ТАРИФЫ!$F$15/1000,1)</f>
        <v>1.8</v>
      </c>
      <c r="L74" s="98">
        <f t="shared" ref="L74:L76" si="41">SUM(C74,E74,G74,I74,K74)</f>
        <v>2.8</v>
      </c>
      <c r="M74" s="71" t="s">
        <v>108</v>
      </c>
      <c r="N74" s="73">
        <f t="shared" ref="N74:N75" si="42">H74-J74</f>
        <v>0</v>
      </c>
    </row>
    <row r="75" spans="1:14" ht="20.100000000000001" customHeight="1" thickBot="1" x14ac:dyDescent="0.3">
      <c r="A75" s="103" t="s">
        <v>13</v>
      </c>
      <c r="B75" s="104">
        <v>0</v>
      </c>
      <c r="C75" s="105">
        <f>ROUNDUP(B75*ТАРИФЫ!$G$21,1)</f>
        <v>0</v>
      </c>
      <c r="D75" s="104">
        <v>0</v>
      </c>
      <c r="E75" s="104">
        <f>ROUNDUP(D75*ТАРИФЫ!$G$5/1000,1)</f>
        <v>0</v>
      </c>
      <c r="F75" s="104">
        <v>0</v>
      </c>
      <c r="G75" s="104">
        <f>ROUNDUP(F75*ТАРИФЫ!$G$5/1000,1)</f>
        <v>0</v>
      </c>
      <c r="H75" s="104">
        <v>70.84</v>
      </c>
      <c r="I75" s="104">
        <f>ROUND(H75*ТАРИФЫ!$G$10/1000,1)</f>
        <v>3</v>
      </c>
      <c r="J75" s="104">
        <f>H75</f>
        <v>70.84</v>
      </c>
      <c r="K75" s="104">
        <f>ROUND(J75*ТАРИФЫ!$G$15/1000,1)</f>
        <v>5.7</v>
      </c>
      <c r="L75" s="98">
        <f t="shared" si="41"/>
        <v>8.6999999999999993</v>
      </c>
      <c r="M75" s="71" t="s">
        <v>108</v>
      </c>
      <c r="N75" s="73">
        <f t="shared" si="42"/>
        <v>0</v>
      </c>
    </row>
    <row r="76" spans="1:14" ht="40.5" customHeight="1" thickBot="1" x14ac:dyDescent="0.3">
      <c r="A76" s="103" t="s">
        <v>132</v>
      </c>
      <c r="B76" s="104">
        <f>SUM(B77:B78)</f>
        <v>0</v>
      </c>
      <c r="C76" s="104">
        <f t="shared" ref="C76:K76" si="43">SUM(C77:C78)</f>
        <v>0</v>
      </c>
      <c r="D76" s="104">
        <f t="shared" si="43"/>
        <v>0</v>
      </c>
      <c r="E76" s="104">
        <f t="shared" si="43"/>
        <v>0</v>
      </c>
      <c r="F76" s="104">
        <f t="shared" si="43"/>
        <v>0</v>
      </c>
      <c r="G76" s="104">
        <f t="shared" si="43"/>
        <v>0</v>
      </c>
      <c r="H76" s="104">
        <f t="shared" si="43"/>
        <v>93.9</v>
      </c>
      <c r="I76" s="104">
        <f t="shared" si="43"/>
        <v>4</v>
      </c>
      <c r="J76" s="104">
        <f t="shared" si="43"/>
        <v>93.9</v>
      </c>
      <c r="K76" s="104">
        <f t="shared" si="43"/>
        <v>7.5</v>
      </c>
      <c r="L76" s="98">
        <f t="shared" si="41"/>
        <v>11.5</v>
      </c>
      <c r="M76" s="71"/>
      <c r="N76" s="73"/>
    </row>
    <row r="77" spans="1:14" ht="20.100000000000001" customHeight="1" thickBot="1" x14ac:dyDescent="0.3">
      <c r="A77" s="103" t="s">
        <v>12</v>
      </c>
      <c r="B77" s="104">
        <v>0</v>
      </c>
      <c r="C77" s="105">
        <f>ROUNDUP(B77*ТАРИФЫ!$F$21,1)</f>
        <v>0</v>
      </c>
      <c r="D77" s="104">
        <v>0</v>
      </c>
      <c r="E77" s="104">
        <f>ROUNDUP(D77*ТАРИФЫ!$F$5/1000,1)</f>
        <v>0</v>
      </c>
      <c r="F77" s="104">
        <v>0</v>
      </c>
      <c r="G77" s="104">
        <f>ROUNDUP(F77*ТАРИФЫ!$F$5/1000,1)</f>
        <v>0</v>
      </c>
      <c r="H77" s="104">
        <v>23.1</v>
      </c>
      <c r="I77" s="104">
        <f>ROUNDUP(H77*ТАРИФЫ!$F$10/1000,1)</f>
        <v>1</v>
      </c>
      <c r="J77" s="104">
        <f>H77</f>
        <v>23.1</v>
      </c>
      <c r="K77" s="104">
        <f>ROUND(J77*ТАРИФЫ!$F$15/1000,1)</f>
        <v>1.8</v>
      </c>
      <c r="L77" s="98">
        <f t="shared" ref="L77:L79" si="44">SUM(C77,E77,G77,I77,K77)</f>
        <v>2.8</v>
      </c>
      <c r="M77" s="71" t="s">
        <v>108</v>
      </c>
      <c r="N77" s="73">
        <f t="shared" ref="N77:N78" si="45">H77-J77</f>
        <v>0</v>
      </c>
    </row>
    <row r="78" spans="1:14" ht="20.100000000000001" customHeight="1" thickBot="1" x14ac:dyDescent="0.3">
      <c r="A78" s="103" t="s">
        <v>13</v>
      </c>
      <c r="B78" s="104">
        <v>0</v>
      </c>
      <c r="C78" s="105">
        <f>ROUNDUP(B78*ТАРИФЫ!$G$21,1)</f>
        <v>0</v>
      </c>
      <c r="D78" s="104">
        <v>0</v>
      </c>
      <c r="E78" s="104">
        <f>ROUNDUP(D78*ТАРИФЫ!$G$5/1000,1)</f>
        <v>0</v>
      </c>
      <c r="F78" s="104">
        <v>0</v>
      </c>
      <c r="G78" s="104">
        <f>ROUNDUP(F78*ТАРИФЫ!$G$5/1000,1)</f>
        <v>0</v>
      </c>
      <c r="H78" s="104">
        <v>70.8</v>
      </c>
      <c r="I78" s="104">
        <f>ROUND(H78*ТАРИФЫ!$G$10/1000,1)</f>
        <v>3</v>
      </c>
      <c r="J78" s="104">
        <f>H78</f>
        <v>70.8</v>
      </c>
      <c r="K78" s="104">
        <f>ROUND(J78*ТАРИФЫ!$G$15/1000,1)</f>
        <v>5.7</v>
      </c>
      <c r="L78" s="98">
        <f t="shared" si="44"/>
        <v>8.6999999999999993</v>
      </c>
      <c r="M78" s="71" t="s">
        <v>108</v>
      </c>
      <c r="N78" s="73">
        <f t="shared" si="45"/>
        <v>0</v>
      </c>
    </row>
    <row r="79" spans="1:14" ht="40.5" customHeight="1" thickBot="1" x14ac:dyDescent="0.3">
      <c r="A79" s="103" t="s">
        <v>134</v>
      </c>
      <c r="B79" s="104">
        <f>SUM(B80:B81)</f>
        <v>0</v>
      </c>
      <c r="C79" s="104">
        <f t="shared" ref="C79:K79" si="46">SUM(C80:C81)</f>
        <v>0</v>
      </c>
      <c r="D79" s="104">
        <f t="shared" si="46"/>
        <v>0</v>
      </c>
      <c r="E79" s="104">
        <f t="shared" si="46"/>
        <v>0</v>
      </c>
      <c r="F79" s="104">
        <f t="shared" si="46"/>
        <v>0</v>
      </c>
      <c r="G79" s="104">
        <f t="shared" si="46"/>
        <v>0</v>
      </c>
      <c r="H79" s="104">
        <f t="shared" si="46"/>
        <v>93.9</v>
      </c>
      <c r="I79" s="104">
        <f t="shared" si="46"/>
        <v>4</v>
      </c>
      <c r="J79" s="104">
        <f t="shared" si="46"/>
        <v>93.9</v>
      </c>
      <c r="K79" s="104">
        <f t="shared" si="46"/>
        <v>7.5</v>
      </c>
      <c r="L79" s="98">
        <f t="shared" si="44"/>
        <v>11.5</v>
      </c>
      <c r="M79" s="71"/>
      <c r="N79" s="73"/>
    </row>
    <row r="80" spans="1:14" ht="20.100000000000001" customHeight="1" thickBot="1" x14ac:dyDescent="0.3">
      <c r="A80" s="103" t="s">
        <v>12</v>
      </c>
      <c r="B80" s="104">
        <v>0</v>
      </c>
      <c r="C80" s="105">
        <f>ROUNDUP(B80*ТАРИФЫ!$F$21,1)</f>
        <v>0</v>
      </c>
      <c r="D80" s="104">
        <v>0</v>
      </c>
      <c r="E80" s="104">
        <f>ROUNDUP(D80*ТАРИФЫ!$F$5/1000,1)</f>
        <v>0</v>
      </c>
      <c r="F80" s="104">
        <v>0</v>
      </c>
      <c r="G80" s="104">
        <f>ROUNDUP(F80*ТАРИФЫ!$F$5/1000,1)</f>
        <v>0</v>
      </c>
      <c r="H80" s="104">
        <v>23.1</v>
      </c>
      <c r="I80" s="104">
        <f>ROUNDUP(H80*ТАРИФЫ!$F$10/1000,1)</f>
        <v>1</v>
      </c>
      <c r="J80" s="104">
        <f>H80</f>
        <v>23.1</v>
      </c>
      <c r="K80" s="104">
        <f>ROUND(J80*ТАРИФЫ!$F$15/1000,1)</f>
        <v>1.8</v>
      </c>
      <c r="L80" s="98">
        <f t="shared" ref="L80:L82" si="47">SUM(C80,E80,G80,I80,K80)</f>
        <v>2.8</v>
      </c>
      <c r="M80" s="71" t="s">
        <v>108</v>
      </c>
      <c r="N80" s="73">
        <f t="shared" ref="N80:N81" si="48">H80-J80</f>
        <v>0</v>
      </c>
    </row>
    <row r="81" spans="1:14" ht="20.100000000000001" customHeight="1" thickBot="1" x14ac:dyDescent="0.3">
      <c r="A81" s="103" t="s">
        <v>13</v>
      </c>
      <c r="B81" s="104">
        <v>0</v>
      </c>
      <c r="C81" s="105">
        <f>ROUNDUP(B81*ТАРИФЫ!$G$21,1)</f>
        <v>0</v>
      </c>
      <c r="D81" s="104">
        <v>0</v>
      </c>
      <c r="E81" s="104">
        <f>ROUNDUP(D81*ТАРИФЫ!$G$5/1000,1)</f>
        <v>0</v>
      </c>
      <c r="F81" s="104">
        <v>0</v>
      </c>
      <c r="G81" s="104">
        <f>ROUNDUP(F81*ТАРИФЫ!$G$5/1000,1)</f>
        <v>0</v>
      </c>
      <c r="H81" s="104">
        <v>70.8</v>
      </c>
      <c r="I81" s="104">
        <f>ROUND(H81*ТАРИФЫ!$G$10/1000,1)</f>
        <v>3</v>
      </c>
      <c r="J81" s="104">
        <f>H81</f>
        <v>70.8</v>
      </c>
      <c r="K81" s="104">
        <f>ROUND(J81*ТАРИФЫ!$G$15/1000,1)</f>
        <v>5.7</v>
      </c>
      <c r="L81" s="98">
        <f t="shared" si="47"/>
        <v>8.6999999999999993</v>
      </c>
      <c r="M81" s="71" t="s">
        <v>108</v>
      </c>
      <c r="N81" s="73">
        <f t="shared" si="48"/>
        <v>0</v>
      </c>
    </row>
    <row r="82" spans="1:14" ht="40.5" customHeight="1" thickBot="1" x14ac:dyDescent="0.3">
      <c r="A82" s="103" t="s">
        <v>133</v>
      </c>
      <c r="B82" s="104">
        <f>SUM(B83:B84)</f>
        <v>0</v>
      </c>
      <c r="C82" s="104">
        <f t="shared" ref="C82:K82" si="49">SUM(C83:C84)</f>
        <v>0</v>
      </c>
      <c r="D82" s="104">
        <f t="shared" si="49"/>
        <v>0</v>
      </c>
      <c r="E82" s="104">
        <f t="shared" si="49"/>
        <v>0</v>
      </c>
      <c r="F82" s="104">
        <f t="shared" si="49"/>
        <v>0</v>
      </c>
      <c r="G82" s="104">
        <f t="shared" si="49"/>
        <v>0</v>
      </c>
      <c r="H82" s="104">
        <f t="shared" si="49"/>
        <v>469.7</v>
      </c>
      <c r="I82" s="104">
        <f t="shared" si="49"/>
        <v>19.600000000000001</v>
      </c>
      <c r="J82" s="104">
        <f t="shared" si="49"/>
        <v>469.7</v>
      </c>
      <c r="K82" s="104">
        <f t="shared" si="49"/>
        <v>37.5</v>
      </c>
      <c r="L82" s="98">
        <f t="shared" si="47"/>
        <v>57.1</v>
      </c>
      <c r="M82" s="71"/>
      <c r="N82" s="73"/>
    </row>
    <row r="83" spans="1:14" ht="20.100000000000001" customHeight="1" thickBot="1" x14ac:dyDescent="0.3">
      <c r="A83" s="103" t="s">
        <v>12</v>
      </c>
      <c r="B83" s="104">
        <v>0</v>
      </c>
      <c r="C83" s="105">
        <f>ROUNDUP(B83*ТАРИФЫ!$F$21,1)</f>
        <v>0</v>
      </c>
      <c r="D83" s="104">
        <v>0</v>
      </c>
      <c r="E83" s="104">
        <f>ROUNDUP(D83*ТАРИФЫ!$F$5/1000,1)</f>
        <v>0</v>
      </c>
      <c r="F83" s="104">
        <v>0</v>
      </c>
      <c r="G83" s="104">
        <f>ROUNDUP(F83*ТАРИФЫ!$F$5/1000,1)</f>
        <v>0</v>
      </c>
      <c r="H83" s="104">
        <v>115.5</v>
      </c>
      <c r="I83" s="104">
        <f>ROUNDUP(H83*ТАРИФЫ!$F$10/1000,1)</f>
        <v>4.6999999999999993</v>
      </c>
      <c r="J83" s="104">
        <f>H83</f>
        <v>115.5</v>
      </c>
      <c r="K83" s="104">
        <f>ROUND(J83*ТАРИФЫ!$F$15/1000,1)</f>
        <v>9</v>
      </c>
      <c r="L83" s="98">
        <f t="shared" ref="L83:L84" si="50">SUM(C83,E83,G83,I83,K83)</f>
        <v>13.7</v>
      </c>
      <c r="M83" s="71" t="s">
        <v>108</v>
      </c>
      <c r="N83" s="73">
        <f t="shared" ref="N83:N84" si="51">H83-J83</f>
        <v>0</v>
      </c>
    </row>
    <row r="84" spans="1:14" ht="20.100000000000001" customHeight="1" thickBot="1" x14ac:dyDescent="0.3">
      <c r="A84" s="103" t="s">
        <v>13</v>
      </c>
      <c r="B84" s="104">
        <v>0</v>
      </c>
      <c r="C84" s="105">
        <f>ROUNDUP(B84*ТАРИФЫ!$G$21,1)</f>
        <v>0</v>
      </c>
      <c r="D84" s="104">
        <v>0</v>
      </c>
      <c r="E84" s="104">
        <f>ROUNDUP(D84*ТАРИФЫ!$G$5/1000,1)</f>
        <v>0</v>
      </c>
      <c r="F84" s="104">
        <v>0</v>
      </c>
      <c r="G84" s="104">
        <f>ROUNDUP(F84*ТАРИФЫ!$G$5/1000,1)</f>
        <v>0</v>
      </c>
      <c r="H84" s="104">
        <v>354.2</v>
      </c>
      <c r="I84" s="104">
        <f>ROUND(H84*ТАРИФЫ!$G$10/1000,1)</f>
        <v>14.9</v>
      </c>
      <c r="J84" s="104">
        <v>354.2</v>
      </c>
      <c r="K84" s="104">
        <f>ROUND(J84*ТАРИФЫ!$G$15/1000,1)</f>
        <v>28.5</v>
      </c>
      <c r="L84" s="98">
        <f t="shared" si="50"/>
        <v>43.4</v>
      </c>
      <c r="M84" s="71" t="s">
        <v>108</v>
      </c>
      <c r="N84" s="73">
        <f t="shared" si="51"/>
        <v>0</v>
      </c>
    </row>
    <row r="85" spans="1:14" ht="45" customHeight="1" thickBot="1" x14ac:dyDescent="0.3">
      <c r="A85" s="106" t="s">
        <v>14</v>
      </c>
      <c r="B85" s="107">
        <f t="shared" ref="B85:K85" si="52">SUM(B86:B87)</f>
        <v>271.29999999999995</v>
      </c>
      <c r="C85" s="108">
        <f t="shared" si="52"/>
        <v>1604.7</v>
      </c>
      <c r="D85" s="107">
        <f t="shared" si="52"/>
        <v>1128.58</v>
      </c>
      <c r="E85" s="107">
        <f t="shared" si="52"/>
        <v>7816.9000000000005</v>
      </c>
      <c r="F85" s="107">
        <f t="shared" si="52"/>
        <v>27.729999999999997</v>
      </c>
      <c r="G85" s="107">
        <f t="shared" si="52"/>
        <v>172.60000000000002</v>
      </c>
      <c r="H85" s="107">
        <f t="shared" si="52"/>
        <v>2641.4100000000003</v>
      </c>
      <c r="I85" s="107">
        <f t="shared" si="52"/>
        <v>117.39999999999999</v>
      </c>
      <c r="J85" s="107">
        <f t="shared" si="52"/>
        <v>3061.28</v>
      </c>
      <c r="K85" s="107">
        <f t="shared" si="52"/>
        <v>242.9</v>
      </c>
      <c r="L85" s="107">
        <f t="shared" si="1"/>
        <v>9954.5</v>
      </c>
      <c r="M85" s="71"/>
      <c r="N85" s="71"/>
    </row>
    <row r="86" spans="1:14" ht="28.5" customHeight="1" thickBot="1" x14ac:dyDescent="0.3">
      <c r="A86" s="106" t="s">
        <v>12</v>
      </c>
      <c r="B86" s="107">
        <f t="shared" ref="B86" si="53">SUM(B17+B27+B30)</f>
        <v>140.69999999999999</v>
      </c>
      <c r="C86" s="107">
        <f t="shared" ref="C86:K86" si="54">SUM(C17+C27+C30)</f>
        <v>810.80000000000007</v>
      </c>
      <c r="D86" s="107">
        <f t="shared" si="54"/>
        <v>658.93</v>
      </c>
      <c r="E86" s="107">
        <f t="shared" si="54"/>
        <v>4567.3</v>
      </c>
      <c r="F86" s="107">
        <f t="shared" si="54"/>
        <v>12.700000000000001</v>
      </c>
      <c r="G86" s="107">
        <f t="shared" si="54"/>
        <v>79.600000000000009</v>
      </c>
      <c r="H86" s="107">
        <f t="shared" si="54"/>
        <v>1138.8900000000003</v>
      </c>
      <c r="I86" s="107">
        <f t="shared" si="54"/>
        <v>50.699999999999989</v>
      </c>
      <c r="J86" s="107">
        <f t="shared" si="54"/>
        <v>1346.2000000000003</v>
      </c>
      <c r="K86" s="107">
        <f t="shared" si="54"/>
        <v>105.1</v>
      </c>
      <c r="L86" s="107">
        <f t="shared" si="1"/>
        <v>5613.5000000000009</v>
      </c>
      <c r="M86" s="71"/>
      <c r="N86" s="71"/>
    </row>
    <row r="87" spans="1:14" ht="28.5" customHeight="1" thickBot="1" x14ac:dyDescent="0.3">
      <c r="A87" s="106" t="s">
        <v>13</v>
      </c>
      <c r="B87" s="107">
        <f>SUM(B18+B28+B31)</f>
        <v>130.6</v>
      </c>
      <c r="C87" s="107">
        <f t="shared" ref="C87:K87" si="55">SUM(C18+C28+C31)</f>
        <v>793.9</v>
      </c>
      <c r="D87" s="107">
        <f t="shared" si="55"/>
        <v>469.65</v>
      </c>
      <c r="E87" s="107">
        <f t="shared" si="55"/>
        <v>3249.6000000000004</v>
      </c>
      <c r="F87" s="107">
        <f t="shared" si="55"/>
        <v>15.029999999999998</v>
      </c>
      <c r="G87" s="107">
        <f t="shared" si="55"/>
        <v>93</v>
      </c>
      <c r="H87" s="107">
        <f t="shared" si="55"/>
        <v>1502.52</v>
      </c>
      <c r="I87" s="107">
        <f t="shared" si="55"/>
        <v>66.7</v>
      </c>
      <c r="J87" s="107">
        <f t="shared" si="55"/>
        <v>1715.08</v>
      </c>
      <c r="K87" s="107">
        <f t="shared" si="55"/>
        <v>137.80000000000001</v>
      </c>
      <c r="L87" s="107">
        <f t="shared" si="1"/>
        <v>4341</v>
      </c>
      <c r="M87" s="71"/>
      <c r="N87" s="71"/>
    </row>
    <row r="88" spans="1:14" ht="30" customHeight="1" thickBot="1" x14ac:dyDescent="0.3">
      <c r="A88" s="100" t="s">
        <v>15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10"/>
      <c r="M88" s="71"/>
      <c r="N88" s="71"/>
    </row>
    <row r="89" spans="1:14" ht="45" customHeight="1" thickBot="1" x14ac:dyDescent="0.3">
      <c r="A89" s="97" t="s">
        <v>113</v>
      </c>
      <c r="B89" s="98">
        <f t="shared" ref="B89:K89" si="56">SUM(B90:B91)</f>
        <v>153.80000000000001</v>
      </c>
      <c r="C89" s="99">
        <f t="shared" si="56"/>
        <v>912.7</v>
      </c>
      <c r="D89" s="98">
        <f t="shared" si="56"/>
        <v>636.40000000000009</v>
      </c>
      <c r="E89" s="98">
        <f t="shared" si="56"/>
        <v>3849.7</v>
      </c>
      <c r="F89" s="98">
        <f t="shared" si="56"/>
        <v>113</v>
      </c>
      <c r="G89" s="98">
        <f t="shared" si="56"/>
        <v>683.6</v>
      </c>
      <c r="H89" s="98">
        <f t="shared" si="56"/>
        <v>5043.3999999999996</v>
      </c>
      <c r="I89" s="98">
        <f t="shared" si="56"/>
        <v>208.2</v>
      </c>
      <c r="J89" s="98">
        <f t="shared" si="56"/>
        <v>4258.5</v>
      </c>
      <c r="K89" s="98">
        <f t="shared" si="56"/>
        <v>336.4</v>
      </c>
      <c r="L89" s="98">
        <f t="shared" ref="L89:L109" si="57">SUM(C89,E89,G89,I89,K89)</f>
        <v>5990.5999999999995</v>
      </c>
      <c r="M89" s="71"/>
      <c r="N89" s="71"/>
    </row>
    <row r="90" spans="1:14" ht="20.100000000000001" customHeight="1" thickBot="1" x14ac:dyDescent="0.3">
      <c r="A90" s="103" t="s">
        <v>12</v>
      </c>
      <c r="B90" s="105">
        <v>69.3</v>
      </c>
      <c r="C90" s="105">
        <f>ROUNDUP(B90*ТАРИФЫ!$F$21,1)</f>
        <v>399.20000000000005</v>
      </c>
      <c r="D90" s="104">
        <v>395.1</v>
      </c>
      <c r="E90" s="104">
        <f>ROUNDUP(D90*ТАРИФЫ!$F$5/1000,1)</f>
        <v>2390</v>
      </c>
      <c r="F90" s="104">
        <v>58.7</v>
      </c>
      <c r="G90" s="104">
        <f>ROUNDUP(F90*ТАРИФЫ!$F$5/1000,1)</f>
        <v>355.1</v>
      </c>
      <c r="H90" s="104">
        <v>2162.8000000000002</v>
      </c>
      <c r="I90" s="104">
        <f>ROUNDUP(H90*ТАРИФЫ!$F$10/1000,1)</f>
        <v>87.1</v>
      </c>
      <c r="J90" s="104">
        <v>2162.8000000000002</v>
      </c>
      <c r="K90" s="104">
        <f>ROUND(J90*ТАРИФЫ!$F$15/1000,1)</f>
        <v>168</v>
      </c>
      <c r="L90" s="98">
        <f t="shared" si="57"/>
        <v>3399.3999999999996</v>
      </c>
      <c r="M90" s="71" t="s">
        <v>108</v>
      </c>
      <c r="N90" s="73">
        <f t="shared" ref="N90:N91" si="58">H90-J90</f>
        <v>0</v>
      </c>
    </row>
    <row r="91" spans="1:14" ht="20.100000000000001" customHeight="1" thickBot="1" x14ac:dyDescent="0.3">
      <c r="A91" s="103" t="s">
        <v>13</v>
      </c>
      <c r="B91" s="105">
        <v>84.5</v>
      </c>
      <c r="C91" s="105">
        <f>ROUNDUP(B91*ТАРИФЫ!$G$21,1)</f>
        <v>513.5</v>
      </c>
      <c r="D91" s="104">
        <v>241.3</v>
      </c>
      <c r="E91" s="104">
        <f>ROUNDUP(D91*ТАРИФЫ!$G$5/1000,1)</f>
        <v>1459.6999999999998</v>
      </c>
      <c r="F91" s="104">
        <v>54.3</v>
      </c>
      <c r="G91" s="104">
        <f>ROUNDUP(F91*ТАРИФЫ!$G$5/1000,1)</f>
        <v>328.5</v>
      </c>
      <c r="H91" s="104">
        <v>2880.6</v>
      </c>
      <c r="I91" s="104">
        <f>ROUNDUP(H91*ТАРИФЫ!$G$10/1000,1)</f>
        <v>121.1</v>
      </c>
      <c r="J91" s="104">
        <v>2095.6999999999998</v>
      </c>
      <c r="K91" s="104">
        <f>ROUND(J91*ТАРИФЫ!$G$15/1000,1)</f>
        <v>168.4</v>
      </c>
      <c r="L91" s="98">
        <f t="shared" si="57"/>
        <v>2591.1999999999998</v>
      </c>
      <c r="M91" s="71" t="s">
        <v>108</v>
      </c>
      <c r="N91" s="73">
        <f t="shared" si="58"/>
        <v>784.90000000000009</v>
      </c>
    </row>
    <row r="92" spans="1:14" ht="45" customHeight="1" thickBot="1" x14ac:dyDescent="0.3">
      <c r="A92" s="97" t="s">
        <v>62</v>
      </c>
      <c r="B92" s="98">
        <f t="shared" ref="B92:K92" si="59">SUM(B93:B94)</f>
        <v>59.800000000000004</v>
      </c>
      <c r="C92" s="99">
        <f t="shared" si="59"/>
        <v>354.9</v>
      </c>
      <c r="D92" s="98">
        <f t="shared" si="59"/>
        <v>292.89999999999998</v>
      </c>
      <c r="E92" s="98">
        <f t="shared" si="59"/>
        <v>3423.2</v>
      </c>
      <c r="F92" s="98">
        <f t="shared" si="59"/>
        <v>72.399999999999991</v>
      </c>
      <c r="G92" s="98">
        <f t="shared" si="59"/>
        <v>839.30000000000007</v>
      </c>
      <c r="H92" s="98">
        <f t="shared" si="59"/>
        <v>3017.7</v>
      </c>
      <c r="I92" s="98">
        <f t="shared" si="59"/>
        <v>223.89999999999998</v>
      </c>
      <c r="J92" s="98">
        <f t="shared" si="59"/>
        <v>3017.7</v>
      </c>
      <c r="K92" s="98">
        <f t="shared" si="59"/>
        <v>347.6</v>
      </c>
      <c r="L92" s="98">
        <f t="shared" si="57"/>
        <v>5188.8999999999996</v>
      </c>
      <c r="M92" s="71"/>
      <c r="N92" s="71"/>
    </row>
    <row r="93" spans="1:14" ht="20.100000000000001" customHeight="1" thickBot="1" x14ac:dyDescent="0.3">
      <c r="A93" s="103" t="s">
        <v>12</v>
      </c>
      <c r="B93" s="105">
        <v>27.1</v>
      </c>
      <c r="C93" s="105">
        <f>ROUNDUP(B93*ТАРИФЫ!$F$24,1)</f>
        <v>156.1</v>
      </c>
      <c r="D93" s="104">
        <v>182.5</v>
      </c>
      <c r="E93" s="104">
        <f>ROUNDUP(D93*ТАРИФЫ!$F$8/1000,1)</f>
        <v>2109.4</v>
      </c>
      <c r="F93" s="104">
        <v>65.599999999999994</v>
      </c>
      <c r="G93" s="104">
        <f>ROUNDUP(F93*ТАРИФЫ!$F$8/1000,1)</f>
        <v>758.30000000000007</v>
      </c>
      <c r="H93" s="104">
        <v>1564.5</v>
      </c>
      <c r="I93" s="104">
        <f>ROUNDUP(H93*ТАРИФЫ!$F$13/1000,1)</f>
        <v>113.69999999999999</v>
      </c>
      <c r="J93" s="104">
        <f>H93</f>
        <v>1564.5</v>
      </c>
      <c r="K93" s="104">
        <f>ROUNDUP(J93*ТАРИФЫ!$F$19/1000,1)</f>
        <v>175.5</v>
      </c>
      <c r="L93" s="98">
        <f t="shared" si="57"/>
        <v>3313</v>
      </c>
      <c r="M93" s="71" t="s">
        <v>110</v>
      </c>
      <c r="N93" s="73">
        <f t="shared" ref="N93:N94" si="60">H93-J93</f>
        <v>0</v>
      </c>
    </row>
    <row r="94" spans="1:14" ht="20.100000000000001" customHeight="1" thickBot="1" x14ac:dyDescent="0.3">
      <c r="A94" s="103" t="s">
        <v>13</v>
      </c>
      <c r="B94" s="105">
        <v>32.700000000000003</v>
      </c>
      <c r="C94" s="105">
        <f>ROUNDUP(B94*ТАРИФЫ!$G$24,1)</f>
        <v>198.79999999999998</v>
      </c>
      <c r="D94" s="104">
        <v>110.4</v>
      </c>
      <c r="E94" s="104">
        <f>ROUNDUP(D94*ТАРИФЫ!$G$8/1000,1)</f>
        <v>1313.8</v>
      </c>
      <c r="F94" s="104">
        <v>6.8</v>
      </c>
      <c r="G94" s="104">
        <f>ROUNDUP(F94*ТАРИФЫ!$G$8/1000,1)</f>
        <v>81</v>
      </c>
      <c r="H94" s="104">
        <v>1453.2</v>
      </c>
      <c r="I94" s="104">
        <f>ROUNDUP(H94*ТАРИФЫ!$G$13/1000,1)</f>
        <v>110.19999999999999</v>
      </c>
      <c r="J94" s="104">
        <f>H94</f>
        <v>1453.2</v>
      </c>
      <c r="K94" s="104">
        <f>ROUNDUP(J94*ТАРИФЫ!$G$19/1000,1)</f>
        <v>172.1</v>
      </c>
      <c r="L94" s="98">
        <f t="shared" si="57"/>
        <v>1875.8999999999999</v>
      </c>
      <c r="M94" s="71" t="s">
        <v>110</v>
      </c>
      <c r="N94" s="73">
        <f t="shared" si="60"/>
        <v>0</v>
      </c>
    </row>
    <row r="95" spans="1:14" ht="60" customHeight="1" thickBot="1" x14ac:dyDescent="0.3">
      <c r="A95" s="97" t="s">
        <v>68</v>
      </c>
      <c r="B95" s="98">
        <f t="shared" ref="B95:K95" si="61">SUM(B96:B97)</f>
        <v>81.099999999999994</v>
      </c>
      <c r="C95" s="99">
        <f t="shared" si="61"/>
        <v>481.4</v>
      </c>
      <c r="D95" s="98">
        <f t="shared" si="61"/>
        <v>788</v>
      </c>
      <c r="E95" s="98">
        <f t="shared" si="61"/>
        <v>4766.7</v>
      </c>
      <c r="F95" s="98">
        <f t="shared" si="61"/>
        <v>98.699999999999989</v>
      </c>
      <c r="G95" s="98">
        <f t="shared" si="61"/>
        <v>597.20000000000005</v>
      </c>
      <c r="H95" s="98">
        <f t="shared" si="61"/>
        <v>3103.2</v>
      </c>
      <c r="I95" s="98">
        <f t="shared" si="61"/>
        <v>126.89999999999999</v>
      </c>
      <c r="J95" s="98">
        <f t="shared" si="61"/>
        <v>3103.2</v>
      </c>
      <c r="K95" s="98">
        <f t="shared" si="61"/>
        <v>243.8</v>
      </c>
      <c r="L95" s="98">
        <f t="shared" si="57"/>
        <v>6215.9999999999991</v>
      </c>
      <c r="M95" s="71"/>
      <c r="N95" s="71"/>
    </row>
    <row r="96" spans="1:14" ht="20.100000000000001" customHeight="1" thickBot="1" x14ac:dyDescent="0.3">
      <c r="A96" s="103" t="s">
        <v>12</v>
      </c>
      <c r="B96" s="105">
        <v>36.299999999999997</v>
      </c>
      <c r="C96" s="105">
        <f>ROUNDUP(B96*ТАРИФЫ!$F$21,1)</f>
        <v>209.1</v>
      </c>
      <c r="D96" s="104">
        <v>486.6</v>
      </c>
      <c r="E96" s="104">
        <f>ROUNDUP(D96*ТАРИФЫ!$F$5/1000,1)</f>
        <v>2943.5</v>
      </c>
      <c r="F96" s="104">
        <v>45.4</v>
      </c>
      <c r="G96" s="104">
        <f>ROUNDUP(F96*ТАРИФЫ!$F$5/1000,1)</f>
        <v>274.70000000000005</v>
      </c>
      <c r="H96" s="104">
        <v>2052.6999999999998</v>
      </c>
      <c r="I96" s="104">
        <f>ROUNDUP(H96*ТАРИФЫ!$F$10/1000,1)</f>
        <v>82.699999999999989</v>
      </c>
      <c r="J96" s="104">
        <v>2052.6999999999998</v>
      </c>
      <c r="K96" s="104">
        <f>ROUND(J96*ТАРИФЫ!$F$15/1000,1)</f>
        <v>159.4</v>
      </c>
      <c r="L96" s="98">
        <f t="shared" si="57"/>
        <v>3669.4</v>
      </c>
      <c r="M96" s="71" t="s">
        <v>108</v>
      </c>
      <c r="N96" s="73">
        <f t="shared" ref="N96:N97" si="62">H96-J96</f>
        <v>0</v>
      </c>
    </row>
    <row r="97" spans="1:14" ht="20.100000000000001" customHeight="1" thickBot="1" x14ac:dyDescent="0.3">
      <c r="A97" s="103" t="s">
        <v>13</v>
      </c>
      <c r="B97" s="105">
        <v>44.8</v>
      </c>
      <c r="C97" s="105">
        <f>ROUNDUP(B97*ТАРИФЫ!$G$21,1)</f>
        <v>272.3</v>
      </c>
      <c r="D97" s="104">
        <v>301.39999999999998</v>
      </c>
      <c r="E97" s="104">
        <f>ROUNDUP(D97*ТАРИФЫ!$G$5/1000,1)</f>
        <v>1823.1999999999998</v>
      </c>
      <c r="F97" s="104">
        <v>53.3</v>
      </c>
      <c r="G97" s="104">
        <f>ROUNDUP(F97*ТАРИФЫ!$G$5/1000,1)</f>
        <v>322.5</v>
      </c>
      <c r="H97" s="104">
        <v>1050.5</v>
      </c>
      <c r="I97" s="104">
        <f>ROUNDUP(H97*ТАРИФЫ!$G$10/1000,1)</f>
        <v>44.2</v>
      </c>
      <c r="J97" s="104">
        <v>1050.5</v>
      </c>
      <c r="K97" s="104">
        <f>ROUND(J97*ТАРИФЫ!$G$15/1000,1)</f>
        <v>84.4</v>
      </c>
      <c r="L97" s="98">
        <f t="shared" si="57"/>
        <v>2546.6</v>
      </c>
      <c r="M97" s="71" t="s">
        <v>108</v>
      </c>
      <c r="N97" s="73">
        <f t="shared" si="62"/>
        <v>0</v>
      </c>
    </row>
    <row r="98" spans="1:14" ht="45" customHeight="1" thickBot="1" x14ac:dyDescent="0.3">
      <c r="A98" s="97" t="s">
        <v>16</v>
      </c>
      <c r="B98" s="98">
        <f t="shared" ref="B98:K98" si="63">SUM(B99:B100)</f>
        <v>59.6</v>
      </c>
      <c r="C98" s="99">
        <f t="shared" si="63"/>
        <v>352.4</v>
      </c>
      <c r="D98" s="98">
        <f t="shared" si="63"/>
        <v>556.9</v>
      </c>
      <c r="E98" s="98">
        <f t="shared" si="63"/>
        <v>3368.7999999999997</v>
      </c>
      <c r="F98" s="98">
        <f t="shared" si="63"/>
        <v>119.9</v>
      </c>
      <c r="G98" s="98">
        <f t="shared" si="63"/>
        <v>725.3</v>
      </c>
      <c r="H98" s="98">
        <f t="shared" si="63"/>
        <v>2402.9</v>
      </c>
      <c r="I98" s="98">
        <f t="shared" si="63"/>
        <v>98.800000000000011</v>
      </c>
      <c r="J98" s="98">
        <f t="shared" si="63"/>
        <v>2402.9</v>
      </c>
      <c r="K98" s="98">
        <f t="shared" si="63"/>
        <v>189.6</v>
      </c>
      <c r="L98" s="98">
        <f t="shared" si="57"/>
        <v>4734.9000000000005</v>
      </c>
      <c r="M98" s="71"/>
      <c r="N98" s="71"/>
    </row>
    <row r="99" spans="1:14" ht="20.100000000000001" customHeight="1" thickBot="1" x14ac:dyDescent="0.3">
      <c r="A99" s="103" t="s">
        <v>12</v>
      </c>
      <c r="B99" s="105">
        <v>31</v>
      </c>
      <c r="C99" s="105">
        <f>ROUNDUP(B99*ТАРИФЫ!$F$21,1)</f>
        <v>178.6</v>
      </c>
      <c r="D99" s="104">
        <v>352</v>
      </c>
      <c r="E99" s="104">
        <f>ROUNDUP(D99*ТАРИФЫ!$F$5/1000,1)</f>
        <v>2129.2999999999997</v>
      </c>
      <c r="F99" s="104">
        <v>67.2</v>
      </c>
      <c r="G99" s="104">
        <f>ROUNDUP(F99*ТАРИФЫ!$F$5/1000,1)</f>
        <v>406.5</v>
      </c>
      <c r="H99" s="104">
        <v>1295.2</v>
      </c>
      <c r="I99" s="104">
        <f>ROUNDUP(H99*ТАРИФЫ!$F$10/1000,1)</f>
        <v>52.2</v>
      </c>
      <c r="J99" s="104">
        <v>1295.2</v>
      </c>
      <c r="K99" s="104">
        <f>ROUND(J99*ТАРИФЫ!$F$15/1000,1)</f>
        <v>100.6</v>
      </c>
      <c r="L99" s="98">
        <f t="shared" si="57"/>
        <v>2867.1999999999994</v>
      </c>
      <c r="M99" s="71" t="s">
        <v>108</v>
      </c>
      <c r="N99" s="73">
        <f t="shared" ref="N99:N100" si="64">H99-J99</f>
        <v>0</v>
      </c>
    </row>
    <row r="100" spans="1:14" ht="20.100000000000001" customHeight="1" thickBot="1" x14ac:dyDescent="0.3">
      <c r="A100" s="103" t="s">
        <v>13</v>
      </c>
      <c r="B100" s="105">
        <v>28.6</v>
      </c>
      <c r="C100" s="105">
        <f>ROUNDUP(B100*ТАРИФЫ!$G$21,1)</f>
        <v>173.79999999999998</v>
      </c>
      <c r="D100" s="104">
        <v>204.9</v>
      </c>
      <c r="E100" s="104">
        <f>ROUNDUP(D100*ТАРИФЫ!$G$5/1000,1)</f>
        <v>1239.5</v>
      </c>
      <c r="F100" s="104">
        <v>52.7</v>
      </c>
      <c r="G100" s="104">
        <f>ROUNDUP(F100*ТАРИФЫ!$G$5/1000,1)</f>
        <v>318.8</v>
      </c>
      <c r="H100" s="104">
        <v>1107.7</v>
      </c>
      <c r="I100" s="104">
        <f>ROUNDUP(H100*ТАРИФЫ!$G$10/1000,1)</f>
        <v>46.6</v>
      </c>
      <c r="J100" s="104">
        <v>1107.7</v>
      </c>
      <c r="K100" s="104">
        <f>ROUND(J100*ТАРИФЫ!$G$15/1000,1)</f>
        <v>89</v>
      </c>
      <c r="L100" s="98">
        <f t="shared" si="57"/>
        <v>1867.6999999999998</v>
      </c>
      <c r="M100" s="71" t="s">
        <v>108</v>
      </c>
      <c r="N100" s="73">
        <f t="shared" si="64"/>
        <v>0</v>
      </c>
    </row>
    <row r="101" spans="1:14" ht="45" customHeight="1" thickBot="1" x14ac:dyDescent="0.3">
      <c r="A101" s="97" t="s">
        <v>17</v>
      </c>
      <c r="B101" s="98">
        <f t="shared" ref="B101:K101" si="65">SUM(B102:B103)</f>
        <v>50.4</v>
      </c>
      <c r="C101" s="99">
        <f t="shared" si="65"/>
        <v>299.2</v>
      </c>
      <c r="D101" s="98">
        <f t="shared" si="65"/>
        <v>922</v>
      </c>
      <c r="E101" s="98">
        <f t="shared" si="65"/>
        <v>10782.1</v>
      </c>
      <c r="F101" s="98">
        <f t="shared" si="65"/>
        <v>36.700000000000003</v>
      </c>
      <c r="G101" s="98">
        <f t="shared" si="65"/>
        <v>430.5</v>
      </c>
      <c r="H101" s="98">
        <f t="shared" si="65"/>
        <v>1344</v>
      </c>
      <c r="I101" s="98">
        <f t="shared" si="65"/>
        <v>100.10000000000001</v>
      </c>
      <c r="J101" s="98">
        <f t="shared" si="65"/>
        <v>1344</v>
      </c>
      <c r="K101" s="98">
        <f t="shared" si="65"/>
        <v>155.30000000000001</v>
      </c>
      <c r="L101" s="98">
        <f t="shared" si="57"/>
        <v>11767.2</v>
      </c>
      <c r="M101" s="71"/>
      <c r="N101" s="71"/>
    </row>
    <row r="102" spans="1:14" ht="20.100000000000001" customHeight="1" thickBot="1" x14ac:dyDescent="0.3">
      <c r="A102" s="103" t="s">
        <v>12</v>
      </c>
      <c r="B102" s="105">
        <v>22.5</v>
      </c>
      <c r="C102" s="105">
        <f>ROUNDUP(B102*ТАРИФЫ!$F$24,1)</f>
        <v>129.6</v>
      </c>
      <c r="D102" s="104">
        <v>554.70000000000005</v>
      </c>
      <c r="E102" s="104">
        <f>ROUNDUP(D102*ТАРИФЫ!$F$8/1000,1)</f>
        <v>6411.3</v>
      </c>
      <c r="F102" s="104">
        <v>18.399999999999999</v>
      </c>
      <c r="G102" s="104">
        <f>ROUNDUP(F102*ТАРИФЫ!$F$8/1000,1)</f>
        <v>212.7</v>
      </c>
      <c r="H102" s="104">
        <v>622</v>
      </c>
      <c r="I102" s="104">
        <f>ROUNDUP(H102*ТАРИФЫ!$F$13/1000,1)</f>
        <v>45.300000000000004</v>
      </c>
      <c r="J102" s="104">
        <f>H102</f>
        <v>622</v>
      </c>
      <c r="K102" s="104">
        <f>ROUNDUP(J102*ТАРИФЫ!$F$19/1000,1)</f>
        <v>69.8</v>
      </c>
      <c r="L102" s="98">
        <f t="shared" si="57"/>
        <v>6868.7000000000007</v>
      </c>
      <c r="M102" s="71" t="s">
        <v>110</v>
      </c>
      <c r="N102" s="73">
        <f t="shared" ref="N102:N115" si="66">H102-J102</f>
        <v>0</v>
      </c>
    </row>
    <row r="103" spans="1:14" ht="20.100000000000001" customHeight="1" thickBot="1" x14ac:dyDescent="0.3">
      <c r="A103" s="103" t="s">
        <v>13</v>
      </c>
      <c r="B103" s="105">
        <v>27.9</v>
      </c>
      <c r="C103" s="105">
        <f>ROUNDUP(B103*ТАРИФЫ!$G$24,1)</f>
        <v>169.6</v>
      </c>
      <c r="D103" s="104">
        <v>367.3</v>
      </c>
      <c r="E103" s="104">
        <f>ROUNDUP(D103*ТАРИФЫ!$G$8/1000,1)</f>
        <v>4370.8</v>
      </c>
      <c r="F103" s="104">
        <v>18.3</v>
      </c>
      <c r="G103" s="104">
        <f>ROUNDUP(F103*ТАРИФЫ!$G$8/1000,1)</f>
        <v>217.79999999999998</v>
      </c>
      <c r="H103" s="104">
        <v>722</v>
      </c>
      <c r="I103" s="104">
        <f>ROUNDUP(H103*ТАРИФЫ!$G$13/1000,1)</f>
        <v>54.800000000000004</v>
      </c>
      <c r="J103" s="104">
        <f>H103</f>
        <v>722</v>
      </c>
      <c r="K103" s="104">
        <f>ROUNDUP(J103*ТАРИФЫ!$G$19/1000,1)</f>
        <v>85.5</v>
      </c>
      <c r="L103" s="98">
        <f t="shared" si="57"/>
        <v>4898.5000000000009</v>
      </c>
      <c r="M103" s="71" t="s">
        <v>110</v>
      </c>
      <c r="N103" s="73">
        <f t="shared" si="66"/>
        <v>0</v>
      </c>
    </row>
    <row r="104" spans="1:14" ht="45" customHeight="1" thickBot="1" x14ac:dyDescent="0.3">
      <c r="A104" s="111" t="s">
        <v>114</v>
      </c>
      <c r="B104" s="98">
        <f t="shared" ref="B104:K104" si="67">SUM(B105:B106)</f>
        <v>37.299999999999997</v>
      </c>
      <c r="C104" s="99">
        <f t="shared" si="67"/>
        <v>221.89999999999998</v>
      </c>
      <c r="D104" s="98">
        <f t="shared" si="67"/>
        <v>539.70000000000005</v>
      </c>
      <c r="E104" s="98">
        <f t="shared" si="67"/>
        <v>6630.8</v>
      </c>
      <c r="F104" s="98">
        <f t="shared" si="67"/>
        <v>0</v>
      </c>
      <c r="G104" s="98">
        <f t="shared" si="67"/>
        <v>0</v>
      </c>
      <c r="H104" s="98">
        <f t="shared" si="67"/>
        <v>808</v>
      </c>
      <c r="I104" s="98">
        <f t="shared" si="67"/>
        <v>33.300000000000004</v>
      </c>
      <c r="J104" s="98">
        <f t="shared" si="67"/>
        <v>808</v>
      </c>
      <c r="K104" s="98">
        <f t="shared" si="67"/>
        <v>93.7</v>
      </c>
      <c r="L104" s="98">
        <f t="shared" si="57"/>
        <v>6979.7</v>
      </c>
      <c r="M104" s="71"/>
      <c r="N104" s="71"/>
    </row>
    <row r="105" spans="1:14" ht="20.100000000000001" customHeight="1" thickBot="1" x14ac:dyDescent="0.3">
      <c r="A105" s="103" t="s">
        <v>12</v>
      </c>
      <c r="B105" s="112">
        <v>15.2</v>
      </c>
      <c r="C105" s="105">
        <f>ROUNDUP(B105*ТАРИФЫ!$F$23,1)</f>
        <v>87.6</v>
      </c>
      <c r="D105" s="104">
        <v>338.4</v>
      </c>
      <c r="E105" s="105">
        <f>ROUNDUP(D105*ТАРИФЫ!$F$7/1000,1)</f>
        <v>4157.6000000000004</v>
      </c>
      <c r="F105" s="104">
        <v>0</v>
      </c>
      <c r="G105" s="105">
        <f>ROUNDUP(F105*ТАРИФЫ!$F$7/1000,1)</f>
        <v>0</v>
      </c>
      <c r="H105" s="104">
        <v>423.8</v>
      </c>
      <c r="I105" s="105">
        <f>ROUNDUP(H105*ТАРИФЫ!$F$12/1000,1)</f>
        <v>17.100000000000001</v>
      </c>
      <c r="J105" s="104">
        <f>H105</f>
        <v>423.8</v>
      </c>
      <c r="K105" s="105">
        <f>ROUNDUP(J105*ТАРИФЫ!$F$17/1000,1)</f>
        <v>47.9</v>
      </c>
      <c r="L105" s="98">
        <f t="shared" si="57"/>
        <v>4310.2000000000007</v>
      </c>
      <c r="M105" s="71" t="s">
        <v>112</v>
      </c>
      <c r="N105" s="73">
        <f t="shared" si="66"/>
        <v>0</v>
      </c>
    </row>
    <row r="106" spans="1:14" ht="20.100000000000001" customHeight="1" thickBot="1" x14ac:dyDescent="0.3">
      <c r="A106" s="103" t="s">
        <v>13</v>
      </c>
      <c r="B106" s="105">
        <v>22.1</v>
      </c>
      <c r="C106" s="105">
        <f>ROUNDUP(B106*ТАРИФЫ!$G$23,1)</f>
        <v>134.29999999999998</v>
      </c>
      <c r="D106" s="104">
        <v>201.3</v>
      </c>
      <c r="E106" s="105">
        <f>ROUNDUP(D106*ТАРИФЫ!$G$7/1000,1)</f>
        <v>2473.1999999999998</v>
      </c>
      <c r="F106" s="104">
        <v>0</v>
      </c>
      <c r="G106" s="105">
        <f>ROUNDUP(F106*ТАРИФЫ!$G$7/1000,1)</f>
        <v>0</v>
      </c>
      <c r="H106" s="104">
        <v>384.2</v>
      </c>
      <c r="I106" s="105">
        <f>ROUNDUP(H106*ТАРИФЫ!$G$12/1000,1)</f>
        <v>16.200000000000003</v>
      </c>
      <c r="J106" s="104">
        <f>H106</f>
        <v>384.2</v>
      </c>
      <c r="K106" s="105">
        <f>ROUNDUP(J106*ТАРИФЫ!$G$17/1000,1)</f>
        <v>45.800000000000004</v>
      </c>
      <c r="L106" s="98">
        <f t="shared" si="57"/>
        <v>2669.5</v>
      </c>
      <c r="M106" s="71" t="s">
        <v>112</v>
      </c>
      <c r="N106" s="73">
        <f t="shared" si="66"/>
        <v>0</v>
      </c>
    </row>
    <row r="107" spans="1:14" ht="45" customHeight="1" thickBot="1" x14ac:dyDescent="0.3">
      <c r="A107" s="97" t="s">
        <v>18</v>
      </c>
      <c r="B107" s="98">
        <f t="shared" ref="B107:K107" si="68">SUM(B108:B109)</f>
        <v>65.099999999999994</v>
      </c>
      <c r="C107" s="99">
        <f t="shared" si="68"/>
        <v>385.1</v>
      </c>
      <c r="D107" s="98">
        <f t="shared" si="68"/>
        <v>559.6</v>
      </c>
      <c r="E107" s="98">
        <f t="shared" si="68"/>
        <v>6795.9</v>
      </c>
      <c r="F107" s="98">
        <f t="shared" si="68"/>
        <v>0</v>
      </c>
      <c r="G107" s="98">
        <f t="shared" si="68"/>
        <v>0</v>
      </c>
      <c r="H107" s="98">
        <f t="shared" si="68"/>
        <v>389.5</v>
      </c>
      <c r="I107" s="98">
        <f t="shared" si="68"/>
        <v>29.799999999999997</v>
      </c>
      <c r="J107" s="98">
        <f t="shared" si="68"/>
        <v>389.5</v>
      </c>
      <c r="K107" s="98">
        <f t="shared" si="68"/>
        <v>14.5</v>
      </c>
      <c r="L107" s="98">
        <f t="shared" si="57"/>
        <v>7225.3</v>
      </c>
      <c r="M107" s="71"/>
      <c r="N107" s="71"/>
    </row>
    <row r="108" spans="1:14" ht="20.100000000000001" customHeight="1" thickBot="1" x14ac:dyDescent="0.3">
      <c r="A108" s="103" t="s">
        <v>12</v>
      </c>
      <c r="B108" s="105">
        <v>33.6</v>
      </c>
      <c r="C108" s="105">
        <f>ROUNDUP(B108*ТАРИФЫ!$F$22,1)</f>
        <v>193.6</v>
      </c>
      <c r="D108" s="104">
        <v>323.7</v>
      </c>
      <c r="E108" s="104">
        <f>ROUNDUP(D108*ТАРИФЫ!$F$6/1000,1)</f>
        <v>3931.1</v>
      </c>
      <c r="F108" s="104">
        <v>0</v>
      </c>
      <c r="G108" s="105">
        <f>MROUND(F108*ТАРИФЫ!$F$6/1000,1)</f>
        <v>0</v>
      </c>
      <c r="H108" s="104">
        <v>205</v>
      </c>
      <c r="I108" s="104">
        <f>ROUNDUP(H108*ТАРИФЫ!$F$11/1000,1)</f>
        <v>15.5</v>
      </c>
      <c r="J108" s="104">
        <f t="shared" ref="J108:J109" si="69">H108</f>
        <v>205</v>
      </c>
      <c r="K108" s="104">
        <f>ROUND(J108*ТАРИФЫ!$F$16/1000,1)</f>
        <v>7.6</v>
      </c>
      <c r="L108" s="98">
        <f t="shared" si="57"/>
        <v>4147.8</v>
      </c>
      <c r="M108" s="71" t="s">
        <v>111</v>
      </c>
      <c r="N108" s="73">
        <f t="shared" si="66"/>
        <v>0</v>
      </c>
    </row>
    <row r="109" spans="1:14" ht="20.100000000000001" customHeight="1" thickBot="1" x14ac:dyDescent="0.3">
      <c r="A109" s="103" t="s">
        <v>13</v>
      </c>
      <c r="B109" s="105">
        <v>31.5</v>
      </c>
      <c r="C109" s="105">
        <f>ROUNDUP(B109*ТАРИФЫ!$G$22,1)</f>
        <v>191.5</v>
      </c>
      <c r="D109" s="104">
        <v>235.9</v>
      </c>
      <c r="E109" s="104">
        <f>ROUNDUP(D109*ТАРИФЫ!$G$6/1000,1)</f>
        <v>2864.7999999999997</v>
      </c>
      <c r="F109" s="104">
        <v>0</v>
      </c>
      <c r="G109" s="105">
        <f>MROUND(F109*ТАРИФЫ!$G$6/1000,1)</f>
        <v>0</v>
      </c>
      <c r="H109" s="104">
        <v>184.5</v>
      </c>
      <c r="I109" s="104">
        <f>ROUNDUP(H109*ТАРИФЫ!$G$11/1000,1)</f>
        <v>14.299999999999999</v>
      </c>
      <c r="J109" s="104">
        <f t="shared" si="69"/>
        <v>184.5</v>
      </c>
      <c r="K109" s="104">
        <f>ROUND(J109*ТАРИФЫ!$G$16/1000,1)</f>
        <v>6.9</v>
      </c>
      <c r="L109" s="98">
        <f t="shared" si="57"/>
        <v>3077.5</v>
      </c>
      <c r="M109" s="71" t="s">
        <v>111</v>
      </c>
      <c r="N109" s="73">
        <f t="shared" si="66"/>
        <v>0</v>
      </c>
    </row>
    <row r="110" spans="1:14" ht="45" customHeight="1" thickBot="1" x14ac:dyDescent="0.3">
      <c r="A110" s="97" t="s">
        <v>81</v>
      </c>
      <c r="B110" s="98">
        <f t="shared" ref="B110:K110" si="70">SUM(B111:B112)</f>
        <v>14.3</v>
      </c>
      <c r="C110" s="99">
        <f t="shared" si="70"/>
        <v>84.9</v>
      </c>
      <c r="D110" s="98">
        <f t="shared" si="70"/>
        <v>417.5</v>
      </c>
      <c r="E110" s="98">
        <f t="shared" si="70"/>
        <v>2525.6</v>
      </c>
      <c r="F110" s="98">
        <f t="shared" si="70"/>
        <v>19</v>
      </c>
      <c r="G110" s="98">
        <f t="shared" si="70"/>
        <v>115.1</v>
      </c>
      <c r="H110" s="98">
        <f t="shared" si="70"/>
        <v>425</v>
      </c>
      <c r="I110" s="98">
        <f t="shared" si="70"/>
        <v>17.599999999999998</v>
      </c>
      <c r="J110" s="98">
        <f t="shared" si="70"/>
        <v>425</v>
      </c>
      <c r="K110" s="98">
        <f t="shared" si="70"/>
        <v>33.5</v>
      </c>
      <c r="L110" s="113">
        <f t="shared" ref="L110:L115" si="71">SUM(C110,E110,G110,I110,K110)</f>
        <v>2776.7</v>
      </c>
      <c r="M110" s="71"/>
      <c r="N110" s="71"/>
    </row>
    <row r="111" spans="1:14" ht="20.100000000000001" customHeight="1" thickBot="1" x14ac:dyDescent="0.3">
      <c r="A111" s="103" t="s">
        <v>12</v>
      </c>
      <c r="B111" s="105">
        <v>6.5</v>
      </c>
      <c r="C111" s="105">
        <f>ROUNDUP(B111*ТАРИФЫ!$F$21,1)</f>
        <v>37.5</v>
      </c>
      <c r="D111" s="104">
        <v>270.8</v>
      </c>
      <c r="E111" s="104">
        <f>ROUNDUP(D111*ТАРИФЫ!$F$5/1000,1)</f>
        <v>1638.1</v>
      </c>
      <c r="F111" s="104">
        <v>10.3</v>
      </c>
      <c r="G111" s="104">
        <f>ROUNDUP(F111*ТАРИФЫ!$F$5/1000,1)</f>
        <v>62.4</v>
      </c>
      <c r="H111" s="104">
        <v>241.5</v>
      </c>
      <c r="I111" s="104">
        <f>ROUNDUP(H111*ТАРИФЫ!$F$10/1000,1)</f>
        <v>9.7999999999999989</v>
      </c>
      <c r="J111" s="104">
        <v>241.5</v>
      </c>
      <c r="K111" s="104">
        <f>ROUND(J111*ТАРИФЫ!$F$15/1000,1)</f>
        <v>18.8</v>
      </c>
      <c r="L111" s="113">
        <f t="shared" si="71"/>
        <v>1766.6</v>
      </c>
      <c r="M111" s="71" t="s">
        <v>108</v>
      </c>
      <c r="N111" s="73">
        <f t="shared" si="66"/>
        <v>0</v>
      </c>
    </row>
    <row r="112" spans="1:14" ht="20.100000000000001" customHeight="1" thickBot="1" x14ac:dyDescent="0.3">
      <c r="A112" s="103" t="s">
        <v>13</v>
      </c>
      <c r="B112" s="105">
        <v>7.8</v>
      </c>
      <c r="C112" s="105">
        <f>ROUNDUP(B112*ТАРИФЫ!$G$21,1)</f>
        <v>47.4</v>
      </c>
      <c r="D112" s="104">
        <v>146.69999999999999</v>
      </c>
      <c r="E112" s="104">
        <f>ROUNDUP(D112*ТАРИФЫ!$G$5/1000,1)</f>
        <v>887.5</v>
      </c>
      <c r="F112" s="104">
        <v>8.6999999999999993</v>
      </c>
      <c r="G112" s="104">
        <f>ROUNDUP(F112*ТАРИФЫ!$G$5/1000,1)</f>
        <v>52.7</v>
      </c>
      <c r="H112" s="104">
        <v>183.5</v>
      </c>
      <c r="I112" s="104">
        <f>ROUNDUP(H112*ТАРИФЫ!$G$10/1000,1)</f>
        <v>7.8</v>
      </c>
      <c r="J112" s="104">
        <v>183.5</v>
      </c>
      <c r="K112" s="104">
        <f>ROUND(J112*ТАРИФЫ!$G$15/1000,1)</f>
        <v>14.7</v>
      </c>
      <c r="L112" s="113">
        <f t="shared" si="71"/>
        <v>1010.1</v>
      </c>
      <c r="M112" s="71" t="s">
        <v>108</v>
      </c>
      <c r="N112" s="73">
        <f t="shared" si="66"/>
        <v>0</v>
      </c>
    </row>
    <row r="113" spans="1:14" ht="45" customHeight="1" thickBot="1" x14ac:dyDescent="0.3">
      <c r="A113" s="106" t="s">
        <v>14</v>
      </c>
      <c r="B113" s="107">
        <f>SUM(B114:B115)</f>
        <v>521.4</v>
      </c>
      <c r="C113" s="107">
        <f t="shared" ref="C113:K113" si="72">SUM(C114:C115)</f>
        <v>3092.5</v>
      </c>
      <c r="D113" s="107">
        <f t="shared" si="72"/>
        <v>4713</v>
      </c>
      <c r="E113" s="107">
        <f t="shared" si="72"/>
        <v>42142.799999999996</v>
      </c>
      <c r="F113" s="107">
        <f t="shared" si="72"/>
        <v>459.69999999999993</v>
      </c>
      <c r="G113" s="107">
        <f t="shared" si="72"/>
        <v>3391</v>
      </c>
      <c r="H113" s="107">
        <f t="shared" si="72"/>
        <v>16533.7</v>
      </c>
      <c r="I113" s="107">
        <f t="shared" si="72"/>
        <v>838.60000000000014</v>
      </c>
      <c r="J113" s="107">
        <f t="shared" si="72"/>
        <v>15748.8</v>
      </c>
      <c r="K113" s="107">
        <f t="shared" si="72"/>
        <v>1414.3999999999999</v>
      </c>
      <c r="L113" s="98">
        <f t="shared" si="71"/>
        <v>50879.299999999996</v>
      </c>
      <c r="M113" s="75"/>
      <c r="N113" s="75"/>
    </row>
    <row r="114" spans="1:14" ht="28.5" customHeight="1" thickBot="1" x14ac:dyDescent="0.3">
      <c r="A114" s="106" t="s">
        <v>12</v>
      </c>
      <c r="B114" s="108">
        <f>SUM(B90+B93+B96+B99+B102+B105+B108+B111)</f>
        <v>241.49999999999997</v>
      </c>
      <c r="C114" s="108">
        <f t="shared" ref="C114:K114" si="73">SUM(C90+C93+C96+C99+C102+C105+C108+C111)</f>
        <v>1391.3</v>
      </c>
      <c r="D114" s="108">
        <f t="shared" si="73"/>
        <v>2903.8</v>
      </c>
      <c r="E114" s="108">
        <f t="shared" si="73"/>
        <v>25710.299999999996</v>
      </c>
      <c r="F114" s="108">
        <f t="shared" si="73"/>
        <v>265.59999999999997</v>
      </c>
      <c r="G114" s="108">
        <f t="shared" si="73"/>
        <v>2069.7000000000003</v>
      </c>
      <c r="H114" s="108">
        <f t="shared" si="73"/>
        <v>8567.5</v>
      </c>
      <c r="I114" s="108">
        <f t="shared" si="73"/>
        <v>423.40000000000003</v>
      </c>
      <c r="J114" s="108">
        <f t="shared" si="73"/>
        <v>8567.5</v>
      </c>
      <c r="K114" s="108">
        <f t="shared" si="73"/>
        <v>747.59999999999991</v>
      </c>
      <c r="L114" s="98">
        <f t="shared" si="71"/>
        <v>30342.299999999996</v>
      </c>
      <c r="M114" s="75"/>
      <c r="N114" s="73">
        <f t="shared" si="66"/>
        <v>0</v>
      </c>
    </row>
    <row r="115" spans="1:14" ht="28.5" customHeight="1" thickBot="1" x14ac:dyDescent="0.3">
      <c r="A115" s="106" t="s">
        <v>13</v>
      </c>
      <c r="B115" s="108">
        <f>SUM(B91+B94+B97+B100+B103+B106+B109+B112)</f>
        <v>279.90000000000003</v>
      </c>
      <c r="C115" s="108">
        <f t="shared" ref="C115:K115" si="74">SUM(C91+C94+C97+C100+C103+C106+C109+C112)</f>
        <v>1701.1999999999998</v>
      </c>
      <c r="D115" s="108">
        <f t="shared" si="74"/>
        <v>1809.2</v>
      </c>
      <c r="E115" s="108">
        <f t="shared" si="74"/>
        <v>16432.5</v>
      </c>
      <c r="F115" s="108">
        <f t="shared" si="74"/>
        <v>194.1</v>
      </c>
      <c r="G115" s="108">
        <f t="shared" si="74"/>
        <v>1321.3</v>
      </c>
      <c r="H115" s="108">
        <f t="shared" si="74"/>
        <v>7966.2</v>
      </c>
      <c r="I115" s="108">
        <f t="shared" si="74"/>
        <v>415.20000000000005</v>
      </c>
      <c r="J115" s="108">
        <f t="shared" si="74"/>
        <v>7181.2999999999993</v>
      </c>
      <c r="K115" s="108">
        <f t="shared" si="74"/>
        <v>666.8</v>
      </c>
      <c r="L115" s="98">
        <f t="shared" si="71"/>
        <v>20537</v>
      </c>
      <c r="M115" s="75"/>
      <c r="N115" s="73">
        <f t="shared" si="66"/>
        <v>784.90000000000055</v>
      </c>
    </row>
    <row r="116" spans="1:14" ht="25.5" customHeight="1" thickBot="1" x14ac:dyDescent="0.3">
      <c r="A116" s="100" t="s">
        <v>20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14"/>
      <c r="M116" s="75"/>
      <c r="N116" s="75"/>
    </row>
    <row r="117" spans="1:14" ht="45" customHeight="1" thickBot="1" x14ac:dyDescent="0.3">
      <c r="A117" s="97" t="s">
        <v>21</v>
      </c>
      <c r="B117" s="98">
        <f t="shared" ref="B117:K117" si="75">SUM(B118:B119)</f>
        <v>56.5</v>
      </c>
      <c r="C117" s="99">
        <f t="shared" si="75"/>
        <v>335.29999999999995</v>
      </c>
      <c r="D117" s="98">
        <f t="shared" si="75"/>
        <v>303</v>
      </c>
      <c r="E117" s="98">
        <f t="shared" si="75"/>
        <v>1833</v>
      </c>
      <c r="F117" s="98">
        <f t="shared" si="75"/>
        <v>7</v>
      </c>
      <c r="G117" s="98">
        <f t="shared" si="75"/>
        <v>42.400000000000006</v>
      </c>
      <c r="H117" s="98">
        <f t="shared" si="75"/>
        <v>1174.5</v>
      </c>
      <c r="I117" s="98">
        <f t="shared" si="75"/>
        <v>48.3</v>
      </c>
      <c r="J117" s="98">
        <f t="shared" si="75"/>
        <v>1174.5</v>
      </c>
      <c r="K117" s="98">
        <f t="shared" si="75"/>
        <v>92.7</v>
      </c>
      <c r="L117" s="98">
        <f t="shared" ref="L117:L125" si="76">SUM(C117,E117,G117,I117,K117)</f>
        <v>2351.7000000000003</v>
      </c>
      <c r="M117" s="71"/>
      <c r="N117" s="71"/>
    </row>
    <row r="118" spans="1:14" ht="20.25" customHeight="1" thickBot="1" x14ac:dyDescent="0.3">
      <c r="A118" s="103" t="s">
        <v>12</v>
      </c>
      <c r="B118" s="105">
        <v>25.6</v>
      </c>
      <c r="C118" s="105">
        <f>ROUNDUP(B118*ТАРИФЫ!$F$21,1)</f>
        <v>147.5</v>
      </c>
      <c r="D118" s="104">
        <v>187.9</v>
      </c>
      <c r="E118" s="104">
        <f>ROUNDUP(D118*ТАРИФЫ!$F$5/1000,1)</f>
        <v>1136.6999999999998</v>
      </c>
      <c r="F118" s="104">
        <v>3.9</v>
      </c>
      <c r="G118" s="104">
        <f>ROUNDUP(F118*ТАРИФЫ!$F$5/1000,1)</f>
        <v>23.6</v>
      </c>
      <c r="H118" s="104">
        <v>608.1</v>
      </c>
      <c r="I118" s="104">
        <f>ROUNDUP(H118*ТАРИФЫ!$F$10/1000,1)</f>
        <v>24.5</v>
      </c>
      <c r="J118" s="104">
        <v>608.1</v>
      </c>
      <c r="K118" s="104">
        <f>ROUND(J118*ТАРИФЫ!$F$15/1000,1)</f>
        <v>47.2</v>
      </c>
      <c r="L118" s="98">
        <f t="shared" si="76"/>
        <v>1379.4999999999998</v>
      </c>
      <c r="M118" s="71" t="s">
        <v>108</v>
      </c>
      <c r="N118" s="73">
        <f t="shared" ref="N118:N119" si="77">H118-J118</f>
        <v>0</v>
      </c>
    </row>
    <row r="119" spans="1:14" ht="20.25" customHeight="1" thickBot="1" x14ac:dyDescent="0.3">
      <c r="A119" s="103" t="s">
        <v>13</v>
      </c>
      <c r="B119" s="105">
        <v>30.9</v>
      </c>
      <c r="C119" s="105">
        <f>ROUNDUP(B119*ТАРИФЫ!$G$21,1)</f>
        <v>187.79999999999998</v>
      </c>
      <c r="D119" s="104">
        <v>115.1</v>
      </c>
      <c r="E119" s="104">
        <f>ROUNDUP(D119*ТАРИФЫ!$G$5/1000,1)</f>
        <v>696.30000000000007</v>
      </c>
      <c r="F119" s="104">
        <v>3.1</v>
      </c>
      <c r="G119" s="104">
        <f>ROUNDUP(F119*ТАРИФЫ!$G$5/1000,1)</f>
        <v>18.8</v>
      </c>
      <c r="H119" s="104">
        <v>566.4</v>
      </c>
      <c r="I119" s="104">
        <f>ROUNDUP(H119*ТАРИФЫ!$G$10/1000,1)</f>
        <v>23.8</v>
      </c>
      <c r="J119" s="104">
        <v>566.4</v>
      </c>
      <c r="K119" s="104">
        <f>ROUND(J119*ТАРИФЫ!$G$15/1000,1)</f>
        <v>45.5</v>
      </c>
      <c r="L119" s="98">
        <f t="shared" si="76"/>
        <v>972.19999999999993</v>
      </c>
      <c r="M119" s="71" t="s">
        <v>108</v>
      </c>
      <c r="N119" s="73">
        <f t="shared" si="77"/>
        <v>0</v>
      </c>
    </row>
    <row r="120" spans="1:14" ht="38.25" customHeight="1" thickBot="1" x14ac:dyDescent="0.3">
      <c r="A120" s="97" t="s">
        <v>70</v>
      </c>
      <c r="B120" s="98">
        <f t="shared" ref="B120:K120" si="78">SUM(B121:B122)</f>
        <v>23.1</v>
      </c>
      <c r="C120" s="99">
        <f t="shared" si="78"/>
        <v>136.5</v>
      </c>
      <c r="D120" s="98">
        <f t="shared" si="78"/>
        <v>129.80000000000001</v>
      </c>
      <c r="E120" s="98">
        <f t="shared" si="78"/>
        <v>1517.8000000000002</v>
      </c>
      <c r="F120" s="98">
        <f t="shared" si="78"/>
        <v>0.79999999999999993</v>
      </c>
      <c r="G120" s="98">
        <f t="shared" si="78"/>
        <v>9.6000000000000014</v>
      </c>
      <c r="H120" s="98">
        <f t="shared" si="78"/>
        <v>71.5</v>
      </c>
      <c r="I120" s="98">
        <f t="shared" si="78"/>
        <v>5.4</v>
      </c>
      <c r="J120" s="98">
        <f t="shared" si="78"/>
        <v>71.5</v>
      </c>
      <c r="K120" s="98">
        <f t="shared" si="78"/>
        <v>8.3000000000000007</v>
      </c>
      <c r="L120" s="98">
        <f t="shared" si="76"/>
        <v>1677.6000000000001</v>
      </c>
      <c r="M120" s="71"/>
      <c r="N120" s="71"/>
    </row>
    <row r="121" spans="1:14" ht="20.100000000000001" customHeight="1" thickBot="1" x14ac:dyDescent="0.3">
      <c r="A121" s="103" t="s">
        <v>12</v>
      </c>
      <c r="B121" s="105">
        <v>12.5</v>
      </c>
      <c r="C121" s="105">
        <f>ROUNDUP(B121*ТАРИФЫ!$F$24,1)</f>
        <v>72</v>
      </c>
      <c r="D121" s="104">
        <v>78.599999999999994</v>
      </c>
      <c r="E121" s="104">
        <f>ROUNDUP(D121*ТАРИФЫ!$F$8/1000,1)</f>
        <v>908.5</v>
      </c>
      <c r="F121" s="104">
        <v>0.1</v>
      </c>
      <c r="G121" s="104">
        <f>ROUNDUP(F121*ТАРИФЫ!$F$8/1000,1)</f>
        <v>1.2000000000000002</v>
      </c>
      <c r="H121" s="104">
        <v>37.799999999999997</v>
      </c>
      <c r="I121" s="104">
        <f>ROUNDUP(H121*ТАРИФЫ!$F$13/1000,1)</f>
        <v>2.8000000000000003</v>
      </c>
      <c r="J121" s="104">
        <f t="shared" ref="J121:J122" si="79">H121</f>
        <v>37.799999999999997</v>
      </c>
      <c r="K121" s="104">
        <f>ROUNDUP(J121*ТАРИФЫ!$F$19/1000,1)</f>
        <v>4.3</v>
      </c>
      <c r="L121" s="98">
        <f t="shared" si="76"/>
        <v>988.8</v>
      </c>
      <c r="M121" s="71" t="s">
        <v>110</v>
      </c>
      <c r="N121" s="73">
        <f t="shared" ref="N121:N122" si="80">H121-J121</f>
        <v>0</v>
      </c>
    </row>
    <row r="122" spans="1:14" ht="20.100000000000001" customHeight="1" thickBot="1" x14ac:dyDescent="0.3">
      <c r="A122" s="103" t="s">
        <v>13</v>
      </c>
      <c r="B122" s="105">
        <v>10.6</v>
      </c>
      <c r="C122" s="105">
        <f>ROUNDUP(B122*ТАРИФЫ!$G$24,1)</f>
        <v>64.5</v>
      </c>
      <c r="D122" s="104">
        <v>51.2</v>
      </c>
      <c r="E122" s="104">
        <f>ROUNDUP(D122*ТАРИФЫ!$G$8/1000,1)</f>
        <v>609.30000000000007</v>
      </c>
      <c r="F122" s="104">
        <v>0.7</v>
      </c>
      <c r="G122" s="104">
        <f>ROUNDUP(F122*ТАРИФЫ!$G$8/1000,1)</f>
        <v>8.4</v>
      </c>
      <c r="H122" s="104">
        <v>33.700000000000003</v>
      </c>
      <c r="I122" s="104">
        <f>ROUNDUP(H122*ТАРИФЫ!$G$13/1000,1)</f>
        <v>2.6</v>
      </c>
      <c r="J122" s="104">
        <f t="shared" si="79"/>
        <v>33.700000000000003</v>
      </c>
      <c r="K122" s="104">
        <f>ROUNDUP(J122*ТАРИФЫ!$G$19/1000,1)</f>
        <v>4</v>
      </c>
      <c r="L122" s="98">
        <f t="shared" si="76"/>
        <v>688.80000000000007</v>
      </c>
      <c r="M122" s="71" t="s">
        <v>110</v>
      </c>
      <c r="N122" s="73">
        <f t="shared" si="80"/>
        <v>0</v>
      </c>
    </row>
    <row r="123" spans="1:14" ht="45" customHeight="1" thickBot="1" x14ac:dyDescent="0.3">
      <c r="A123" s="97" t="s">
        <v>27</v>
      </c>
      <c r="B123" s="98">
        <f t="shared" ref="B123:K123" si="81">SUM(B124:B125)</f>
        <v>11.4</v>
      </c>
      <c r="C123" s="99">
        <f t="shared" si="81"/>
        <v>68</v>
      </c>
      <c r="D123" s="98">
        <f t="shared" si="81"/>
        <v>181.39999999999998</v>
      </c>
      <c r="E123" s="98">
        <f t="shared" si="81"/>
        <v>1449</v>
      </c>
      <c r="F123" s="98">
        <f t="shared" si="81"/>
        <v>3.4000000000000004</v>
      </c>
      <c r="G123" s="98">
        <f t="shared" si="81"/>
        <v>34.700000000000003</v>
      </c>
      <c r="H123" s="98">
        <f t="shared" si="81"/>
        <v>188.9</v>
      </c>
      <c r="I123" s="98">
        <f t="shared" si="81"/>
        <v>12.399999999999999</v>
      </c>
      <c r="J123" s="98">
        <f t="shared" si="81"/>
        <v>188.9</v>
      </c>
      <c r="K123" s="98">
        <f t="shared" si="81"/>
        <v>19</v>
      </c>
      <c r="L123" s="98">
        <f t="shared" si="76"/>
        <v>1583.1000000000001</v>
      </c>
      <c r="M123" s="71"/>
      <c r="N123" s="71"/>
    </row>
    <row r="124" spans="1:14" ht="20.100000000000001" customHeight="1" thickBot="1" x14ac:dyDescent="0.3">
      <c r="A124" s="97" t="s">
        <v>12</v>
      </c>
      <c r="B124" s="99">
        <f t="shared" ref="B124:K124" si="82">SUM(B128+B131+B134+B137)</f>
        <v>5</v>
      </c>
      <c r="C124" s="99">
        <f t="shared" si="82"/>
        <v>28.900000000000002</v>
      </c>
      <c r="D124" s="99">
        <f t="shared" si="82"/>
        <v>107.39999999999999</v>
      </c>
      <c r="E124" s="99">
        <f t="shared" si="82"/>
        <v>857.3</v>
      </c>
      <c r="F124" s="99">
        <f t="shared" si="82"/>
        <v>1.7000000000000002</v>
      </c>
      <c r="G124" s="99">
        <f t="shared" si="82"/>
        <v>17.2</v>
      </c>
      <c r="H124" s="99">
        <f t="shared" si="82"/>
        <v>95.8</v>
      </c>
      <c r="I124" s="99">
        <f t="shared" si="82"/>
        <v>6.2</v>
      </c>
      <c r="J124" s="99">
        <f t="shared" si="82"/>
        <v>95.8</v>
      </c>
      <c r="K124" s="99">
        <f t="shared" si="82"/>
        <v>9.4</v>
      </c>
      <c r="L124" s="98">
        <f t="shared" si="76"/>
        <v>919</v>
      </c>
      <c r="M124" s="71"/>
      <c r="N124" s="73">
        <f t="shared" ref="N124:N125" si="83">H124-J124</f>
        <v>0</v>
      </c>
    </row>
    <row r="125" spans="1:14" ht="20.100000000000001" customHeight="1" thickBot="1" x14ac:dyDescent="0.3">
      <c r="A125" s="97" t="s">
        <v>13</v>
      </c>
      <c r="B125" s="99">
        <f t="shared" ref="B125:K125" si="84">SUM(B129+B132+B135+B138)</f>
        <v>6.4</v>
      </c>
      <c r="C125" s="115">
        <f t="shared" si="84"/>
        <v>39.1</v>
      </c>
      <c r="D125" s="99">
        <f t="shared" si="84"/>
        <v>74</v>
      </c>
      <c r="E125" s="115">
        <f t="shared" si="84"/>
        <v>591.70000000000005</v>
      </c>
      <c r="F125" s="99">
        <f t="shared" si="84"/>
        <v>1.7000000000000002</v>
      </c>
      <c r="G125" s="115">
        <f t="shared" si="84"/>
        <v>17.5</v>
      </c>
      <c r="H125" s="99">
        <f t="shared" si="84"/>
        <v>93.100000000000009</v>
      </c>
      <c r="I125" s="115">
        <f t="shared" si="84"/>
        <v>6.1999999999999993</v>
      </c>
      <c r="J125" s="99">
        <f t="shared" si="84"/>
        <v>93.100000000000009</v>
      </c>
      <c r="K125" s="99">
        <f t="shared" si="84"/>
        <v>9.6000000000000014</v>
      </c>
      <c r="L125" s="98">
        <f t="shared" si="76"/>
        <v>664.10000000000014</v>
      </c>
      <c r="M125" s="71"/>
      <c r="N125" s="73">
        <f t="shared" si="83"/>
        <v>0</v>
      </c>
    </row>
    <row r="126" spans="1:14" ht="18" customHeight="1" thickBot="1" x14ac:dyDescent="0.3">
      <c r="A126" s="100" t="s">
        <v>19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10"/>
      <c r="M126" s="71"/>
      <c r="N126" s="71"/>
    </row>
    <row r="127" spans="1:14" ht="45" customHeight="1" thickBot="1" x14ac:dyDescent="0.3">
      <c r="A127" s="97" t="s">
        <v>71</v>
      </c>
      <c r="B127" s="98">
        <f t="shared" ref="B127:K127" si="85">SUM(B128:B129)</f>
        <v>8.6999999999999993</v>
      </c>
      <c r="C127" s="99">
        <f t="shared" si="85"/>
        <v>51.7</v>
      </c>
      <c r="D127" s="98">
        <f t="shared" si="85"/>
        <v>121.19999999999999</v>
      </c>
      <c r="E127" s="98">
        <f t="shared" si="85"/>
        <v>733.30000000000007</v>
      </c>
      <c r="F127" s="98">
        <f t="shared" si="85"/>
        <v>1</v>
      </c>
      <c r="G127" s="98">
        <f t="shared" si="85"/>
        <v>6.2</v>
      </c>
      <c r="H127" s="98">
        <f t="shared" si="85"/>
        <v>50.6</v>
      </c>
      <c r="I127" s="98">
        <f t="shared" si="85"/>
        <v>2.1</v>
      </c>
      <c r="J127" s="98">
        <f t="shared" si="85"/>
        <v>50.6</v>
      </c>
      <c r="K127" s="98">
        <f t="shared" si="85"/>
        <v>4</v>
      </c>
      <c r="L127" s="98">
        <f t="shared" ref="L127:L145" si="86">SUM(C127,E127,G127,I127,K127)</f>
        <v>797.30000000000018</v>
      </c>
      <c r="M127" s="71"/>
      <c r="N127" s="71"/>
    </row>
    <row r="128" spans="1:14" ht="20.100000000000001" customHeight="1" thickBot="1" x14ac:dyDescent="0.3">
      <c r="A128" s="103" t="s">
        <v>12</v>
      </c>
      <c r="B128" s="105">
        <v>3.8</v>
      </c>
      <c r="C128" s="105">
        <f>ROUNDUP(B128*ТАРИФЫ!$F$21,1)</f>
        <v>21.900000000000002</v>
      </c>
      <c r="D128" s="104">
        <v>71.3</v>
      </c>
      <c r="E128" s="104">
        <f>ROUNDUP(D128*ТАРИФЫ!$F$5/1000,1)</f>
        <v>431.40000000000003</v>
      </c>
      <c r="F128" s="104">
        <v>0.5</v>
      </c>
      <c r="G128" s="104">
        <f>ROUNDUP(F128*ТАРИФЫ!$F$5/1000,1)</f>
        <v>3.1</v>
      </c>
      <c r="H128" s="104">
        <v>26</v>
      </c>
      <c r="I128" s="104">
        <f>ROUNDUP(H128*ТАРИФЫ!$F$10/1000,1)</f>
        <v>1.1000000000000001</v>
      </c>
      <c r="J128" s="104">
        <v>26</v>
      </c>
      <c r="K128" s="104">
        <f>ROUND(J128*ТАРИФЫ!$F$15/1000,1)</f>
        <v>2</v>
      </c>
      <c r="L128" s="98">
        <f t="shared" si="86"/>
        <v>459.50000000000006</v>
      </c>
      <c r="M128" s="71" t="s">
        <v>108</v>
      </c>
      <c r="N128" s="73">
        <f t="shared" ref="N128:N129" si="87">H128-J128</f>
        <v>0</v>
      </c>
    </row>
    <row r="129" spans="1:22" ht="20.100000000000001" customHeight="1" thickBot="1" x14ac:dyDescent="0.3">
      <c r="A129" s="103" t="s">
        <v>13</v>
      </c>
      <c r="B129" s="105">
        <v>4.9000000000000004</v>
      </c>
      <c r="C129" s="105">
        <f>ROUNDUP(B129*ТАРИФЫ!$G$21,1)</f>
        <v>29.8</v>
      </c>
      <c r="D129" s="104">
        <v>49.9</v>
      </c>
      <c r="E129" s="104">
        <f>ROUNDUP(D129*ТАРИФЫ!$G$5/1000,1)</f>
        <v>301.90000000000003</v>
      </c>
      <c r="F129" s="104">
        <v>0.5</v>
      </c>
      <c r="G129" s="104">
        <f>ROUNDUP(F129*ТАРИФЫ!$G$5/1000,1)</f>
        <v>3.1</v>
      </c>
      <c r="H129" s="104">
        <v>24.6</v>
      </c>
      <c r="I129" s="104">
        <f>ROUND(H129*ТАРИФЫ!$G$10/1000,1)</f>
        <v>1</v>
      </c>
      <c r="J129" s="104">
        <v>24.6</v>
      </c>
      <c r="K129" s="104">
        <f>ROUND(J129*ТАРИФЫ!$G$15/1000,1)</f>
        <v>2</v>
      </c>
      <c r="L129" s="98">
        <f t="shared" si="86"/>
        <v>337.80000000000007</v>
      </c>
      <c r="M129" s="71" t="s">
        <v>108</v>
      </c>
      <c r="N129" s="73">
        <f t="shared" si="87"/>
        <v>0</v>
      </c>
    </row>
    <row r="130" spans="1:22" ht="45" customHeight="1" thickBot="1" x14ac:dyDescent="0.3">
      <c r="A130" s="97" t="s">
        <v>59</v>
      </c>
      <c r="B130" s="98">
        <f t="shared" ref="B130:K130" si="88">SUM(B131:B132)</f>
        <v>2.1</v>
      </c>
      <c r="C130" s="99">
        <f t="shared" si="88"/>
        <v>12.5</v>
      </c>
      <c r="D130" s="98">
        <f t="shared" si="88"/>
        <v>37.6</v>
      </c>
      <c r="E130" s="98">
        <f t="shared" si="88"/>
        <v>439.70000000000005</v>
      </c>
      <c r="F130" s="98">
        <f t="shared" si="88"/>
        <v>2.2000000000000002</v>
      </c>
      <c r="G130" s="98">
        <f t="shared" si="88"/>
        <v>25.9</v>
      </c>
      <c r="H130" s="98">
        <f t="shared" si="88"/>
        <v>115.4</v>
      </c>
      <c r="I130" s="98">
        <f t="shared" si="88"/>
        <v>8.6999999999999993</v>
      </c>
      <c r="J130" s="98">
        <f t="shared" si="88"/>
        <v>115.4</v>
      </c>
      <c r="K130" s="98">
        <f t="shared" si="88"/>
        <v>13.399999999999999</v>
      </c>
      <c r="L130" s="98">
        <f t="shared" si="86"/>
        <v>500.2</v>
      </c>
      <c r="M130" s="71"/>
      <c r="N130" s="71"/>
    </row>
    <row r="131" spans="1:22" ht="20.100000000000001" customHeight="1" thickBot="1" x14ac:dyDescent="0.3">
      <c r="A131" s="103" t="s">
        <v>12</v>
      </c>
      <c r="B131" s="105">
        <v>0.9</v>
      </c>
      <c r="C131" s="105">
        <f>ROUNDUP(B131*ТАРИФЫ!$F$24,1)</f>
        <v>5.1999999999999993</v>
      </c>
      <c r="D131" s="104">
        <v>23</v>
      </c>
      <c r="E131" s="104">
        <f>ROUNDUP(D131*ТАРИФЫ!$F$8/1000,1)</f>
        <v>265.90000000000003</v>
      </c>
      <c r="F131" s="104">
        <v>1.1000000000000001</v>
      </c>
      <c r="G131" s="104">
        <f>ROUNDUP(F131*ТАРИФЫ!$F$8/1000,1)</f>
        <v>12.799999999999999</v>
      </c>
      <c r="H131" s="104">
        <v>58</v>
      </c>
      <c r="I131" s="104">
        <f>ROUNDUP(H131*ТАРИФЫ!$F$13/1000,1)</f>
        <v>4.3</v>
      </c>
      <c r="J131" s="104">
        <f t="shared" ref="J131:J132" si="89">H131</f>
        <v>58</v>
      </c>
      <c r="K131" s="104">
        <f>ROUNDUP(J131*ТАРИФЫ!$F$19/1000,1)</f>
        <v>6.6</v>
      </c>
      <c r="L131" s="98">
        <f t="shared" si="86"/>
        <v>294.80000000000007</v>
      </c>
      <c r="M131" s="71" t="s">
        <v>110</v>
      </c>
      <c r="N131" s="73">
        <f t="shared" ref="N131:N132" si="90">H131-J131</f>
        <v>0</v>
      </c>
    </row>
    <row r="132" spans="1:22" ht="20.100000000000001" customHeight="1" thickBot="1" x14ac:dyDescent="0.3">
      <c r="A132" s="103" t="s">
        <v>13</v>
      </c>
      <c r="B132" s="105">
        <v>1.2</v>
      </c>
      <c r="C132" s="105">
        <f>ROUNDUP(B132*ТАРИФЫ!$G$24,1)</f>
        <v>7.3</v>
      </c>
      <c r="D132" s="104">
        <v>14.6</v>
      </c>
      <c r="E132" s="104">
        <f>ROUNDUP(D132*ТАРИФЫ!$G$8/1000,1)</f>
        <v>173.79999999999998</v>
      </c>
      <c r="F132" s="104">
        <v>1.1000000000000001</v>
      </c>
      <c r="G132" s="104">
        <f>ROUNDUP(F132*ТАРИФЫ!$G$8/1000,1)</f>
        <v>13.1</v>
      </c>
      <c r="H132" s="104">
        <v>57.4</v>
      </c>
      <c r="I132" s="104">
        <f>ROUNDUP(H132*ТАРИФЫ!$G$13/1000,1)</f>
        <v>4.3999999999999995</v>
      </c>
      <c r="J132" s="104">
        <f t="shared" si="89"/>
        <v>57.4</v>
      </c>
      <c r="K132" s="104">
        <f>ROUNDUP(J132*ТАРИФЫ!$G$19/1000,1)</f>
        <v>6.8</v>
      </c>
      <c r="L132" s="98">
        <f t="shared" si="86"/>
        <v>205.4</v>
      </c>
      <c r="M132" s="71" t="s">
        <v>110</v>
      </c>
      <c r="N132" s="73">
        <f t="shared" si="90"/>
        <v>0</v>
      </c>
    </row>
    <row r="133" spans="1:22" ht="45" customHeight="1" thickBot="1" x14ac:dyDescent="0.3">
      <c r="A133" s="97" t="s">
        <v>60</v>
      </c>
      <c r="B133" s="98">
        <f t="shared" ref="B133:K133" si="91">SUM(B134:B135)</f>
        <v>0.4</v>
      </c>
      <c r="C133" s="99">
        <f t="shared" si="91"/>
        <v>2.5</v>
      </c>
      <c r="D133" s="98">
        <f t="shared" si="91"/>
        <v>13.6</v>
      </c>
      <c r="E133" s="98">
        <f t="shared" si="91"/>
        <v>165.3</v>
      </c>
      <c r="F133" s="98">
        <f t="shared" si="91"/>
        <v>0</v>
      </c>
      <c r="G133" s="98">
        <f t="shared" si="91"/>
        <v>0</v>
      </c>
      <c r="H133" s="98">
        <f t="shared" si="91"/>
        <v>15</v>
      </c>
      <c r="I133" s="98">
        <f t="shared" si="91"/>
        <v>1.2</v>
      </c>
      <c r="J133" s="98">
        <f t="shared" si="91"/>
        <v>15</v>
      </c>
      <c r="K133" s="98">
        <f t="shared" si="91"/>
        <v>0.6</v>
      </c>
      <c r="L133" s="98">
        <f t="shared" si="86"/>
        <v>169.6</v>
      </c>
      <c r="M133" s="71"/>
      <c r="N133" s="71"/>
    </row>
    <row r="134" spans="1:22" ht="20.100000000000001" customHeight="1" thickBot="1" x14ac:dyDescent="0.3">
      <c r="A134" s="103" t="s">
        <v>12</v>
      </c>
      <c r="B134" s="105">
        <v>0.2</v>
      </c>
      <c r="C134" s="105">
        <f>ROUNDUP(B134*ТАРИФЫ!$F$22,1)</f>
        <v>1.2000000000000002</v>
      </c>
      <c r="D134" s="104">
        <v>7.8</v>
      </c>
      <c r="E134" s="104">
        <f>ROUNDUP(D134*ТАРИФЫ!$F$6/1000,1)</f>
        <v>94.8</v>
      </c>
      <c r="F134" s="104">
        <v>0</v>
      </c>
      <c r="G134" s="105">
        <f>MROUND(F134*ТАРИФЫ!$F$6/1000,1)</f>
        <v>0</v>
      </c>
      <c r="H134" s="104">
        <v>7.6</v>
      </c>
      <c r="I134" s="104">
        <f>ROUNDUP(H134*ТАРИФЫ!$F$11/1000,1)</f>
        <v>0.6</v>
      </c>
      <c r="J134" s="104">
        <f t="shared" ref="J134:J135" si="92">H134</f>
        <v>7.6</v>
      </c>
      <c r="K134" s="104">
        <f>ROUND(J134*ТАРИФЫ!$F$16/1000,1)</f>
        <v>0.3</v>
      </c>
      <c r="L134" s="98">
        <f t="shared" si="86"/>
        <v>96.899999999999991</v>
      </c>
      <c r="M134" s="71" t="s">
        <v>111</v>
      </c>
      <c r="N134" s="73">
        <f t="shared" ref="N134:N135" si="93">H134-J134</f>
        <v>0</v>
      </c>
    </row>
    <row r="135" spans="1:22" ht="20.100000000000001" customHeight="1" thickBot="1" x14ac:dyDescent="0.3">
      <c r="A135" s="103" t="s">
        <v>13</v>
      </c>
      <c r="B135" s="105">
        <v>0.2</v>
      </c>
      <c r="C135" s="105">
        <f>ROUNDUP(B135*ТАРИФЫ!$G$22,1)</f>
        <v>1.3</v>
      </c>
      <c r="D135" s="104">
        <v>5.8</v>
      </c>
      <c r="E135" s="104">
        <f>ROUNDUP(D135*ТАРИФЫ!$G$6/1000,1)</f>
        <v>70.5</v>
      </c>
      <c r="F135" s="104">
        <v>0</v>
      </c>
      <c r="G135" s="105">
        <f>MROUND(F135*ТАРИФЫ!$G$6/1000,1)</f>
        <v>0</v>
      </c>
      <c r="H135" s="104">
        <v>7.4</v>
      </c>
      <c r="I135" s="104">
        <f>ROUNDUP(H135*ТАРИФЫ!$G$11/1000,1)</f>
        <v>0.6</v>
      </c>
      <c r="J135" s="104">
        <f t="shared" si="92"/>
        <v>7.4</v>
      </c>
      <c r="K135" s="104">
        <f>ROUND(J135*ТАРИФЫ!$G$16/1000,1)</f>
        <v>0.3</v>
      </c>
      <c r="L135" s="98">
        <f t="shared" si="86"/>
        <v>72.699999999999989</v>
      </c>
      <c r="M135" s="71" t="s">
        <v>111</v>
      </c>
      <c r="N135" s="73">
        <f t="shared" si="93"/>
        <v>0</v>
      </c>
    </row>
    <row r="136" spans="1:22" ht="45" customHeight="1" thickBot="1" x14ac:dyDescent="0.3">
      <c r="A136" s="97" t="s">
        <v>73</v>
      </c>
      <c r="B136" s="98">
        <f t="shared" ref="B136:K136" si="94">SUM(B137:B138)</f>
        <v>0.2</v>
      </c>
      <c r="C136" s="99">
        <f t="shared" si="94"/>
        <v>1.2999999999999998</v>
      </c>
      <c r="D136" s="98">
        <f t="shared" si="94"/>
        <v>9</v>
      </c>
      <c r="E136" s="98">
        <f t="shared" si="94"/>
        <v>110.69999999999999</v>
      </c>
      <c r="F136" s="98">
        <f t="shared" si="94"/>
        <v>0.2</v>
      </c>
      <c r="G136" s="98">
        <f t="shared" si="94"/>
        <v>2.6</v>
      </c>
      <c r="H136" s="98">
        <f t="shared" si="94"/>
        <v>7.9</v>
      </c>
      <c r="I136" s="98">
        <f t="shared" si="94"/>
        <v>0.4</v>
      </c>
      <c r="J136" s="98">
        <f t="shared" si="94"/>
        <v>7.9</v>
      </c>
      <c r="K136" s="98">
        <f t="shared" si="94"/>
        <v>1</v>
      </c>
      <c r="L136" s="98">
        <f t="shared" si="86"/>
        <v>115.99999999999999</v>
      </c>
      <c r="M136" s="71"/>
      <c r="N136" s="71"/>
    </row>
    <row r="137" spans="1:22" ht="20.100000000000001" customHeight="1" thickBot="1" x14ac:dyDescent="0.3">
      <c r="A137" s="103" t="s">
        <v>12</v>
      </c>
      <c r="B137" s="105">
        <v>0.1</v>
      </c>
      <c r="C137" s="105">
        <f>ROUNDUP(B137*ТАРИФЫ!$F$23,1)</f>
        <v>0.6</v>
      </c>
      <c r="D137" s="104">
        <v>5.3</v>
      </c>
      <c r="E137" s="105">
        <f>ROUNDUP(D137*ТАРИФЫ!$F$7/1000,1)</f>
        <v>65.199999999999989</v>
      </c>
      <c r="F137" s="104">
        <v>0.1</v>
      </c>
      <c r="G137" s="105">
        <f>ROUNDUP(F137*ТАРИФЫ!$F$7/1000,1)</f>
        <v>1.3</v>
      </c>
      <c r="H137" s="104">
        <v>4.2</v>
      </c>
      <c r="I137" s="105">
        <f>ROUNDUP(H137*ТАРИФЫ!$F$12/1000,1)</f>
        <v>0.2</v>
      </c>
      <c r="J137" s="104">
        <f t="shared" ref="J137:J138" si="95">H137</f>
        <v>4.2</v>
      </c>
      <c r="K137" s="105">
        <f>ROUNDUP(J137*ТАРИФЫ!$F$17/1000,1)</f>
        <v>0.5</v>
      </c>
      <c r="L137" s="98">
        <f t="shared" si="86"/>
        <v>67.799999999999983</v>
      </c>
      <c r="M137" s="71" t="s">
        <v>112</v>
      </c>
      <c r="N137" s="73">
        <f t="shared" ref="N137:N138" si="96">H137-J137</f>
        <v>0</v>
      </c>
    </row>
    <row r="138" spans="1:22" ht="20.100000000000001" customHeight="1" thickBot="1" x14ac:dyDescent="0.3">
      <c r="A138" s="103" t="s">
        <v>13</v>
      </c>
      <c r="B138" s="105">
        <v>0.1</v>
      </c>
      <c r="C138" s="105">
        <f>ROUNDUP(B138*ТАРИФЫ!$G$23,1)</f>
        <v>0.7</v>
      </c>
      <c r="D138" s="104">
        <v>3.7</v>
      </c>
      <c r="E138" s="105">
        <f>ROUNDUP(D138*ТАРИФЫ!$G$7/1000,1)</f>
        <v>45.5</v>
      </c>
      <c r="F138" s="104">
        <v>0.1</v>
      </c>
      <c r="G138" s="105">
        <f>ROUNDUP(F138*ТАРИФЫ!$G$7/1000,1)</f>
        <v>1.3</v>
      </c>
      <c r="H138" s="104">
        <v>3.7</v>
      </c>
      <c r="I138" s="105">
        <f>ROUNDUP(H138*ТАРИФЫ!$G$12/1000,1)</f>
        <v>0.2</v>
      </c>
      <c r="J138" s="104">
        <f t="shared" si="95"/>
        <v>3.7</v>
      </c>
      <c r="K138" s="105">
        <f>ROUNDUP(J138*ТАРИФЫ!$G$17/1000,1)</f>
        <v>0.5</v>
      </c>
      <c r="L138" s="98">
        <f t="shared" si="86"/>
        <v>48.2</v>
      </c>
      <c r="M138" s="71" t="s">
        <v>112</v>
      </c>
      <c r="N138" s="73">
        <f t="shared" si="96"/>
        <v>0</v>
      </c>
    </row>
    <row r="139" spans="1:22" ht="38.25" customHeight="1" thickBot="1" x14ac:dyDescent="0.3">
      <c r="A139" s="106" t="s">
        <v>14</v>
      </c>
      <c r="B139" s="107">
        <f t="shared" ref="B139:K139" si="97">SUM(B140:B141)</f>
        <v>91</v>
      </c>
      <c r="C139" s="108">
        <f t="shared" si="97"/>
        <v>539.79999999999995</v>
      </c>
      <c r="D139" s="107">
        <f t="shared" si="97"/>
        <v>614.20000000000005</v>
      </c>
      <c r="E139" s="107">
        <f t="shared" si="97"/>
        <v>4799.8</v>
      </c>
      <c r="F139" s="107">
        <f t="shared" si="97"/>
        <v>11.2</v>
      </c>
      <c r="G139" s="107">
        <f t="shared" si="97"/>
        <v>86.7</v>
      </c>
      <c r="H139" s="107">
        <f t="shared" si="97"/>
        <v>1434.9</v>
      </c>
      <c r="I139" s="107">
        <f t="shared" si="97"/>
        <v>66.099999999999994</v>
      </c>
      <c r="J139" s="107">
        <f t="shared" si="97"/>
        <v>1434.9</v>
      </c>
      <c r="K139" s="107">
        <f t="shared" si="97"/>
        <v>120</v>
      </c>
      <c r="L139" s="107">
        <f t="shared" si="86"/>
        <v>5612.4000000000005</v>
      </c>
      <c r="M139" s="71"/>
      <c r="N139" s="71"/>
    </row>
    <row r="140" spans="1:22" ht="20.25" customHeight="1" thickBot="1" x14ac:dyDescent="0.3">
      <c r="A140" s="106" t="s">
        <v>12</v>
      </c>
      <c r="B140" s="108">
        <f t="shared" ref="B140:K140" si="98">SUM(B118+B121+B124)</f>
        <v>43.1</v>
      </c>
      <c r="C140" s="108">
        <f t="shared" si="98"/>
        <v>248.4</v>
      </c>
      <c r="D140" s="108">
        <f t="shared" si="98"/>
        <v>373.9</v>
      </c>
      <c r="E140" s="108">
        <f t="shared" si="98"/>
        <v>2902.5</v>
      </c>
      <c r="F140" s="108">
        <f t="shared" si="98"/>
        <v>5.7</v>
      </c>
      <c r="G140" s="108">
        <f t="shared" si="98"/>
        <v>42</v>
      </c>
      <c r="H140" s="108">
        <f t="shared" si="98"/>
        <v>741.69999999999993</v>
      </c>
      <c r="I140" s="108">
        <f t="shared" si="98"/>
        <v>33.5</v>
      </c>
      <c r="J140" s="108">
        <f t="shared" si="98"/>
        <v>741.69999999999993</v>
      </c>
      <c r="K140" s="108">
        <f t="shared" si="98"/>
        <v>60.9</v>
      </c>
      <c r="L140" s="107">
        <f t="shared" si="86"/>
        <v>3287.3</v>
      </c>
      <c r="M140" s="71"/>
      <c r="N140" s="73">
        <f t="shared" ref="N140:N141" si="99">H140-J140</f>
        <v>0</v>
      </c>
    </row>
    <row r="141" spans="1:22" ht="20.25" customHeight="1" thickBot="1" x14ac:dyDescent="0.3">
      <c r="A141" s="106" t="s">
        <v>13</v>
      </c>
      <c r="B141" s="108">
        <f t="shared" ref="B141:K141" si="100">SUM(B119+B122+B125)</f>
        <v>47.9</v>
      </c>
      <c r="C141" s="116">
        <f t="shared" si="100"/>
        <v>291.39999999999998</v>
      </c>
      <c r="D141" s="108">
        <f t="shared" si="100"/>
        <v>240.3</v>
      </c>
      <c r="E141" s="116">
        <f t="shared" si="100"/>
        <v>1897.3000000000002</v>
      </c>
      <c r="F141" s="108">
        <f t="shared" si="100"/>
        <v>5.5</v>
      </c>
      <c r="G141" s="116">
        <f t="shared" si="100"/>
        <v>44.7</v>
      </c>
      <c r="H141" s="108">
        <f t="shared" si="100"/>
        <v>693.2</v>
      </c>
      <c r="I141" s="116">
        <f t="shared" si="100"/>
        <v>32.6</v>
      </c>
      <c r="J141" s="108">
        <f t="shared" si="100"/>
        <v>693.2</v>
      </c>
      <c r="K141" s="108">
        <f t="shared" si="100"/>
        <v>59.1</v>
      </c>
      <c r="L141" s="107">
        <f t="shared" si="86"/>
        <v>2325.1</v>
      </c>
      <c r="M141" s="71"/>
      <c r="N141" s="73">
        <f t="shared" si="99"/>
        <v>0</v>
      </c>
    </row>
    <row r="142" spans="1:22" ht="27.75" customHeight="1" thickBot="1" x14ac:dyDescent="0.3">
      <c r="A142" s="100" t="s">
        <v>74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10"/>
      <c r="M142" s="71"/>
      <c r="N142" s="71"/>
    </row>
    <row r="143" spans="1:22" ht="61.5" customHeight="1" thickBot="1" x14ac:dyDescent="0.3">
      <c r="A143" s="106" t="s">
        <v>14</v>
      </c>
      <c r="B143" s="98">
        <f>B144+B145</f>
        <v>1006.9200000000001</v>
      </c>
      <c r="C143" s="98">
        <f t="shared" ref="C143:K143" si="101">C144+C145</f>
        <v>5959.4</v>
      </c>
      <c r="D143" s="98">
        <f t="shared" si="101"/>
        <v>1256</v>
      </c>
      <c r="E143" s="98">
        <f t="shared" si="101"/>
        <v>9298.9</v>
      </c>
      <c r="F143" s="98">
        <f t="shared" si="101"/>
        <v>462.90999999999997</v>
      </c>
      <c r="G143" s="98">
        <f t="shared" si="101"/>
        <v>2800.6</v>
      </c>
      <c r="H143" s="98">
        <f t="shared" si="101"/>
        <v>11595.170000000002</v>
      </c>
      <c r="I143" s="98">
        <f t="shared" si="101"/>
        <v>476.5</v>
      </c>
      <c r="J143" s="98">
        <f t="shared" si="101"/>
        <v>11595.170000000002</v>
      </c>
      <c r="K143" s="98">
        <f t="shared" si="101"/>
        <v>915.6</v>
      </c>
      <c r="L143" s="107">
        <f t="shared" si="86"/>
        <v>19450.999999999996</v>
      </c>
      <c r="M143" s="71"/>
      <c r="N143" s="71"/>
      <c r="V143" s="23"/>
    </row>
    <row r="144" spans="1:22" ht="28.5" customHeight="1" thickBot="1" x14ac:dyDescent="0.3">
      <c r="A144" s="106" t="s">
        <v>12</v>
      </c>
      <c r="B144" s="99">
        <f>B151+B161+B148</f>
        <v>504.63000000000005</v>
      </c>
      <c r="C144" s="99">
        <f t="shared" ref="C144:K144" si="102">C151+C161+C148</f>
        <v>2906.9</v>
      </c>
      <c r="D144" s="99">
        <f t="shared" si="102"/>
        <v>714.8</v>
      </c>
      <c r="E144" s="99">
        <f t="shared" si="102"/>
        <v>5366.3</v>
      </c>
      <c r="F144" s="99">
        <f t="shared" si="102"/>
        <v>231.5</v>
      </c>
      <c r="G144" s="99">
        <f t="shared" si="102"/>
        <v>1400.6</v>
      </c>
      <c r="H144" s="99">
        <f t="shared" si="102"/>
        <v>6183.4400000000005</v>
      </c>
      <c r="I144" s="99">
        <f t="shared" si="102"/>
        <v>249.1</v>
      </c>
      <c r="J144" s="99">
        <f t="shared" si="102"/>
        <v>6183.4400000000005</v>
      </c>
      <c r="K144" s="99">
        <f t="shared" si="102"/>
        <v>480.5</v>
      </c>
      <c r="L144" s="107">
        <f t="shared" si="86"/>
        <v>10403.400000000001</v>
      </c>
      <c r="M144" s="71"/>
      <c r="N144" s="73">
        <f t="shared" ref="N144:N145" si="103">H144-J144</f>
        <v>0</v>
      </c>
    </row>
    <row r="145" spans="1:21" ht="28.5" customHeight="1" thickBot="1" x14ac:dyDescent="0.3">
      <c r="A145" s="106" t="s">
        <v>13</v>
      </c>
      <c r="B145" s="99">
        <f>B152+B162+B149</f>
        <v>502.29</v>
      </c>
      <c r="C145" s="99">
        <f t="shared" ref="C145:K145" si="104">C152+C162+C149</f>
        <v>3052.5</v>
      </c>
      <c r="D145" s="99">
        <f t="shared" si="104"/>
        <v>541.19999999999993</v>
      </c>
      <c r="E145" s="99">
        <f t="shared" si="104"/>
        <v>3932.6</v>
      </c>
      <c r="F145" s="99">
        <f t="shared" si="104"/>
        <v>231.41</v>
      </c>
      <c r="G145" s="99">
        <f t="shared" si="104"/>
        <v>1400</v>
      </c>
      <c r="H145" s="99">
        <f t="shared" si="104"/>
        <v>5411.7300000000005</v>
      </c>
      <c r="I145" s="99">
        <f t="shared" si="104"/>
        <v>227.39999999999998</v>
      </c>
      <c r="J145" s="99">
        <f t="shared" si="104"/>
        <v>5411.7300000000005</v>
      </c>
      <c r="K145" s="99">
        <f t="shared" si="104"/>
        <v>435.1</v>
      </c>
      <c r="L145" s="107">
        <f t="shared" si="86"/>
        <v>9047.6</v>
      </c>
      <c r="M145" s="71"/>
      <c r="N145" s="73">
        <f t="shared" si="103"/>
        <v>0</v>
      </c>
    </row>
    <row r="146" spans="1:21" ht="20.25" customHeight="1" thickBot="1" x14ac:dyDescent="0.3">
      <c r="A146" s="117" t="s">
        <v>19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9"/>
      <c r="M146" s="71"/>
      <c r="N146" s="71"/>
    </row>
    <row r="147" spans="1:21" ht="45" customHeight="1" thickBot="1" x14ac:dyDescent="0.3">
      <c r="A147" s="97" t="s">
        <v>129</v>
      </c>
      <c r="B147" s="98">
        <f t="shared" ref="B147:K147" si="105">SUM(B148:B149)</f>
        <v>0.72</v>
      </c>
      <c r="C147" s="99">
        <f t="shared" si="105"/>
        <v>4.3</v>
      </c>
      <c r="D147" s="98">
        <f t="shared" si="105"/>
        <v>38.299999999999997</v>
      </c>
      <c r="E147" s="98">
        <f t="shared" si="105"/>
        <v>231.79999999999998</v>
      </c>
      <c r="F147" s="98">
        <f t="shared" si="105"/>
        <v>0.71</v>
      </c>
      <c r="G147" s="98">
        <f t="shared" si="105"/>
        <v>4.4000000000000004</v>
      </c>
      <c r="H147" s="98">
        <f t="shared" si="105"/>
        <v>27.17</v>
      </c>
      <c r="I147" s="98">
        <f t="shared" si="105"/>
        <v>1.2</v>
      </c>
      <c r="J147" s="98">
        <f t="shared" si="105"/>
        <v>27.17</v>
      </c>
      <c r="K147" s="98">
        <f t="shared" si="105"/>
        <v>2.2000000000000002</v>
      </c>
      <c r="L147" s="98">
        <f t="shared" ref="L147:L149" si="106">SUM(C147,E147,G147,I147,K147)</f>
        <v>243.89999999999998</v>
      </c>
      <c r="M147" s="71"/>
      <c r="N147" s="71"/>
      <c r="U147" s="23"/>
    </row>
    <row r="148" spans="1:21" ht="20.100000000000001" customHeight="1" thickBot="1" x14ac:dyDescent="0.3">
      <c r="A148" s="103" t="s">
        <v>12</v>
      </c>
      <c r="B148" s="105">
        <v>0.43</v>
      </c>
      <c r="C148" s="105">
        <f>ROUNDUP(B148*ТАРИФЫ!$F$21,1)</f>
        <v>2.5</v>
      </c>
      <c r="D148" s="104">
        <v>22.5</v>
      </c>
      <c r="E148" s="104">
        <f>ROUNDUP(D148*ТАРИФЫ!$F$5/1000,1)</f>
        <v>136.19999999999999</v>
      </c>
      <c r="F148" s="104">
        <v>0.4</v>
      </c>
      <c r="G148" s="104">
        <f>ROUNDUP(F148*ТАРИФЫ!$F$5/1000,1)</f>
        <v>2.5</v>
      </c>
      <c r="H148" s="104">
        <v>13.84</v>
      </c>
      <c r="I148" s="104">
        <f>ROUNDUP(H148*ТАРИФЫ!$F$10/1000,1)</f>
        <v>0.6</v>
      </c>
      <c r="J148" s="104">
        <v>13.84</v>
      </c>
      <c r="K148" s="104">
        <f>ROUND(J148*ТАРИФЫ!$F$15/1000,1)</f>
        <v>1.1000000000000001</v>
      </c>
      <c r="L148" s="98">
        <f t="shared" si="106"/>
        <v>142.89999999999998</v>
      </c>
      <c r="M148" s="71"/>
      <c r="N148" s="71"/>
      <c r="U148" s="23"/>
    </row>
    <row r="149" spans="1:21" ht="20.100000000000001" customHeight="1" thickBot="1" x14ac:dyDescent="0.3">
      <c r="A149" s="103" t="s">
        <v>13</v>
      </c>
      <c r="B149" s="105">
        <v>0.28999999999999998</v>
      </c>
      <c r="C149" s="105">
        <f>ROUNDUP(B149*ТАРИФЫ!$G$21,1)</f>
        <v>1.8</v>
      </c>
      <c r="D149" s="104">
        <v>15.8</v>
      </c>
      <c r="E149" s="104">
        <f>ROUNDUP(D149*ТАРИФЫ!$G$5/1000,1)</f>
        <v>95.6</v>
      </c>
      <c r="F149" s="104">
        <v>0.31</v>
      </c>
      <c r="G149" s="104">
        <f>ROUNDUP(F149*ТАРИФЫ!$G$5/1000,1)</f>
        <v>1.9000000000000001</v>
      </c>
      <c r="H149" s="104">
        <v>13.33</v>
      </c>
      <c r="I149" s="104">
        <f>ROUND(H149*ТАРИФЫ!$G$10/1000,1)</f>
        <v>0.6</v>
      </c>
      <c r="J149" s="104">
        <v>13.33</v>
      </c>
      <c r="K149" s="104">
        <f>ROUND(J149*ТАРИФЫ!$G$15/1000,1)</f>
        <v>1.1000000000000001</v>
      </c>
      <c r="L149" s="98">
        <f t="shared" si="106"/>
        <v>100.99999999999999</v>
      </c>
      <c r="M149" s="71"/>
      <c r="N149" s="71"/>
      <c r="U149" s="23"/>
    </row>
    <row r="150" spans="1:21" ht="45" customHeight="1" thickBot="1" x14ac:dyDescent="0.3">
      <c r="A150" s="97" t="s">
        <v>135</v>
      </c>
      <c r="B150" s="98">
        <f t="shared" ref="B150:K150" si="107">SUM(B151:B152)</f>
        <v>33</v>
      </c>
      <c r="C150" s="99">
        <f t="shared" si="107"/>
        <v>195.2</v>
      </c>
      <c r="D150" s="98">
        <f t="shared" si="107"/>
        <v>467.29999999999995</v>
      </c>
      <c r="E150" s="98">
        <f t="shared" si="107"/>
        <v>4527.8</v>
      </c>
      <c r="F150" s="98">
        <f t="shared" si="107"/>
        <v>1.4</v>
      </c>
      <c r="G150" s="98">
        <f t="shared" si="107"/>
        <v>8.6</v>
      </c>
      <c r="H150" s="98">
        <f t="shared" si="107"/>
        <v>203.39999999999998</v>
      </c>
      <c r="I150" s="98">
        <f t="shared" si="107"/>
        <v>8.6000000000000014</v>
      </c>
      <c r="J150" s="98">
        <f t="shared" si="107"/>
        <v>203.39999999999998</v>
      </c>
      <c r="K150" s="98">
        <f t="shared" si="107"/>
        <v>16.5</v>
      </c>
      <c r="L150" s="113">
        <f>SUM(C150,E150,G150,I150,K150)</f>
        <v>4756.7000000000007</v>
      </c>
      <c r="M150" s="71"/>
      <c r="N150" s="71"/>
    </row>
    <row r="151" spans="1:21" ht="20.100000000000001" customHeight="1" thickBot="1" x14ac:dyDescent="0.3">
      <c r="A151" s="97" t="s">
        <v>12</v>
      </c>
      <c r="B151" s="99">
        <f>SUM(B155+B158)</f>
        <v>17.600000000000001</v>
      </c>
      <c r="C151" s="99">
        <f>SUM(C155+C158)</f>
        <v>101.5</v>
      </c>
      <c r="D151" s="120">
        <f t="shared" ref="D151:K151" si="108">SUM(D155+D158)</f>
        <v>287.89999999999998</v>
      </c>
      <c r="E151" s="99">
        <f t="shared" si="108"/>
        <v>2783.8</v>
      </c>
      <c r="F151" s="99">
        <f t="shared" si="108"/>
        <v>0.7</v>
      </c>
      <c r="G151" s="99">
        <f t="shared" si="108"/>
        <v>4.3</v>
      </c>
      <c r="H151" s="99">
        <f t="shared" si="108"/>
        <v>45.8</v>
      </c>
      <c r="I151" s="99">
        <f t="shared" si="108"/>
        <v>2</v>
      </c>
      <c r="J151" s="99">
        <f t="shared" si="108"/>
        <v>45.8</v>
      </c>
      <c r="K151" s="99">
        <f t="shared" si="108"/>
        <v>3.6999999999999997</v>
      </c>
      <c r="L151" s="98">
        <f>SUM(C151,E151,G151,I151,K151)</f>
        <v>2895.3</v>
      </c>
      <c r="M151" s="71"/>
      <c r="N151" s="73">
        <f t="shared" ref="N151:N152" si="109">H151-J151</f>
        <v>0</v>
      </c>
    </row>
    <row r="152" spans="1:21" ht="20.100000000000001" customHeight="1" thickBot="1" x14ac:dyDescent="0.3">
      <c r="A152" s="97" t="s">
        <v>13</v>
      </c>
      <c r="B152" s="99">
        <f>SUM(B156+B159)</f>
        <v>15.399999999999999</v>
      </c>
      <c r="C152" s="115">
        <f>SUM(C156+C159)</f>
        <v>93.699999999999989</v>
      </c>
      <c r="D152" s="99">
        <f t="shared" ref="D152:K152" si="110">SUM(D156+D159)</f>
        <v>179.39999999999998</v>
      </c>
      <c r="E152" s="99">
        <f t="shared" si="110"/>
        <v>1744</v>
      </c>
      <c r="F152" s="99">
        <f t="shared" si="110"/>
        <v>0.7</v>
      </c>
      <c r="G152" s="99">
        <f t="shared" si="110"/>
        <v>4.3</v>
      </c>
      <c r="H152" s="99">
        <f t="shared" si="110"/>
        <v>157.6</v>
      </c>
      <c r="I152" s="99">
        <f t="shared" si="110"/>
        <v>6.6000000000000005</v>
      </c>
      <c r="J152" s="99">
        <f t="shared" si="110"/>
        <v>157.6</v>
      </c>
      <c r="K152" s="99">
        <f t="shared" si="110"/>
        <v>12.8</v>
      </c>
      <c r="L152" s="98">
        <f>SUM(C152,E152,G152,I152,K152)</f>
        <v>1861.3999999999999</v>
      </c>
      <c r="M152" s="71"/>
      <c r="N152" s="73">
        <f t="shared" si="109"/>
        <v>0</v>
      </c>
    </row>
    <row r="153" spans="1:21" ht="18" customHeight="1" thickBot="1" x14ac:dyDescent="0.3">
      <c r="A153" s="100" t="s">
        <v>19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2"/>
      <c r="M153" s="71"/>
      <c r="N153" s="71"/>
    </row>
    <row r="154" spans="1:21" ht="60" customHeight="1" thickBot="1" x14ac:dyDescent="0.3">
      <c r="A154" s="97" t="s">
        <v>61</v>
      </c>
      <c r="B154" s="98">
        <f t="shared" ref="B154:K154" si="111">SUM(B155:B156)</f>
        <v>23</v>
      </c>
      <c r="C154" s="99">
        <f t="shared" si="111"/>
        <v>136</v>
      </c>
      <c r="D154" s="98">
        <f t="shared" si="111"/>
        <v>194.6</v>
      </c>
      <c r="E154" s="98">
        <f t="shared" si="111"/>
        <v>1177.3000000000002</v>
      </c>
      <c r="F154" s="98">
        <f t="shared" si="111"/>
        <v>1.4</v>
      </c>
      <c r="G154" s="98">
        <f t="shared" si="111"/>
        <v>8.6</v>
      </c>
      <c r="H154" s="98">
        <f t="shared" si="111"/>
        <v>196</v>
      </c>
      <c r="I154" s="98">
        <f t="shared" si="111"/>
        <v>8.2000000000000011</v>
      </c>
      <c r="J154" s="98">
        <f t="shared" si="111"/>
        <v>196</v>
      </c>
      <c r="K154" s="98">
        <f t="shared" si="111"/>
        <v>15.600000000000001</v>
      </c>
      <c r="L154" s="98">
        <f t="shared" ref="L154:L159" si="112">SUM(C154,E154,G154,I154,K154)</f>
        <v>1345.7</v>
      </c>
      <c r="M154" s="71"/>
      <c r="N154" s="71"/>
    </row>
    <row r="155" spans="1:21" ht="20.100000000000001" customHeight="1" thickBot="1" x14ac:dyDescent="0.3">
      <c r="A155" s="103" t="s">
        <v>12</v>
      </c>
      <c r="B155" s="105">
        <v>12.3</v>
      </c>
      <c r="C155" s="105">
        <f>ROUNDUP(B155*ТАРИФЫ!$F$21,1)</f>
        <v>70.899999999999991</v>
      </c>
      <c r="D155" s="104">
        <v>120.8</v>
      </c>
      <c r="E155" s="104">
        <f>ROUNDUP(D155*ТАРИФЫ!$F$5/1000,1)</f>
        <v>730.80000000000007</v>
      </c>
      <c r="F155" s="104">
        <v>0.7</v>
      </c>
      <c r="G155" s="104">
        <f>ROUNDUP(F155*ТАРИФЫ!$F$5/1000,1)</f>
        <v>4.3</v>
      </c>
      <c r="H155" s="104">
        <v>42.5</v>
      </c>
      <c r="I155" s="104">
        <f>ROUNDUP(H155*ТАРИФЫ!$F$10/1000,1)</f>
        <v>1.8</v>
      </c>
      <c r="J155" s="104">
        <v>42.5</v>
      </c>
      <c r="K155" s="104">
        <f>ROUND(J155*ТАРИФЫ!$F$15/1000,1)</f>
        <v>3.3</v>
      </c>
      <c r="L155" s="98">
        <f t="shared" si="112"/>
        <v>811.09999999999991</v>
      </c>
      <c r="M155" s="71" t="s">
        <v>108</v>
      </c>
      <c r="N155" s="73">
        <f t="shared" ref="N155:N156" si="113">H155-J155</f>
        <v>0</v>
      </c>
    </row>
    <row r="156" spans="1:21" ht="20.100000000000001" customHeight="1" thickBot="1" x14ac:dyDescent="0.3">
      <c r="A156" s="103" t="s">
        <v>13</v>
      </c>
      <c r="B156" s="105">
        <v>10.7</v>
      </c>
      <c r="C156" s="105">
        <f>ROUNDUP(B156*ТАРИФЫ!$G$21,1)</f>
        <v>65.099999999999994</v>
      </c>
      <c r="D156" s="104">
        <v>73.8</v>
      </c>
      <c r="E156" s="104">
        <f>ROUNDUP(D156*ТАРИФЫ!$G$5/1000,1)</f>
        <v>446.5</v>
      </c>
      <c r="F156" s="104">
        <v>0.7</v>
      </c>
      <c r="G156" s="104">
        <f>ROUNDUP(F156*ТАРИФЫ!$G$5/1000,1)</f>
        <v>4.3</v>
      </c>
      <c r="H156" s="104">
        <v>153.5</v>
      </c>
      <c r="I156" s="104">
        <f>ROUND(H156*ТАРИФЫ!$G$10/1000,1)</f>
        <v>6.4</v>
      </c>
      <c r="J156" s="104">
        <v>153.5</v>
      </c>
      <c r="K156" s="104">
        <f>ROUND(J156*ТАРИФЫ!$G$15/1000,1)</f>
        <v>12.3</v>
      </c>
      <c r="L156" s="98">
        <f t="shared" si="112"/>
        <v>534.59999999999991</v>
      </c>
      <c r="M156" s="71" t="s">
        <v>108</v>
      </c>
      <c r="N156" s="73">
        <f t="shared" si="113"/>
        <v>0</v>
      </c>
    </row>
    <row r="157" spans="1:21" ht="45" customHeight="1" thickBot="1" x14ac:dyDescent="0.3">
      <c r="A157" s="111" t="s">
        <v>69</v>
      </c>
      <c r="B157" s="98">
        <f t="shared" ref="B157:K157" si="114">SUM(B158:B159)</f>
        <v>10</v>
      </c>
      <c r="C157" s="99">
        <f t="shared" si="114"/>
        <v>59.2</v>
      </c>
      <c r="D157" s="98">
        <f t="shared" si="114"/>
        <v>272.7</v>
      </c>
      <c r="E157" s="98">
        <f t="shared" si="114"/>
        <v>3350.5</v>
      </c>
      <c r="F157" s="98">
        <f t="shared" si="114"/>
        <v>0</v>
      </c>
      <c r="G157" s="98">
        <f t="shared" si="114"/>
        <v>0</v>
      </c>
      <c r="H157" s="98">
        <f t="shared" si="114"/>
        <v>7.3999999999999995</v>
      </c>
      <c r="I157" s="98">
        <f t="shared" si="114"/>
        <v>0.4</v>
      </c>
      <c r="J157" s="98">
        <f t="shared" si="114"/>
        <v>7.3999999999999995</v>
      </c>
      <c r="K157" s="98">
        <f t="shared" si="114"/>
        <v>0.9</v>
      </c>
      <c r="L157" s="98">
        <f t="shared" si="112"/>
        <v>3411</v>
      </c>
      <c r="M157" s="76"/>
      <c r="N157" s="77"/>
    </row>
    <row r="158" spans="1:21" ht="20.100000000000001" customHeight="1" thickBot="1" x14ac:dyDescent="0.3">
      <c r="A158" s="103" t="s">
        <v>12</v>
      </c>
      <c r="B158" s="112">
        <v>5.3</v>
      </c>
      <c r="C158" s="105">
        <f>ROUNDUP(B158*ТАРИФЫ!$F$23,1)</f>
        <v>30.6</v>
      </c>
      <c r="D158" s="104">
        <v>167.1</v>
      </c>
      <c r="E158" s="105">
        <f>ROUNDUP(D158*ТАРИФЫ!$F$7/1000,1)</f>
        <v>2053</v>
      </c>
      <c r="F158" s="104">
        <v>0</v>
      </c>
      <c r="G158" s="105">
        <f>ROUNDUP(F158*ТАРИФЫ!$F$7/1000,1)</f>
        <v>0</v>
      </c>
      <c r="H158" s="104">
        <v>3.3</v>
      </c>
      <c r="I158" s="105">
        <f>ROUNDUP(H158*ТАРИФЫ!$F$12/1000,1)</f>
        <v>0.2</v>
      </c>
      <c r="J158" s="104">
        <f t="shared" ref="J158:J159" si="115">H158</f>
        <v>3.3</v>
      </c>
      <c r="K158" s="105">
        <f>ROUNDUP(J158*ТАРИФЫ!$F$17/1000,1)</f>
        <v>0.4</v>
      </c>
      <c r="L158" s="98">
        <f t="shared" si="112"/>
        <v>2084.1999999999998</v>
      </c>
      <c r="M158" s="71" t="s">
        <v>112</v>
      </c>
      <c r="N158" s="73">
        <f t="shared" ref="N158:N159" si="116">H158-J158</f>
        <v>0</v>
      </c>
    </row>
    <row r="159" spans="1:21" ht="20.100000000000001" customHeight="1" thickBot="1" x14ac:dyDescent="0.3">
      <c r="A159" s="103" t="s">
        <v>13</v>
      </c>
      <c r="B159" s="105">
        <v>4.7</v>
      </c>
      <c r="C159" s="105">
        <f>ROUNDUP(B159*ТАРИФЫ!$G$23,1)</f>
        <v>28.6</v>
      </c>
      <c r="D159" s="104">
        <v>105.6</v>
      </c>
      <c r="E159" s="105">
        <f>ROUNDUP(D159*ТАРИФЫ!$G$7/1000,1)</f>
        <v>1297.5</v>
      </c>
      <c r="F159" s="104">
        <v>0</v>
      </c>
      <c r="G159" s="105">
        <f>ROUNDUP(F159*ТАРИФЫ!$G$7/1000,1)</f>
        <v>0</v>
      </c>
      <c r="H159" s="104">
        <v>4.0999999999999996</v>
      </c>
      <c r="I159" s="105">
        <f>ROUNDUP(H159*ТАРИФЫ!$G$12/1000,1)</f>
        <v>0.2</v>
      </c>
      <c r="J159" s="104">
        <f t="shared" si="115"/>
        <v>4.0999999999999996</v>
      </c>
      <c r="K159" s="105">
        <f>ROUNDUP(J159*ТАРИФЫ!$G$17/1000,1)</f>
        <v>0.5</v>
      </c>
      <c r="L159" s="98">
        <f t="shared" si="112"/>
        <v>1326.8</v>
      </c>
      <c r="M159" s="71" t="s">
        <v>112</v>
      </c>
      <c r="N159" s="73">
        <f t="shared" si="116"/>
        <v>0</v>
      </c>
    </row>
    <row r="160" spans="1:21" ht="45" customHeight="1" thickBot="1" x14ac:dyDescent="0.3">
      <c r="A160" s="111" t="s">
        <v>78</v>
      </c>
      <c r="B160" s="98">
        <f t="shared" ref="B160:K160" si="117">SUM(B161:B162)</f>
        <v>973.2</v>
      </c>
      <c r="C160" s="99">
        <f t="shared" si="117"/>
        <v>5759.9</v>
      </c>
      <c r="D160" s="98">
        <f t="shared" si="117"/>
        <v>750.4</v>
      </c>
      <c r="E160" s="98">
        <f t="shared" si="117"/>
        <v>4539.2999999999993</v>
      </c>
      <c r="F160" s="98">
        <f t="shared" si="117"/>
        <v>460.8</v>
      </c>
      <c r="G160" s="98">
        <f t="shared" si="117"/>
        <v>2787.6</v>
      </c>
      <c r="H160" s="98">
        <f t="shared" si="117"/>
        <v>11364.6</v>
      </c>
      <c r="I160" s="98">
        <f t="shared" si="117"/>
        <v>466.7</v>
      </c>
      <c r="J160" s="98">
        <f t="shared" si="117"/>
        <v>11364.6</v>
      </c>
      <c r="K160" s="98">
        <f t="shared" si="117"/>
        <v>896.9</v>
      </c>
      <c r="L160" s="98">
        <f t="shared" ref="L160:L162" si="118">SUM(C160,E160,G160,I160,K160)</f>
        <v>14450.4</v>
      </c>
      <c r="M160" s="71"/>
      <c r="N160" s="71"/>
    </row>
    <row r="161" spans="1:14" ht="20.100000000000001" customHeight="1" thickBot="1" x14ac:dyDescent="0.3">
      <c r="A161" s="103" t="s">
        <v>12</v>
      </c>
      <c r="B161" s="105">
        <v>486.6</v>
      </c>
      <c r="C161" s="105">
        <f>ROUNDUP(B161*ТАРИФЫ!$F$21,1)</f>
        <v>2802.9</v>
      </c>
      <c r="D161" s="104">
        <v>404.4</v>
      </c>
      <c r="E161" s="104">
        <f>ROUNDUP(D161*ТАРИФЫ!$F$5/1000,1)</f>
        <v>2446.2999999999997</v>
      </c>
      <c r="F161" s="104">
        <v>230.4</v>
      </c>
      <c r="G161" s="104">
        <f>ROUNDUP(F161*ТАРИФЫ!$F$5/1000,1)</f>
        <v>1393.8</v>
      </c>
      <c r="H161" s="104">
        <v>6123.8</v>
      </c>
      <c r="I161" s="104">
        <f>ROUNDUP(H161*ТАРИФЫ!$F$10/1000,1)</f>
        <v>246.5</v>
      </c>
      <c r="J161" s="104">
        <v>6123.8</v>
      </c>
      <c r="K161" s="104">
        <f>ROUND(J161*ТАРИФЫ!$F$15/1000,1)</f>
        <v>475.7</v>
      </c>
      <c r="L161" s="98">
        <f t="shared" si="118"/>
        <v>7365.2</v>
      </c>
      <c r="M161" s="71" t="s">
        <v>108</v>
      </c>
      <c r="N161" s="73">
        <f t="shared" ref="N161:N162" si="119">H161-J161</f>
        <v>0</v>
      </c>
    </row>
    <row r="162" spans="1:14" ht="20.100000000000001" customHeight="1" thickBot="1" x14ac:dyDescent="0.3">
      <c r="A162" s="103" t="s">
        <v>13</v>
      </c>
      <c r="B162" s="105">
        <v>486.6</v>
      </c>
      <c r="C162" s="105">
        <f>ROUNDUP(B162*ТАРИФЫ!$G$21,1)</f>
        <v>2957</v>
      </c>
      <c r="D162" s="104">
        <v>346</v>
      </c>
      <c r="E162" s="104">
        <f>ROUNDUP(D162*ТАРИФЫ!$G$5/1000,1)</f>
        <v>2093</v>
      </c>
      <c r="F162" s="104">
        <v>230.4</v>
      </c>
      <c r="G162" s="104">
        <f>ROUNDUP(F162*ТАРИФЫ!$G$5/1000,1)</f>
        <v>1393.8</v>
      </c>
      <c r="H162" s="104">
        <v>5240.8</v>
      </c>
      <c r="I162" s="104">
        <f>ROUND(H162*ТАРИФЫ!$G$10/1000,1)</f>
        <v>220.2</v>
      </c>
      <c r="J162" s="104">
        <v>5240.8</v>
      </c>
      <c r="K162" s="104">
        <f>ROUND(J162*ТАРИФЫ!$G$15/1000,1)</f>
        <v>421.2</v>
      </c>
      <c r="L162" s="98">
        <f t="shared" si="118"/>
        <v>7085.2</v>
      </c>
      <c r="M162" s="71" t="s">
        <v>108</v>
      </c>
      <c r="N162" s="73">
        <f t="shared" si="119"/>
        <v>0</v>
      </c>
    </row>
    <row r="163" spans="1:14" ht="27.75" customHeight="1" thickBot="1" x14ac:dyDescent="0.3">
      <c r="A163" s="100" t="s">
        <v>22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10"/>
      <c r="M163" s="71"/>
      <c r="N163" s="71"/>
    </row>
    <row r="164" spans="1:14" ht="50.1" customHeight="1" thickBot="1" x14ac:dyDescent="0.3">
      <c r="A164" s="97" t="s">
        <v>72</v>
      </c>
      <c r="B164" s="98">
        <f t="shared" ref="B164:K164" si="120">SUM(B165:B166)</f>
        <v>8.6999999999999993</v>
      </c>
      <c r="C164" s="99">
        <f t="shared" si="120"/>
        <v>51.400000000000006</v>
      </c>
      <c r="D164" s="98">
        <f t="shared" si="120"/>
        <v>64.900000000000006</v>
      </c>
      <c r="E164" s="98">
        <f t="shared" si="120"/>
        <v>392.7</v>
      </c>
      <c r="F164" s="98">
        <f t="shared" si="120"/>
        <v>2</v>
      </c>
      <c r="G164" s="98">
        <f t="shared" si="120"/>
        <v>12.2</v>
      </c>
      <c r="H164" s="98">
        <f t="shared" si="120"/>
        <v>98.8</v>
      </c>
      <c r="I164" s="98">
        <f t="shared" si="120"/>
        <v>4.0999999999999996</v>
      </c>
      <c r="J164" s="98">
        <f t="shared" si="120"/>
        <v>98.8</v>
      </c>
      <c r="K164" s="98">
        <f t="shared" si="120"/>
        <v>7.8</v>
      </c>
      <c r="L164" s="98">
        <f>SUM(C164,E164,G164,I164,K164)</f>
        <v>468.20000000000005</v>
      </c>
      <c r="M164" s="71"/>
      <c r="N164" s="71"/>
    </row>
    <row r="165" spans="1:14" ht="28.5" customHeight="1" thickBot="1" x14ac:dyDescent="0.3">
      <c r="A165" s="97" t="s">
        <v>12</v>
      </c>
      <c r="B165" s="115">
        <v>4.8</v>
      </c>
      <c r="C165" s="99">
        <f>ROUNDUP(B165*ТАРИФЫ!$F$21,1)</f>
        <v>27.700000000000003</v>
      </c>
      <c r="D165" s="98">
        <v>35.4</v>
      </c>
      <c r="E165" s="98">
        <f>ROUNDUP(D165*ТАРИФЫ!$F$5/1000,1)</f>
        <v>214.2</v>
      </c>
      <c r="F165" s="98">
        <v>1.2</v>
      </c>
      <c r="G165" s="98">
        <f>ROUNDUP(F165*ТАРИФЫ!$F$5/1000,1)</f>
        <v>7.3</v>
      </c>
      <c r="H165" s="98">
        <v>49.4</v>
      </c>
      <c r="I165" s="98">
        <f>ROUNDUP(H165*ТАРИФЫ!$F$10/1000,1)</f>
        <v>2</v>
      </c>
      <c r="J165" s="98">
        <v>49.4</v>
      </c>
      <c r="K165" s="98">
        <f>ROUND(J165*ТАРИФЫ!$F$15/1000,1)</f>
        <v>3.8</v>
      </c>
      <c r="L165" s="98">
        <f>SUM(C165,E165,G165,I165,K165)</f>
        <v>255</v>
      </c>
      <c r="M165" s="71" t="s">
        <v>108</v>
      </c>
      <c r="N165" s="73">
        <f t="shared" ref="N165:N166" si="121">H165-J165</f>
        <v>0</v>
      </c>
    </row>
    <row r="166" spans="1:14" ht="28.5" customHeight="1" thickBot="1" x14ac:dyDescent="0.3">
      <c r="A166" s="97" t="s">
        <v>13</v>
      </c>
      <c r="B166" s="115">
        <v>3.9</v>
      </c>
      <c r="C166" s="99">
        <f>ROUNDUP(B166*ТАРИФЫ!$G$21,1)</f>
        <v>23.700000000000003</v>
      </c>
      <c r="D166" s="98">
        <v>29.5</v>
      </c>
      <c r="E166" s="98">
        <f>ROUNDUP(D166*ТАРИФЫ!$G$5/1000,1)</f>
        <v>178.5</v>
      </c>
      <c r="F166" s="98">
        <v>0.8</v>
      </c>
      <c r="G166" s="98">
        <f>ROUNDUP(F166*ТАРИФЫ!$G$5/1000,1)</f>
        <v>4.8999999999999995</v>
      </c>
      <c r="H166" s="98">
        <v>49.4</v>
      </c>
      <c r="I166" s="98">
        <f>ROUND(H166*ТАРИФЫ!$G$10/1000,1)</f>
        <v>2.1</v>
      </c>
      <c r="J166" s="98">
        <v>49.4</v>
      </c>
      <c r="K166" s="98">
        <f>ROUND(J166*ТАРИФЫ!$G$15/1000,1)</f>
        <v>4</v>
      </c>
      <c r="L166" s="98">
        <f>SUM(C166,E166,G166,I166,K166)</f>
        <v>213.2</v>
      </c>
      <c r="M166" s="71" t="s">
        <v>108</v>
      </c>
      <c r="N166" s="73">
        <f t="shared" si="121"/>
        <v>0</v>
      </c>
    </row>
    <row r="167" spans="1:14" ht="25.5" customHeight="1" thickBot="1" x14ac:dyDescent="0.3">
      <c r="A167" s="100" t="s">
        <v>23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10"/>
      <c r="M167" s="71"/>
      <c r="N167" s="71"/>
    </row>
    <row r="168" spans="1:14" ht="105" customHeight="1" thickBot="1" x14ac:dyDescent="0.3">
      <c r="A168" s="97" t="s">
        <v>57</v>
      </c>
      <c r="B168" s="99">
        <f>B170+B173+B174+B175</f>
        <v>923.29000000000008</v>
      </c>
      <c r="C168" s="99">
        <f>C170+C173+C174+C175</f>
        <v>5480.9</v>
      </c>
      <c r="D168" s="99">
        <f t="shared" ref="D168:K168" si="122">D170+D173+D174</f>
        <v>0</v>
      </c>
      <c r="E168" s="99">
        <f t="shared" si="122"/>
        <v>0</v>
      </c>
      <c r="F168" s="99">
        <f t="shared" si="122"/>
        <v>0</v>
      </c>
      <c r="G168" s="99">
        <f t="shared" si="122"/>
        <v>0</v>
      </c>
      <c r="H168" s="99">
        <f t="shared" si="122"/>
        <v>0</v>
      </c>
      <c r="I168" s="99">
        <f t="shared" si="122"/>
        <v>0</v>
      </c>
      <c r="J168" s="99">
        <f t="shared" si="122"/>
        <v>0</v>
      </c>
      <c r="K168" s="99">
        <f t="shared" si="122"/>
        <v>0</v>
      </c>
      <c r="L168" s="98">
        <f>SUM(C168,E168,G168,I168,K168)</f>
        <v>5480.9</v>
      </c>
      <c r="M168" s="73"/>
      <c r="N168" s="71"/>
    </row>
    <row r="169" spans="1:14" ht="18" customHeight="1" thickBot="1" x14ac:dyDescent="0.3">
      <c r="A169" s="100" t="s">
        <v>19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10"/>
      <c r="M169" s="71"/>
      <c r="N169" s="71"/>
    </row>
    <row r="170" spans="1:14" s="30" customFormat="1" ht="30" customHeight="1" thickBot="1" x14ac:dyDescent="0.3">
      <c r="A170" s="121" t="s">
        <v>58</v>
      </c>
      <c r="B170" s="105">
        <f>B171+B172</f>
        <v>692</v>
      </c>
      <c r="C170" s="105">
        <f t="shared" ref="C170:K170" si="123">C171+C172</f>
        <v>4092</v>
      </c>
      <c r="D170" s="105">
        <f t="shared" si="123"/>
        <v>0</v>
      </c>
      <c r="E170" s="105">
        <f t="shared" si="123"/>
        <v>0</v>
      </c>
      <c r="F170" s="105">
        <f t="shared" si="123"/>
        <v>0</v>
      </c>
      <c r="G170" s="105">
        <f t="shared" si="123"/>
        <v>0</v>
      </c>
      <c r="H170" s="105">
        <f t="shared" si="123"/>
        <v>0</v>
      </c>
      <c r="I170" s="105">
        <f t="shared" si="123"/>
        <v>0</v>
      </c>
      <c r="J170" s="105">
        <f t="shared" si="123"/>
        <v>0</v>
      </c>
      <c r="K170" s="105">
        <f t="shared" si="123"/>
        <v>0</v>
      </c>
      <c r="L170" s="105">
        <f t="shared" ref="L170:L196" si="124">SUM(C170,E170,G170,I170,K170)</f>
        <v>4092</v>
      </c>
      <c r="M170" s="78" t="s">
        <v>79</v>
      </c>
      <c r="N170" s="78"/>
    </row>
    <row r="171" spans="1:14" ht="20.100000000000001" customHeight="1" thickBot="1" x14ac:dyDescent="0.3">
      <c r="A171" s="103" t="s">
        <v>12</v>
      </c>
      <c r="B171" s="105">
        <v>357.4</v>
      </c>
      <c r="C171" s="105">
        <f>ROUNDUP(B171*ТАРИФЫ!$F$21,1)</f>
        <v>2058.6999999999998</v>
      </c>
      <c r="D171" s="104"/>
      <c r="E171" s="104">
        <f>ROUND(D171*ТАРИФЫ!$F$5/1000,1)</f>
        <v>0</v>
      </c>
      <c r="F171" s="104"/>
      <c r="G171" s="104">
        <f>ROUND(F171*ТАРИФЫ!$F$5/1000,1)</f>
        <v>0</v>
      </c>
      <c r="H171" s="104">
        <v>0</v>
      </c>
      <c r="I171" s="104">
        <f>ROUNDUP(H171*ТАРИФЫ!$F$10/1000,1)</f>
        <v>0</v>
      </c>
      <c r="J171" s="104">
        <f>H171</f>
        <v>0</v>
      </c>
      <c r="K171" s="104">
        <f>SUM(J171*ТАРИФЫ!$F$15/1000)</f>
        <v>0</v>
      </c>
      <c r="L171" s="98">
        <f t="shared" si="124"/>
        <v>2058.6999999999998</v>
      </c>
      <c r="M171" s="71" t="s">
        <v>108</v>
      </c>
      <c r="N171" s="73">
        <f t="shared" ref="N171:N172" si="125">H171-J171</f>
        <v>0</v>
      </c>
    </row>
    <row r="172" spans="1:14" ht="20.100000000000001" customHeight="1" thickBot="1" x14ac:dyDescent="0.3">
      <c r="A172" s="103" t="s">
        <v>13</v>
      </c>
      <c r="B172" s="105">
        <v>334.6</v>
      </c>
      <c r="C172" s="105">
        <f>ROUNDUP(B172*ТАРИФЫ!$G$21,1)</f>
        <v>2033.3</v>
      </c>
      <c r="D172" s="104"/>
      <c r="E172" s="104">
        <f>ROUND(D172*ТАРИФЫ!$G$5/1000,1)</f>
        <v>0</v>
      </c>
      <c r="F172" s="104"/>
      <c r="G172" s="104">
        <f>ROUND(F172*ТАРИФЫ!$G$5/1000,1)</f>
        <v>0</v>
      </c>
      <c r="H172" s="104">
        <v>0</v>
      </c>
      <c r="I172" s="104">
        <f>SUM(H172*ТАРИФЫ!$G$10/1000)</f>
        <v>0</v>
      </c>
      <c r="J172" s="104">
        <f>H172</f>
        <v>0</v>
      </c>
      <c r="K172" s="104">
        <f>SUM(J172*ТАРИФЫ!$G$15/1000)</f>
        <v>0</v>
      </c>
      <c r="L172" s="98">
        <f t="shared" si="124"/>
        <v>2033.3</v>
      </c>
      <c r="M172" s="71" t="s">
        <v>108</v>
      </c>
      <c r="N172" s="73">
        <f t="shared" si="125"/>
        <v>0</v>
      </c>
    </row>
    <row r="173" spans="1:14" ht="20.25" customHeight="1" thickBot="1" x14ac:dyDescent="0.3">
      <c r="A173" s="97" t="s">
        <v>25</v>
      </c>
      <c r="B173" s="99">
        <v>8.19</v>
      </c>
      <c r="C173" s="99">
        <f>ROUND(B173*ТАРИФЫ!G20,1)</f>
        <v>49.8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98">
        <v>0</v>
      </c>
      <c r="K173" s="98">
        <v>0</v>
      </c>
      <c r="L173" s="98">
        <f t="shared" si="124"/>
        <v>49.8</v>
      </c>
      <c r="M173" s="71"/>
      <c r="N173" s="71"/>
    </row>
    <row r="174" spans="1:14" ht="20.25" customHeight="1" thickBot="1" x14ac:dyDescent="0.3">
      <c r="A174" s="97" t="s">
        <v>26</v>
      </c>
      <c r="B174" s="99">
        <v>9.1300000000000008</v>
      </c>
      <c r="C174" s="99">
        <f>ROUND(B174*ТАРИФЫ!G22,1)</f>
        <v>55.5</v>
      </c>
      <c r="D174" s="98">
        <v>0</v>
      </c>
      <c r="E174" s="98">
        <v>0</v>
      </c>
      <c r="F174" s="98">
        <v>0</v>
      </c>
      <c r="G174" s="98">
        <v>0</v>
      </c>
      <c r="H174" s="98">
        <v>0</v>
      </c>
      <c r="I174" s="98">
        <v>0</v>
      </c>
      <c r="J174" s="98">
        <v>0</v>
      </c>
      <c r="K174" s="98">
        <v>0</v>
      </c>
      <c r="L174" s="98">
        <f t="shared" si="124"/>
        <v>55.5</v>
      </c>
      <c r="M174" s="71"/>
      <c r="N174" s="71"/>
    </row>
    <row r="175" spans="1:14" ht="66.75" customHeight="1" thickBot="1" x14ac:dyDescent="0.3">
      <c r="A175" s="97" t="s">
        <v>128</v>
      </c>
      <c r="B175" s="98">
        <f>SUM(B176:B177)</f>
        <v>213.97</v>
      </c>
      <c r="C175" s="99">
        <f>SUM(C176:C177)</f>
        <v>1283.5999999999999</v>
      </c>
      <c r="D175" s="98">
        <f t="shared" ref="D175:K175" si="126">SUM(D176:D177)</f>
        <v>0</v>
      </c>
      <c r="E175" s="98">
        <f t="shared" si="126"/>
        <v>0</v>
      </c>
      <c r="F175" s="98">
        <f t="shared" si="126"/>
        <v>0</v>
      </c>
      <c r="G175" s="98">
        <f t="shared" si="126"/>
        <v>0</v>
      </c>
      <c r="H175" s="98">
        <f t="shared" si="126"/>
        <v>0</v>
      </c>
      <c r="I175" s="98">
        <f t="shared" si="126"/>
        <v>0</v>
      </c>
      <c r="J175" s="98">
        <f t="shared" si="126"/>
        <v>0</v>
      </c>
      <c r="K175" s="98">
        <f t="shared" si="126"/>
        <v>0</v>
      </c>
      <c r="L175" s="98">
        <f t="shared" si="124"/>
        <v>1283.5999999999999</v>
      </c>
      <c r="M175" s="71"/>
      <c r="N175" s="71"/>
    </row>
    <row r="176" spans="1:14" ht="20.100000000000001" customHeight="1" thickBot="1" x14ac:dyDescent="0.3">
      <c r="A176" s="103" t="s">
        <v>12</v>
      </c>
      <c r="B176" s="104">
        <f>B180+B183+B186+B189+B192</f>
        <v>52.800000000000004</v>
      </c>
      <c r="C176" s="105">
        <f>ROUNDUP(B176*ТАРИФЫ!$F$21,1)</f>
        <v>304.20000000000005</v>
      </c>
      <c r="D176" s="104">
        <v>0</v>
      </c>
      <c r="E176" s="104">
        <f>ROUNDUP(D176*ТАРИФЫ!$F$5/1000,1)</f>
        <v>0</v>
      </c>
      <c r="F176" s="104">
        <v>0</v>
      </c>
      <c r="G176" s="104">
        <f>ROUNDUP(F176*ТАРИФЫ!$F$5/1000,1)</f>
        <v>0</v>
      </c>
      <c r="H176" s="104">
        <v>0</v>
      </c>
      <c r="I176" s="104">
        <f>ROUNDUP(H176*ТАРИФЫ!$F$10/1000,1)</f>
        <v>0</v>
      </c>
      <c r="J176" s="104">
        <v>0</v>
      </c>
      <c r="K176" s="104">
        <f>ROUND(J176*ТАРИФЫ!$F$15/1000,1)</f>
        <v>0</v>
      </c>
      <c r="L176" s="98">
        <f t="shared" si="124"/>
        <v>304.20000000000005</v>
      </c>
      <c r="M176" s="71" t="s">
        <v>108</v>
      </c>
      <c r="N176" s="73">
        <f t="shared" ref="N176:N177" si="127">H176-J176</f>
        <v>0</v>
      </c>
    </row>
    <row r="177" spans="1:14" ht="20.100000000000001" customHeight="1" thickBot="1" x14ac:dyDescent="0.3">
      <c r="A177" s="103" t="s">
        <v>13</v>
      </c>
      <c r="B177" s="104">
        <f>B181+B184+B187+B190+B193</f>
        <v>161.16999999999999</v>
      </c>
      <c r="C177" s="105">
        <f>ROUNDUP(B177*ТАРИФЫ!$G$21,1)</f>
        <v>979.4</v>
      </c>
      <c r="D177" s="104">
        <v>0</v>
      </c>
      <c r="E177" s="104">
        <f>ROUNDUP(D177*ТАРИФЫ!$G$5/1000,1)</f>
        <v>0</v>
      </c>
      <c r="F177" s="104">
        <v>0</v>
      </c>
      <c r="G177" s="104">
        <f>ROUNDUP(F177*ТАРИФЫ!$G$5/1000,1)</f>
        <v>0</v>
      </c>
      <c r="H177" s="104">
        <v>0</v>
      </c>
      <c r="I177" s="104">
        <f>ROUND(H177*ТАРИФЫ!$G$10/1000,1)</f>
        <v>0</v>
      </c>
      <c r="J177" s="104">
        <v>0</v>
      </c>
      <c r="K177" s="104">
        <v>0</v>
      </c>
      <c r="L177" s="98">
        <f t="shared" si="124"/>
        <v>979.4</v>
      </c>
      <c r="M177" s="71" t="s">
        <v>108</v>
      </c>
      <c r="N177" s="73">
        <f t="shared" si="127"/>
        <v>0</v>
      </c>
    </row>
    <row r="178" spans="1:14" ht="18" customHeight="1" thickBot="1" x14ac:dyDescent="0.3">
      <c r="A178" s="100" t="s">
        <v>19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2"/>
      <c r="M178" s="71"/>
      <c r="N178" s="71"/>
    </row>
    <row r="179" spans="1:14" ht="30.75" customHeight="1" thickBot="1" x14ac:dyDescent="0.3">
      <c r="A179" s="103" t="s">
        <v>130</v>
      </c>
      <c r="B179" s="104">
        <f>SUM(B180:B181)</f>
        <v>52.7</v>
      </c>
      <c r="C179" s="104">
        <f t="shared" ref="C179" si="128">SUM(C180:C181)</f>
        <v>316.2</v>
      </c>
      <c r="D179" s="104">
        <f t="shared" ref="D179" si="129">SUM(D180:D181)</f>
        <v>0</v>
      </c>
      <c r="E179" s="104">
        <f t="shared" ref="E179" si="130">SUM(E180:E181)</f>
        <v>0</v>
      </c>
      <c r="F179" s="104">
        <f t="shared" ref="F179" si="131">SUM(F180:F181)</f>
        <v>0</v>
      </c>
      <c r="G179" s="104">
        <f t="shared" ref="G179" si="132">SUM(G180:G181)</f>
        <v>0</v>
      </c>
      <c r="H179" s="104">
        <f t="shared" ref="H179" si="133">SUM(H180:H181)</f>
        <v>0</v>
      </c>
      <c r="I179" s="104">
        <f t="shared" ref="I179" si="134">SUM(I180:I181)</f>
        <v>0</v>
      </c>
      <c r="J179" s="104">
        <f t="shared" ref="J179" si="135">SUM(J180:J181)</f>
        <v>0</v>
      </c>
      <c r="K179" s="104">
        <f t="shared" ref="K179" si="136">SUM(K180:K181)</f>
        <v>0</v>
      </c>
      <c r="L179" s="98">
        <f t="shared" ref="L179:L193" si="137">SUM(C179,E179,G179,I179,K179)</f>
        <v>316.2</v>
      </c>
      <c r="M179" s="71"/>
      <c r="N179" s="73"/>
    </row>
    <row r="180" spans="1:14" ht="20.100000000000001" customHeight="1" thickBot="1" x14ac:dyDescent="0.3">
      <c r="A180" s="103" t="s">
        <v>12</v>
      </c>
      <c r="B180" s="104">
        <v>13</v>
      </c>
      <c r="C180" s="105">
        <f>ROUNDUP(B180*ТАРИФЫ!$F$21,1)</f>
        <v>74.899999999999991</v>
      </c>
      <c r="D180" s="104">
        <v>0</v>
      </c>
      <c r="E180" s="104">
        <f>ROUNDUP(D180*ТАРИФЫ!$F$5/1000,1)</f>
        <v>0</v>
      </c>
      <c r="F180" s="104">
        <v>0</v>
      </c>
      <c r="G180" s="104">
        <f>ROUNDUP(F180*ТАРИФЫ!$F$5/1000,1)</f>
        <v>0</v>
      </c>
      <c r="H180" s="104">
        <v>0</v>
      </c>
      <c r="I180" s="104">
        <f>ROUNDUP(H180*ТАРИФЫ!$F$10/1000,1)</f>
        <v>0</v>
      </c>
      <c r="J180" s="104">
        <v>0</v>
      </c>
      <c r="K180" s="104">
        <f>ROUND(J180*ТАРИФЫ!$F$15/1000,1)</f>
        <v>0</v>
      </c>
      <c r="L180" s="98">
        <f t="shared" si="137"/>
        <v>74.899999999999991</v>
      </c>
      <c r="M180" s="71" t="s">
        <v>108</v>
      </c>
      <c r="N180" s="73">
        <f t="shared" ref="N180:N181" si="138">H180-J180</f>
        <v>0</v>
      </c>
    </row>
    <row r="181" spans="1:14" ht="20.100000000000001" customHeight="1" thickBot="1" x14ac:dyDescent="0.3">
      <c r="A181" s="103" t="s">
        <v>13</v>
      </c>
      <c r="B181" s="104">
        <v>39.700000000000003</v>
      </c>
      <c r="C181" s="105">
        <f>ROUNDUP(B181*ТАРИФЫ!$G$21,1)</f>
        <v>241.29999999999998</v>
      </c>
      <c r="D181" s="104">
        <v>0</v>
      </c>
      <c r="E181" s="104">
        <f>ROUNDUP(D181*ТАРИФЫ!$G$5/1000,1)</f>
        <v>0</v>
      </c>
      <c r="F181" s="104">
        <v>0</v>
      </c>
      <c r="G181" s="104">
        <f>ROUNDUP(F181*ТАРИФЫ!$G$5/1000,1)</f>
        <v>0</v>
      </c>
      <c r="H181" s="104">
        <v>0</v>
      </c>
      <c r="I181" s="104">
        <f>ROUND(H181*ТАРИФЫ!$G$10/1000,1)</f>
        <v>0</v>
      </c>
      <c r="J181" s="104">
        <v>0</v>
      </c>
      <c r="K181" s="104">
        <v>0</v>
      </c>
      <c r="L181" s="98">
        <f t="shared" si="137"/>
        <v>241.29999999999998</v>
      </c>
      <c r="M181" s="71" t="s">
        <v>108</v>
      </c>
      <c r="N181" s="73">
        <f t="shared" si="138"/>
        <v>0</v>
      </c>
    </row>
    <row r="182" spans="1:14" ht="40.5" customHeight="1" thickBot="1" x14ac:dyDescent="0.3">
      <c r="A182" s="103" t="s">
        <v>131</v>
      </c>
      <c r="B182" s="104">
        <f>SUM(B183:B184)</f>
        <v>20.5</v>
      </c>
      <c r="C182" s="104">
        <f t="shared" ref="C182" si="139">SUM(C183:C184)</f>
        <v>123</v>
      </c>
      <c r="D182" s="104">
        <f t="shared" ref="D182" si="140">SUM(D183:D184)</f>
        <v>0</v>
      </c>
      <c r="E182" s="104">
        <f t="shared" ref="E182" si="141">SUM(E183:E184)</f>
        <v>0</v>
      </c>
      <c r="F182" s="104">
        <f t="shared" ref="F182" si="142">SUM(F183:F184)</f>
        <v>0</v>
      </c>
      <c r="G182" s="104">
        <f t="shared" ref="G182" si="143">SUM(G183:G184)</f>
        <v>0</v>
      </c>
      <c r="H182" s="104">
        <f t="shared" ref="H182" si="144">SUM(H183:H184)</f>
        <v>0</v>
      </c>
      <c r="I182" s="104">
        <f t="shared" ref="I182" si="145">SUM(I183:I184)</f>
        <v>0</v>
      </c>
      <c r="J182" s="104">
        <f t="shared" ref="J182" si="146">SUM(J183:J184)</f>
        <v>0</v>
      </c>
      <c r="K182" s="104">
        <f t="shared" ref="K182" si="147">SUM(K183:K184)</f>
        <v>0</v>
      </c>
      <c r="L182" s="98">
        <f t="shared" si="137"/>
        <v>123</v>
      </c>
      <c r="M182" s="71"/>
      <c r="N182" s="73"/>
    </row>
    <row r="183" spans="1:14" ht="20.100000000000001" customHeight="1" thickBot="1" x14ac:dyDescent="0.3">
      <c r="A183" s="103" t="s">
        <v>12</v>
      </c>
      <c r="B183" s="104">
        <v>5.0999999999999996</v>
      </c>
      <c r="C183" s="105">
        <f>ROUNDUP(B183*ТАРИФЫ!$F$21,1)</f>
        <v>29.400000000000002</v>
      </c>
      <c r="D183" s="104">
        <v>0</v>
      </c>
      <c r="E183" s="104">
        <f>ROUNDUP(D183*ТАРИФЫ!$F$5/1000,1)</f>
        <v>0</v>
      </c>
      <c r="F183" s="104">
        <v>0</v>
      </c>
      <c r="G183" s="104">
        <f>ROUNDUP(F183*ТАРИФЫ!$F$5/1000,1)</f>
        <v>0</v>
      </c>
      <c r="H183" s="104">
        <v>0</v>
      </c>
      <c r="I183" s="104">
        <f>ROUNDUP(H183*ТАРИФЫ!$F$10/1000,1)</f>
        <v>0</v>
      </c>
      <c r="J183" s="104">
        <v>0</v>
      </c>
      <c r="K183" s="104">
        <f>ROUND(J183*ТАРИФЫ!$F$15/1000,1)</f>
        <v>0</v>
      </c>
      <c r="L183" s="98">
        <f t="shared" si="137"/>
        <v>29.400000000000002</v>
      </c>
      <c r="M183" s="71" t="s">
        <v>108</v>
      </c>
      <c r="N183" s="73">
        <f t="shared" ref="N183:N184" si="148">H183-J183</f>
        <v>0</v>
      </c>
    </row>
    <row r="184" spans="1:14" ht="20.100000000000001" customHeight="1" thickBot="1" x14ac:dyDescent="0.3">
      <c r="A184" s="103" t="s">
        <v>13</v>
      </c>
      <c r="B184" s="104">
        <v>15.4</v>
      </c>
      <c r="C184" s="105">
        <f>ROUNDUP(B184*ТАРИФЫ!$G$21,1)</f>
        <v>93.6</v>
      </c>
      <c r="D184" s="104">
        <v>0</v>
      </c>
      <c r="E184" s="104">
        <f>ROUNDUP(D184*ТАРИФЫ!$G$5/1000,1)</f>
        <v>0</v>
      </c>
      <c r="F184" s="104">
        <v>0</v>
      </c>
      <c r="G184" s="104">
        <f>ROUNDUP(F184*ТАРИФЫ!$G$5/1000,1)</f>
        <v>0</v>
      </c>
      <c r="H184" s="104">
        <v>0</v>
      </c>
      <c r="I184" s="104">
        <f>ROUND(H184*ТАРИФЫ!$G$10/1000,1)</f>
        <v>0</v>
      </c>
      <c r="J184" s="104">
        <v>0</v>
      </c>
      <c r="K184" s="104">
        <v>0</v>
      </c>
      <c r="L184" s="98">
        <f t="shared" si="137"/>
        <v>93.6</v>
      </c>
      <c r="M184" s="71" t="s">
        <v>108</v>
      </c>
      <c r="N184" s="73">
        <f t="shared" si="148"/>
        <v>0</v>
      </c>
    </row>
    <row r="185" spans="1:14" ht="40.5" customHeight="1" thickBot="1" x14ac:dyDescent="0.3">
      <c r="A185" s="103" t="s">
        <v>132</v>
      </c>
      <c r="B185" s="104">
        <f>SUM(B186:B187)</f>
        <v>20.6</v>
      </c>
      <c r="C185" s="104">
        <f t="shared" ref="C185" si="149">SUM(C186:C187)</f>
        <v>123.6</v>
      </c>
      <c r="D185" s="104">
        <f t="shared" ref="D185" si="150">SUM(D186:D187)</f>
        <v>0</v>
      </c>
      <c r="E185" s="104">
        <f t="shared" ref="E185" si="151">SUM(E186:E187)</f>
        <v>0</v>
      </c>
      <c r="F185" s="104">
        <f t="shared" ref="F185" si="152">SUM(F186:F187)</f>
        <v>0</v>
      </c>
      <c r="G185" s="104">
        <f t="shared" ref="G185" si="153">SUM(G186:G187)</f>
        <v>0</v>
      </c>
      <c r="H185" s="104">
        <f t="shared" ref="H185" si="154">SUM(H186:H187)</f>
        <v>0</v>
      </c>
      <c r="I185" s="104">
        <f t="shared" ref="I185" si="155">SUM(I186:I187)</f>
        <v>0</v>
      </c>
      <c r="J185" s="104">
        <f t="shared" ref="J185" si="156">SUM(J186:J187)</f>
        <v>0</v>
      </c>
      <c r="K185" s="104">
        <f t="shared" ref="K185" si="157">SUM(K186:K187)</f>
        <v>0</v>
      </c>
      <c r="L185" s="98">
        <f t="shared" si="137"/>
        <v>123.6</v>
      </c>
      <c r="M185" s="71"/>
      <c r="N185" s="73"/>
    </row>
    <row r="186" spans="1:14" ht="20.100000000000001" customHeight="1" thickBot="1" x14ac:dyDescent="0.3">
      <c r="A186" s="103" t="s">
        <v>12</v>
      </c>
      <c r="B186" s="104">
        <v>5.0999999999999996</v>
      </c>
      <c r="C186" s="105">
        <f>ROUNDUP(B186*ТАРИФЫ!$F$21,1)</f>
        <v>29.400000000000002</v>
      </c>
      <c r="D186" s="104">
        <v>0</v>
      </c>
      <c r="E186" s="104">
        <f>ROUNDUP(D186*ТАРИФЫ!$F$5/1000,1)</f>
        <v>0</v>
      </c>
      <c r="F186" s="104">
        <v>0</v>
      </c>
      <c r="G186" s="104">
        <f>ROUNDUP(F186*ТАРИФЫ!$F$5/1000,1)</f>
        <v>0</v>
      </c>
      <c r="H186" s="104">
        <v>0</v>
      </c>
      <c r="I186" s="104">
        <f>ROUNDUP(H186*ТАРИФЫ!$F$10/1000,1)</f>
        <v>0</v>
      </c>
      <c r="J186" s="104">
        <v>0</v>
      </c>
      <c r="K186" s="104">
        <f>ROUND(J186*ТАРИФЫ!$F$15/1000,1)</f>
        <v>0</v>
      </c>
      <c r="L186" s="98">
        <f t="shared" si="137"/>
        <v>29.400000000000002</v>
      </c>
      <c r="M186" s="71" t="s">
        <v>108</v>
      </c>
      <c r="N186" s="73">
        <f t="shared" ref="N186:N187" si="158">H186-J186</f>
        <v>0</v>
      </c>
    </row>
    <row r="187" spans="1:14" ht="20.100000000000001" customHeight="1" thickBot="1" x14ac:dyDescent="0.3">
      <c r="A187" s="103" t="s">
        <v>13</v>
      </c>
      <c r="B187" s="104">
        <v>15.5</v>
      </c>
      <c r="C187" s="105">
        <f>ROUNDUP(B187*ТАРИФЫ!$G$21,1)</f>
        <v>94.199999999999989</v>
      </c>
      <c r="D187" s="104">
        <v>0</v>
      </c>
      <c r="E187" s="104">
        <f>ROUNDUP(D187*ТАРИФЫ!$G$5/1000,1)</f>
        <v>0</v>
      </c>
      <c r="F187" s="104">
        <v>0</v>
      </c>
      <c r="G187" s="104">
        <f>ROUNDUP(F187*ТАРИФЫ!$G$5/1000,1)</f>
        <v>0</v>
      </c>
      <c r="H187" s="104">
        <v>0</v>
      </c>
      <c r="I187" s="104">
        <f>ROUND(H187*ТАРИФЫ!$G$10/1000,1)</f>
        <v>0</v>
      </c>
      <c r="J187" s="104">
        <v>0</v>
      </c>
      <c r="K187" s="104">
        <v>0</v>
      </c>
      <c r="L187" s="98">
        <f t="shared" si="137"/>
        <v>94.199999999999989</v>
      </c>
      <c r="M187" s="71" t="s">
        <v>108</v>
      </c>
      <c r="N187" s="73">
        <f t="shared" si="158"/>
        <v>0</v>
      </c>
    </row>
    <row r="188" spans="1:14" ht="40.5" customHeight="1" thickBot="1" x14ac:dyDescent="0.3">
      <c r="A188" s="103" t="s">
        <v>134</v>
      </c>
      <c r="B188" s="104">
        <f>SUM(B189:B190)</f>
        <v>20.6</v>
      </c>
      <c r="C188" s="104">
        <f t="shared" ref="C188" si="159">SUM(C189:C190)</f>
        <v>123.6</v>
      </c>
      <c r="D188" s="104">
        <f t="shared" ref="D188" si="160">SUM(D189:D190)</f>
        <v>0</v>
      </c>
      <c r="E188" s="104">
        <f t="shared" ref="E188" si="161">SUM(E189:E190)</f>
        <v>0</v>
      </c>
      <c r="F188" s="104">
        <f t="shared" ref="F188" si="162">SUM(F189:F190)</f>
        <v>0</v>
      </c>
      <c r="G188" s="104">
        <f t="shared" ref="G188" si="163">SUM(G189:G190)</f>
        <v>0</v>
      </c>
      <c r="H188" s="104">
        <f t="shared" ref="H188" si="164">SUM(H189:H190)</f>
        <v>0</v>
      </c>
      <c r="I188" s="104">
        <f t="shared" ref="I188" si="165">SUM(I189:I190)</f>
        <v>0</v>
      </c>
      <c r="J188" s="104">
        <f t="shared" ref="J188" si="166">SUM(J189:J190)</f>
        <v>0</v>
      </c>
      <c r="K188" s="104">
        <f t="shared" ref="K188" si="167">SUM(K189:K190)</f>
        <v>0</v>
      </c>
      <c r="L188" s="98">
        <f t="shared" si="137"/>
        <v>123.6</v>
      </c>
      <c r="M188" s="71"/>
      <c r="N188" s="73"/>
    </row>
    <row r="189" spans="1:14" ht="20.100000000000001" customHeight="1" thickBot="1" x14ac:dyDescent="0.3">
      <c r="A189" s="103" t="s">
        <v>12</v>
      </c>
      <c r="B189" s="104">
        <v>5.0999999999999996</v>
      </c>
      <c r="C189" s="105">
        <f>ROUNDUP(B189*ТАРИФЫ!$F$21,1)</f>
        <v>29.400000000000002</v>
      </c>
      <c r="D189" s="104">
        <v>0</v>
      </c>
      <c r="E189" s="104">
        <f>ROUNDUP(D189*ТАРИФЫ!$F$5/1000,1)</f>
        <v>0</v>
      </c>
      <c r="F189" s="104">
        <v>0</v>
      </c>
      <c r="G189" s="104">
        <f>ROUNDUP(F189*ТАРИФЫ!$F$5/1000,1)</f>
        <v>0</v>
      </c>
      <c r="H189" s="104">
        <v>0</v>
      </c>
      <c r="I189" s="104">
        <f>ROUNDUP(H189*ТАРИФЫ!$F$10/1000,1)</f>
        <v>0</v>
      </c>
      <c r="J189" s="104">
        <v>0</v>
      </c>
      <c r="K189" s="104">
        <f>ROUND(J189*ТАРИФЫ!$F$15/1000,1)</f>
        <v>0</v>
      </c>
      <c r="L189" s="98">
        <f t="shared" si="137"/>
        <v>29.400000000000002</v>
      </c>
      <c r="M189" s="71" t="s">
        <v>108</v>
      </c>
      <c r="N189" s="73">
        <f t="shared" ref="N189:N190" si="168">H189-J189</f>
        <v>0</v>
      </c>
    </row>
    <row r="190" spans="1:14" ht="20.100000000000001" customHeight="1" thickBot="1" x14ac:dyDescent="0.3">
      <c r="A190" s="103" t="s">
        <v>13</v>
      </c>
      <c r="B190" s="104">
        <v>15.5</v>
      </c>
      <c r="C190" s="105">
        <f>ROUNDUP(B190*ТАРИФЫ!$G$21,1)</f>
        <v>94.199999999999989</v>
      </c>
      <c r="D190" s="104">
        <v>0</v>
      </c>
      <c r="E190" s="104">
        <f>ROUNDUP(D190*ТАРИФЫ!$G$5/1000,1)</f>
        <v>0</v>
      </c>
      <c r="F190" s="104">
        <v>0</v>
      </c>
      <c r="G190" s="104">
        <f>ROUNDUP(F190*ТАРИФЫ!$G$5/1000,1)</f>
        <v>0</v>
      </c>
      <c r="H190" s="104">
        <v>0</v>
      </c>
      <c r="I190" s="104">
        <f>ROUND(H190*ТАРИФЫ!$G$10/1000,1)</f>
        <v>0</v>
      </c>
      <c r="J190" s="104">
        <v>0</v>
      </c>
      <c r="K190" s="104">
        <v>0</v>
      </c>
      <c r="L190" s="98">
        <f t="shared" si="137"/>
        <v>94.199999999999989</v>
      </c>
      <c r="M190" s="71" t="s">
        <v>108</v>
      </c>
      <c r="N190" s="73">
        <f t="shared" si="168"/>
        <v>0</v>
      </c>
    </row>
    <row r="191" spans="1:14" ht="40.5" customHeight="1" thickBot="1" x14ac:dyDescent="0.3">
      <c r="A191" s="103" t="s">
        <v>133</v>
      </c>
      <c r="B191" s="104">
        <f>SUM(B192:B193)</f>
        <v>99.57</v>
      </c>
      <c r="C191" s="104">
        <f t="shared" ref="C191" si="169">SUM(C192:C193)</f>
        <v>597.40000000000009</v>
      </c>
      <c r="D191" s="104">
        <f t="shared" ref="D191" si="170">SUM(D192:D193)</f>
        <v>0</v>
      </c>
      <c r="E191" s="104">
        <f t="shared" ref="E191" si="171">SUM(E192:E193)</f>
        <v>0</v>
      </c>
      <c r="F191" s="104">
        <f t="shared" ref="F191" si="172">SUM(F192:F193)</f>
        <v>0</v>
      </c>
      <c r="G191" s="104">
        <f t="shared" ref="G191" si="173">SUM(G192:G193)</f>
        <v>0</v>
      </c>
      <c r="H191" s="104">
        <f t="shared" ref="H191" si="174">SUM(H192:H193)</f>
        <v>0</v>
      </c>
      <c r="I191" s="104">
        <f t="shared" ref="I191" si="175">SUM(I192:I193)</f>
        <v>0</v>
      </c>
      <c r="J191" s="104">
        <f t="shared" ref="J191" si="176">SUM(J192:J193)</f>
        <v>0</v>
      </c>
      <c r="K191" s="104">
        <f t="shared" ref="K191" si="177">SUM(K192:K193)</f>
        <v>0</v>
      </c>
      <c r="L191" s="98">
        <f t="shared" si="137"/>
        <v>597.40000000000009</v>
      </c>
      <c r="M191" s="71"/>
      <c r="N191" s="73"/>
    </row>
    <row r="192" spans="1:14" ht="20.100000000000001" customHeight="1" thickBot="1" x14ac:dyDescent="0.3">
      <c r="A192" s="103" t="s">
        <v>12</v>
      </c>
      <c r="B192" s="104">
        <v>24.5</v>
      </c>
      <c r="C192" s="105">
        <f>ROUNDUP(B192*ТАРИФЫ!$F$21,1)</f>
        <v>141.19999999999999</v>
      </c>
      <c r="D192" s="104">
        <v>0</v>
      </c>
      <c r="E192" s="104">
        <f>ROUNDUP(D192*ТАРИФЫ!$F$5/1000,1)</f>
        <v>0</v>
      </c>
      <c r="F192" s="104">
        <v>0</v>
      </c>
      <c r="G192" s="104">
        <f>ROUNDUP(F192*ТАРИФЫ!$F$5/1000,1)</f>
        <v>0</v>
      </c>
      <c r="H192" s="104">
        <v>0</v>
      </c>
      <c r="I192" s="104">
        <f>ROUNDUP(H192*ТАРИФЫ!$F$10/1000,1)</f>
        <v>0</v>
      </c>
      <c r="J192" s="104">
        <v>0</v>
      </c>
      <c r="K192" s="104">
        <f>ROUND(J192*ТАРИФЫ!$F$15/1000,1)</f>
        <v>0</v>
      </c>
      <c r="L192" s="98">
        <f t="shared" si="137"/>
        <v>141.19999999999999</v>
      </c>
      <c r="M192" s="71" t="s">
        <v>108</v>
      </c>
      <c r="N192" s="73">
        <f t="shared" ref="N192:N193" si="178">H192-J192</f>
        <v>0</v>
      </c>
    </row>
    <row r="193" spans="1:14" ht="20.100000000000001" customHeight="1" thickBot="1" x14ac:dyDescent="0.3">
      <c r="A193" s="103" t="s">
        <v>13</v>
      </c>
      <c r="B193" s="104">
        <v>75.069999999999993</v>
      </c>
      <c r="C193" s="105">
        <f>ROUNDUP(B193*ТАРИФЫ!$G$21,1)</f>
        <v>456.20000000000005</v>
      </c>
      <c r="D193" s="104">
        <v>0</v>
      </c>
      <c r="E193" s="104">
        <f>ROUNDUP(D193*ТАРИФЫ!$G$5/1000,1)</f>
        <v>0</v>
      </c>
      <c r="F193" s="104">
        <v>0</v>
      </c>
      <c r="G193" s="104">
        <f>ROUNDUP(F193*ТАРИФЫ!$G$5/1000,1)</f>
        <v>0</v>
      </c>
      <c r="H193" s="104">
        <v>0</v>
      </c>
      <c r="I193" s="104">
        <f>ROUND(H193*ТАРИФЫ!$G$10/1000,1)</f>
        <v>0</v>
      </c>
      <c r="J193" s="104">
        <v>0</v>
      </c>
      <c r="K193" s="104">
        <v>0</v>
      </c>
      <c r="L193" s="98">
        <f t="shared" si="137"/>
        <v>456.20000000000005</v>
      </c>
      <c r="M193" s="71" t="s">
        <v>108</v>
      </c>
      <c r="N193" s="73">
        <f t="shared" si="178"/>
        <v>0</v>
      </c>
    </row>
    <row r="194" spans="1:14" ht="38.25" customHeight="1" thickBot="1" x14ac:dyDescent="0.3">
      <c r="A194" s="106" t="s">
        <v>32</v>
      </c>
      <c r="B194" s="107">
        <f t="shared" ref="B194:K194" si="179">SUM(B195:B196)</f>
        <v>2822.6100000000006</v>
      </c>
      <c r="C194" s="107">
        <f t="shared" si="179"/>
        <v>16728.699999999997</v>
      </c>
      <c r="D194" s="107">
        <f t="shared" si="179"/>
        <v>7776.68</v>
      </c>
      <c r="E194" s="107">
        <f t="shared" si="179"/>
        <v>64451.099999999991</v>
      </c>
      <c r="F194" s="107">
        <f t="shared" si="179"/>
        <v>963.54</v>
      </c>
      <c r="G194" s="107">
        <f t="shared" si="179"/>
        <v>6463.1</v>
      </c>
      <c r="H194" s="107">
        <f t="shared" si="179"/>
        <v>32303.980000000003</v>
      </c>
      <c r="I194" s="107">
        <f t="shared" si="179"/>
        <v>1502.7</v>
      </c>
      <c r="J194" s="107">
        <f t="shared" si="179"/>
        <v>31938.950000000004</v>
      </c>
      <c r="K194" s="107">
        <f t="shared" si="179"/>
        <v>2700.7</v>
      </c>
      <c r="L194" s="107">
        <f t="shared" si="124"/>
        <v>91846.299999999988</v>
      </c>
      <c r="M194" s="74"/>
      <c r="N194" s="71"/>
    </row>
    <row r="195" spans="1:14" ht="38.25" customHeight="1" thickBot="1" x14ac:dyDescent="0.3">
      <c r="A195" s="106" t="s">
        <v>12</v>
      </c>
      <c r="B195" s="108">
        <f>SUM(B86+B114+B140+B144+B165+B171+B176+(B173+B174)/2)</f>
        <v>1353.5900000000001</v>
      </c>
      <c r="C195" s="108">
        <f t="shared" ref="C195:K195" si="180">SUM(C86+C114+C140+C144+C165+C171+C176+(C173+C174)/2)</f>
        <v>7800.6499999999987</v>
      </c>
      <c r="D195" s="108">
        <f t="shared" si="180"/>
        <v>4686.83</v>
      </c>
      <c r="E195" s="108">
        <f t="shared" si="180"/>
        <v>38760.599999999991</v>
      </c>
      <c r="F195" s="108">
        <f t="shared" si="180"/>
        <v>516.70000000000005</v>
      </c>
      <c r="G195" s="108">
        <f t="shared" si="180"/>
        <v>3599.2000000000003</v>
      </c>
      <c r="H195" s="108">
        <f t="shared" si="180"/>
        <v>16680.93</v>
      </c>
      <c r="I195" s="108">
        <f t="shared" si="180"/>
        <v>758.7</v>
      </c>
      <c r="J195" s="108">
        <f t="shared" si="180"/>
        <v>16888.240000000005</v>
      </c>
      <c r="K195" s="108">
        <f t="shared" si="180"/>
        <v>1397.8999999999999</v>
      </c>
      <c r="L195" s="108">
        <f t="shared" si="124"/>
        <v>52317.049999999988</v>
      </c>
      <c r="M195" s="71"/>
      <c r="N195" s="71"/>
    </row>
    <row r="196" spans="1:14" ht="38.25" customHeight="1" thickBot="1" x14ac:dyDescent="0.3">
      <c r="A196" s="106" t="s">
        <v>13</v>
      </c>
      <c r="B196" s="108">
        <f>SUM(B87+B115+B141+B145+B166+B172+B177+(B173+B174)/2)</f>
        <v>1469.0200000000002</v>
      </c>
      <c r="C196" s="108">
        <f t="shared" ref="C196:K196" si="181">SUM(C87+C115+C141+C145+C166+C172+C177+(C173+C174)/2)</f>
        <v>8928.0499999999993</v>
      </c>
      <c r="D196" s="108">
        <f t="shared" si="181"/>
        <v>3089.85</v>
      </c>
      <c r="E196" s="108">
        <f t="shared" si="181"/>
        <v>25690.499999999996</v>
      </c>
      <c r="F196" s="108">
        <f t="shared" si="181"/>
        <v>446.84</v>
      </c>
      <c r="G196" s="108">
        <f t="shared" si="181"/>
        <v>2863.9</v>
      </c>
      <c r="H196" s="108">
        <f t="shared" si="181"/>
        <v>15623.050000000001</v>
      </c>
      <c r="I196" s="108">
        <f t="shared" si="181"/>
        <v>744</v>
      </c>
      <c r="J196" s="108">
        <f t="shared" si="181"/>
        <v>15050.710000000001</v>
      </c>
      <c r="K196" s="108">
        <f t="shared" si="181"/>
        <v>1302.8</v>
      </c>
      <c r="L196" s="108">
        <f t="shared" si="124"/>
        <v>39529.25</v>
      </c>
      <c r="M196" s="71"/>
      <c r="N196" s="71"/>
    </row>
    <row r="197" spans="1:14" x14ac:dyDescent="0.25">
      <c r="B197" s="1"/>
    </row>
    <row r="198" spans="1:14" ht="16.5" x14ac:dyDescent="0.25">
      <c r="L198" s="43"/>
    </row>
    <row r="199" spans="1:14" x14ac:dyDescent="0.25">
      <c r="L199" s="23"/>
    </row>
    <row r="201" spans="1:14" x14ac:dyDescent="0.25">
      <c r="L201" s="23"/>
    </row>
    <row r="203" spans="1:14" x14ac:dyDescent="0.25">
      <c r="L203" s="23"/>
    </row>
    <row r="205" spans="1:14" x14ac:dyDescent="0.25">
      <c r="L205" s="23"/>
    </row>
  </sheetData>
  <autoFilter ref="A14:O196"/>
  <mergeCells count="32">
    <mergeCell ref="J3:L3"/>
    <mergeCell ref="J4:L4"/>
    <mergeCell ref="J5:L5"/>
    <mergeCell ref="A178:L178"/>
    <mergeCell ref="H10:L10"/>
    <mergeCell ref="C12:C13"/>
    <mergeCell ref="B11:C11"/>
    <mergeCell ref="H11:I11"/>
    <mergeCell ref="J12:J13"/>
    <mergeCell ref="F12:F13"/>
    <mergeCell ref="J11:K11"/>
    <mergeCell ref="D12:D13"/>
    <mergeCell ref="L11:L13"/>
    <mergeCell ref="H12:H13"/>
    <mergeCell ref="D11:E11"/>
    <mergeCell ref="F11:G11"/>
    <mergeCell ref="A8:L8"/>
    <mergeCell ref="A9:L9"/>
    <mergeCell ref="A169:L169"/>
    <mergeCell ref="A153:L153"/>
    <mergeCell ref="A163:L163"/>
    <mergeCell ref="A126:L126"/>
    <mergeCell ref="A116:L116"/>
    <mergeCell ref="A142:L142"/>
    <mergeCell ref="A146:L146"/>
    <mergeCell ref="A167:L167"/>
    <mergeCell ref="A88:L88"/>
    <mergeCell ref="A19:L19"/>
    <mergeCell ref="A32:L32"/>
    <mergeCell ref="A11:A13"/>
    <mergeCell ref="A15:L15"/>
    <mergeCell ref="A69:L69"/>
  </mergeCells>
  <phoneticPr fontId="9" type="noConversion"/>
  <printOptions horizontalCentered="1"/>
  <pageMargins left="0.31496062992125984" right="0.31496062992125984" top="1.1811023622047245" bottom="0.35433070866141736" header="0" footer="0"/>
  <pageSetup paperSize="9" scale="88" fitToHeight="0" orientation="landscape" r:id="rId1"/>
  <ignoredErrors>
    <ignoredError sqref="B23 D23:K23 B42 D42:K42 E45:K45 D45 B45 B48 D48 E48:K48 B51 D51:K51 B54:C54 B89 D89:K89 B92 D92:K92 B95:C95 B98:C98 B101:C101 B104:C104 B107:C107 D117:L117 D120:L120 D127:L127 B110:C110 B117:C117 B120:C120 B127:C127 B130:C130 B133:C133 B136:C136 D54:L54 D95:L95 D98:L98 D101:L101 D104:L104 D107:L107 D130:L130 D133:K133 D136:L136 D110:L1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G21" sqref="G21"/>
    </sheetView>
  </sheetViews>
  <sheetFormatPr defaultRowHeight="15" x14ac:dyDescent="0.25"/>
  <cols>
    <col min="1" max="1" width="5.140625" customWidth="1"/>
    <col min="2" max="2" width="21.42578125" customWidth="1"/>
    <col min="3" max="3" width="17.5703125" customWidth="1"/>
    <col min="4" max="7" width="13.28515625" customWidth="1"/>
  </cols>
  <sheetData>
    <row r="1" spans="1:10" ht="35.25" customHeight="1" x14ac:dyDescent="0.25">
      <c r="A1" s="59"/>
      <c r="B1" s="59"/>
      <c r="C1" s="59"/>
      <c r="D1" s="59"/>
      <c r="E1" s="59"/>
      <c r="F1" s="59"/>
      <c r="G1" s="59"/>
      <c r="H1" s="16"/>
      <c r="I1" s="16"/>
      <c r="J1" s="16"/>
    </row>
    <row r="2" spans="1:10" ht="35.25" customHeight="1" thickBot="1" x14ac:dyDescent="0.3">
      <c r="A2" s="59" t="s">
        <v>80</v>
      </c>
      <c r="B2" s="59"/>
      <c r="C2" s="59"/>
      <c r="D2" s="59"/>
      <c r="E2" s="59"/>
      <c r="F2" s="59"/>
      <c r="G2" s="59"/>
      <c r="H2" s="16"/>
      <c r="I2" s="16"/>
      <c r="J2" s="16"/>
    </row>
    <row r="3" spans="1:10" ht="29.25" customHeight="1" thickBot="1" x14ac:dyDescent="0.3">
      <c r="A3" s="19" t="s">
        <v>33</v>
      </c>
      <c r="B3" s="20" t="s">
        <v>34</v>
      </c>
      <c r="C3" s="20" t="s">
        <v>35</v>
      </c>
      <c r="D3" s="20" t="s">
        <v>39</v>
      </c>
      <c r="E3" s="20" t="s">
        <v>40</v>
      </c>
      <c r="F3" s="20" t="s">
        <v>41</v>
      </c>
      <c r="G3" s="20" t="s">
        <v>42</v>
      </c>
      <c r="H3" s="16"/>
      <c r="I3" s="16"/>
      <c r="J3" s="16"/>
    </row>
    <row r="4" spans="1:10" ht="35.1" customHeight="1" x14ac:dyDescent="0.25">
      <c r="A4" s="51" t="s">
        <v>36</v>
      </c>
      <c r="B4" s="60" t="s">
        <v>37</v>
      </c>
      <c r="C4" s="17" t="s">
        <v>25</v>
      </c>
      <c r="D4" s="8">
        <v>11621.07</v>
      </c>
      <c r="E4" s="8">
        <v>11219.69</v>
      </c>
      <c r="F4" s="3">
        <f t="shared" ref="F4:F13" si="0">SUM(D4*1.2)</f>
        <v>13945.284</v>
      </c>
      <c r="G4" s="3">
        <f t="shared" ref="G4:G13" si="1">SUM(E4*1.2)</f>
        <v>13463.628000000001</v>
      </c>
      <c r="H4" s="16"/>
      <c r="I4" s="16"/>
      <c r="J4" s="16"/>
    </row>
    <row r="5" spans="1:10" ht="35.1" customHeight="1" x14ac:dyDescent="0.25">
      <c r="A5" s="52"/>
      <c r="B5" s="61"/>
      <c r="C5" s="4" t="s">
        <v>30</v>
      </c>
      <c r="D5" s="9">
        <v>5040.91</v>
      </c>
      <c r="E5" s="9">
        <v>5040.91</v>
      </c>
      <c r="F5" s="5">
        <f t="shared" si="0"/>
        <v>6049.0919999999996</v>
      </c>
      <c r="G5" s="5">
        <f t="shared" si="1"/>
        <v>6049.0919999999996</v>
      </c>
      <c r="H5" s="16"/>
      <c r="I5" s="16"/>
      <c r="J5" s="16"/>
    </row>
    <row r="6" spans="1:10" ht="35.1" customHeight="1" x14ac:dyDescent="0.25">
      <c r="A6" s="52"/>
      <c r="B6" s="61"/>
      <c r="C6" s="4" t="s">
        <v>26</v>
      </c>
      <c r="D6" s="9">
        <v>10120</v>
      </c>
      <c r="E6" s="9">
        <v>10120</v>
      </c>
      <c r="F6" s="5">
        <f t="shared" si="0"/>
        <v>12144</v>
      </c>
      <c r="G6" s="5">
        <f t="shared" si="1"/>
        <v>12144</v>
      </c>
      <c r="H6" s="16"/>
      <c r="I6" s="16"/>
      <c r="J6" s="16"/>
    </row>
    <row r="7" spans="1:10" ht="35.1" customHeight="1" x14ac:dyDescent="0.25">
      <c r="A7" s="52"/>
      <c r="B7" s="61"/>
      <c r="C7" s="4" t="s">
        <v>38</v>
      </c>
      <c r="D7" s="9">
        <v>10238.34</v>
      </c>
      <c r="E7" s="9">
        <v>10238.34</v>
      </c>
      <c r="F7" s="5">
        <f t="shared" si="0"/>
        <v>12286.008</v>
      </c>
      <c r="G7" s="5">
        <f t="shared" si="1"/>
        <v>12286.008</v>
      </c>
      <c r="H7" s="16"/>
      <c r="I7" s="16"/>
      <c r="J7" s="16"/>
    </row>
    <row r="8" spans="1:10" ht="35.1" customHeight="1" thickBot="1" x14ac:dyDescent="0.3">
      <c r="A8" s="53"/>
      <c r="B8" s="62"/>
      <c r="C8" s="6" t="s">
        <v>24</v>
      </c>
      <c r="D8" s="10">
        <v>9631.69</v>
      </c>
      <c r="E8" s="10">
        <v>9916.4500000000007</v>
      </c>
      <c r="F8" s="7">
        <f t="shared" si="0"/>
        <v>11558.028</v>
      </c>
      <c r="G8" s="7">
        <f t="shared" si="1"/>
        <v>11899.74</v>
      </c>
      <c r="H8" s="16"/>
      <c r="I8" s="16"/>
      <c r="J8" s="16"/>
    </row>
    <row r="9" spans="1:10" ht="35.1" customHeight="1" x14ac:dyDescent="0.25">
      <c r="A9" s="51" t="s">
        <v>43</v>
      </c>
      <c r="B9" s="54" t="s">
        <v>44</v>
      </c>
      <c r="C9" s="17" t="s">
        <v>25</v>
      </c>
      <c r="D9" s="8">
        <v>143.31</v>
      </c>
      <c r="E9" s="8">
        <v>152.71</v>
      </c>
      <c r="F9" s="3">
        <f t="shared" si="0"/>
        <v>171.97200000000001</v>
      </c>
      <c r="G9" s="3">
        <f t="shared" si="1"/>
        <v>183.25200000000001</v>
      </c>
      <c r="H9" s="16"/>
      <c r="I9" s="16"/>
      <c r="J9" s="16"/>
    </row>
    <row r="10" spans="1:10" ht="35.1" customHeight="1" x14ac:dyDescent="0.25">
      <c r="A10" s="52"/>
      <c r="B10" s="55"/>
      <c r="C10" s="4" t="s">
        <v>30</v>
      </c>
      <c r="D10" s="9">
        <v>33.54</v>
      </c>
      <c r="E10" s="9">
        <v>35.01</v>
      </c>
      <c r="F10" s="5">
        <f t="shared" si="0"/>
        <v>40.247999999999998</v>
      </c>
      <c r="G10" s="5">
        <f t="shared" si="1"/>
        <v>42.011999999999993</v>
      </c>
      <c r="H10" s="16"/>
      <c r="I10" s="16"/>
      <c r="J10" s="16"/>
    </row>
    <row r="11" spans="1:10" ht="35.1" customHeight="1" x14ac:dyDescent="0.25">
      <c r="A11" s="52"/>
      <c r="B11" s="55"/>
      <c r="C11" s="4" t="s">
        <v>26</v>
      </c>
      <c r="D11" s="9">
        <v>62.89</v>
      </c>
      <c r="E11" s="9">
        <v>64.37</v>
      </c>
      <c r="F11" s="5">
        <f t="shared" si="0"/>
        <v>75.468000000000004</v>
      </c>
      <c r="G11" s="5">
        <f t="shared" si="1"/>
        <v>77.244</v>
      </c>
      <c r="H11" s="16"/>
      <c r="I11" s="16"/>
      <c r="J11" s="16"/>
    </row>
    <row r="12" spans="1:10" ht="35.1" customHeight="1" x14ac:dyDescent="0.25">
      <c r="A12" s="52"/>
      <c r="B12" s="55"/>
      <c r="C12" s="4" t="s">
        <v>38</v>
      </c>
      <c r="D12" s="9">
        <v>33.54</v>
      </c>
      <c r="E12" s="9">
        <v>35.01</v>
      </c>
      <c r="F12" s="5">
        <f t="shared" si="0"/>
        <v>40.247999999999998</v>
      </c>
      <c r="G12" s="5">
        <f t="shared" si="1"/>
        <v>42.011999999999993</v>
      </c>
      <c r="H12" s="16"/>
      <c r="I12" s="16"/>
      <c r="J12" s="16"/>
    </row>
    <row r="13" spans="1:10" ht="35.1" customHeight="1" thickBot="1" x14ac:dyDescent="0.3">
      <c r="A13" s="53"/>
      <c r="B13" s="56"/>
      <c r="C13" s="6" t="s">
        <v>24</v>
      </c>
      <c r="D13" s="10">
        <v>60.56</v>
      </c>
      <c r="E13" s="10">
        <v>63.15</v>
      </c>
      <c r="F13" s="7">
        <f t="shared" si="0"/>
        <v>72.671999999999997</v>
      </c>
      <c r="G13" s="7">
        <f t="shared" si="1"/>
        <v>75.78</v>
      </c>
      <c r="H13" s="16"/>
      <c r="I13" s="16"/>
      <c r="J13" s="16"/>
    </row>
    <row r="14" spans="1:10" ht="35.1" customHeight="1" x14ac:dyDescent="0.25">
      <c r="A14" s="51" t="s">
        <v>45</v>
      </c>
      <c r="B14" s="54" t="s">
        <v>46</v>
      </c>
      <c r="C14" s="11" t="s">
        <v>25</v>
      </c>
      <c r="D14" s="12">
        <v>0</v>
      </c>
      <c r="E14" s="12">
        <v>0</v>
      </c>
      <c r="F14" s="13">
        <f>SUM(D14*1.18)</f>
        <v>0</v>
      </c>
      <c r="G14" s="13">
        <f>SUM(E14*1.18)</f>
        <v>0</v>
      </c>
      <c r="H14" s="16"/>
      <c r="I14" s="16"/>
      <c r="J14" s="16"/>
    </row>
    <row r="15" spans="1:10" ht="35.1" customHeight="1" x14ac:dyDescent="0.25">
      <c r="A15" s="52"/>
      <c r="B15" s="55"/>
      <c r="C15" s="4" t="s">
        <v>30</v>
      </c>
      <c r="D15" s="9">
        <v>64.73</v>
      </c>
      <c r="E15" s="9">
        <v>66.98</v>
      </c>
      <c r="F15" s="5">
        <f t="shared" ref="F15:F24" si="2">SUM(D15*1.2)</f>
        <v>77.676000000000002</v>
      </c>
      <c r="G15" s="5">
        <f t="shared" ref="G15:G24" si="3">SUM(E15*1.2)</f>
        <v>80.376000000000005</v>
      </c>
      <c r="H15" s="16"/>
      <c r="I15" s="16"/>
      <c r="J15" s="16"/>
    </row>
    <row r="16" spans="1:10" ht="35.1" customHeight="1" x14ac:dyDescent="0.25">
      <c r="A16" s="52"/>
      <c r="B16" s="55"/>
      <c r="C16" s="4" t="s">
        <v>26</v>
      </c>
      <c r="D16" s="9">
        <v>30.75</v>
      </c>
      <c r="E16" s="9">
        <v>31.15</v>
      </c>
      <c r="F16" s="5">
        <f t="shared" si="2"/>
        <v>36.9</v>
      </c>
      <c r="G16" s="5">
        <f t="shared" si="3"/>
        <v>37.379999999999995</v>
      </c>
      <c r="H16" s="16"/>
      <c r="I16" s="16"/>
      <c r="J16" s="16"/>
    </row>
    <row r="17" spans="1:10" s="27" customFormat="1" ht="35.1" customHeight="1" x14ac:dyDescent="0.25">
      <c r="A17" s="52"/>
      <c r="B17" s="55"/>
      <c r="C17" s="24" t="s">
        <v>38</v>
      </c>
      <c r="D17" s="25">
        <v>94</v>
      </c>
      <c r="E17" s="25">
        <v>99.26</v>
      </c>
      <c r="F17" s="26">
        <f t="shared" si="2"/>
        <v>112.8</v>
      </c>
      <c r="G17" s="26">
        <f t="shared" si="3"/>
        <v>119.11199999999999</v>
      </c>
      <c r="H17" s="47"/>
      <c r="I17" s="48"/>
      <c r="J17" s="48"/>
    </row>
    <row r="18" spans="1:10" ht="35.1" customHeight="1" x14ac:dyDescent="0.25">
      <c r="A18" s="57"/>
      <c r="B18" s="58"/>
      <c r="C18" s="49" t="s">
        <v>24</v>
      </c>
      <c r="D18" s="14">
        <v>85.8</v>
      </c>
      <c r="E18" s="14">
        <v>88.2</v>
      </c>
      <c r="F18" s="15">
        <f t="shared" si="2"/>
        <v>102.96</v>
      </c>
      <c r="G18" s="15">
        <f t="shared" si="3"/>
        <v>105.84</v>
      </c>
      <c r="H18" s="18"/>
      <c r="I18" s="18"/>
      <c r="J18" s="18"/>
    </row>
    <row r="19" spans="1:10" s="27" customFormat="1" ht="35.1" customHeight="1" thickBot="1" x14ac:dyDescent="0.3">
      <c r="A19" s="53"/>
      <c r="B19" s="56"/>
      <c r="C19" s="50"/>
      <c r="D19" s="28">
        <v>93.43</v>
      </c>
      <c r="E19" s="28">
        <v>98.66</v>
      </c>
      <c r="F19" s="29">
        <f t="shared" si="2"/>
        <v>112.116</v>
      </c>
      <c r="G19" s="29">
        <f t="shared" si="3"/>
        <v>118.392</v>
      </c>
      <c r="H19" s="47"/>
      <c r="I19" s="48"/>
      <c r="J19" s="48"/>
    </row>
    <row r="20" spans="1:10" ht="35.1" customHeight="1" thickBot="1" x14ac:dyDescent="0.3">
      <c r="A20" s="51" t="s">
        <v>47</v>
      </c>
      <c r="B20" s="54" t="s">
        <v>48</v>
      </c>
      <c r="C20" s="17" t="s">
        <v>25</v>
      </c>
      <c r="D20" s="8">
        <v>4.8</v>
      </c>
      <c r="E20" s="8">
        <f>D20*105.5/100</f>
        <v>5.0640000000000001</v>
      </c>
      <c r="F20" s="3">
        <f t="shared" si="2"/>
        <v>5.76</v>
      </c>
      <c r="G20" s="3">
        <f t="shared" si="3"/>
        <v>6.0767999999999995</v>
      </c>
    </row>
    <row r="21" spans="1:10" ht="35.1" customHeight="1" thickBot="1" x14ac:dyDescent="0.3">
      <c r="A21" s="52"/>
      <c r="B21" s="55"/>
      <c r="C21" s="4" t="s">
        <v>30</v>
      </c>
      <c r="D21" s="8">
        <v>4.8</v>
      </c>
      <c r="E21" s="8">
        <f t="shared" ref="E21:E24" si="4">D21*105.5/100</f>
        <v>5.0640000000000001</v>
      </c>
      <c r="F21" s="5">
        <f t="shared" si="2"/>
        <v>5.76</v>
      </c>
      <c r="G21" s="5">
        <f t="shared" si="3"/>
        <v>6.0767999999999995</v>
      </c>
    </row>
    <row r="22" spans="1:10" ht="35.1" customHeight="1" thickBot="1" x14ac:dyDescent="0.3">
      <c r="A22" s="52"/>
      <c r="B22" s="55"/>
      <c r="C22" s="4" t="s">
        <v>26</v>
      </c>
      <c r="D22" s="8">
        <v>4.8</v>
      </c>
      <c r="E22" s="8">
        <f t="shared" si="4"/>
        <v>5.0640000000000001</v>
      </c>
      <c r="F22" s="5">
        <f t="shared" si="2"/>
        <v>5.76</v>
      </c>
      <c r="G22" s="5">
        <f t="shared" si="3"/>
        <v>6.0767999999999995</v>
      </c>
    </row>
    <row r="23" spans="1:10" ht="35.1" customHeight="1" thickBot="1" x14ac:dyDescent="0.3">
      <c r="A23" s="52"/>
      <c r="B23" s="55"/>
      <c r="C23" s="4" t="s">
        <v>38</v>
      </c>
      <c r="D23" s="8">
        <v>4.8</v>
      </c>
      <c r="E23" s="8">
        <f t="shared" si="4"/>
        <v>5.0640000000000001</v>
      </c>
      <c r="F23" s="5">
        <f t="shared" si="2"/>
        <v>5.76</v>
      </c>
      <c r="G23" s="5">
        <f t="shared" si="3"/>
        <v>6.0767999999999995</v>
      </c>
    </row>
    <row r="24" spans="1:10" ht="35.1" customHeight="1" thickBot="1" x14ac:dyDescent="0.3">
      <c r="A24" s="53"/>
      <c r="B24" s="56"/>
      <c r="C24" s="6" t="s">
        <v>24</v>
      </c>
      <c r="D24" s="8">
        <v>4.8</v>
      </c>
      <c r="E24" s="8">
        <f t="shared" si="4"/>
        <v>5.0640000000000001</v>
      </c>
      <c r="F24" s="7">
        <f t="shared" si="2"/>
        <v>5.76</v>
      </c>
      <c r="G24" s="7">
        <f t="shared" si="3"/>
        <v>6.0767999999999995</v>
      </c>
    </row>
    <row r="27" spans="1:10" x14ac:dyDescent="0.25">
      <c r="D27" s="22"/>
    </row>
  </sheetData>
  <mergeCells count="13">
    <mergeCell ref="A9:A13"/>
    <mergeCell ref="B9:B13"/>
    <mergeCell ref="H17:J17"/>
    <mergeCell ref="A1:G1"/>
    <mergeCell ref="A2:G2"/>
    <mergeCell ref="A4:A8"/>
    <mergeCell ref="B4:B8"/>
    <mergeCell ref="H19:J19"/>
    <mergeCell ref="C18:C19"/>
    <mergeCell ref="A20:A24"/>
    <mergeCell ref="B20:B24"/>
    <mergeCell ref="A14:A19"/>
    <mergeCell ref="B14:B19"/>
  </mergeCells>
  <phoneticPr fontId="9" type="noConversion"/>
  <printOptions horizontalCentered="1"/>
  <pageMargins left="0.31496062992125984" right="0.31496062992125984" top="0.47244094488188981" bottom="0.47244094488188981" header="0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57"/>
  <sheetViews>
    <sheetView workbookViewId="0">
      <selection activeCell="F19" sqref="F19"/>
    </sheetView>
  </sheetViews>
  <sheetFormatPr defaultRowHeight="15" x14ac:dyDescent="0.25"/>
  <cols>
    <col min="2" max="2" width="28.7109375" customWidth="1"/>
    <col min="3" max="3" width="12.28515625" customWidth="1"/>
    <col min="4" max="4" width="12.85546875" customWidth="1"/>
    <col min="8" max="11" width="9.140625" style="31"/>
    <col min="12" max="12" width="12" style="31" customWidth="1"/>
    <col min="13" max="13" width="9.140625" style="31"/>
    <col min="14" max="14" width="24.140625" customWidth="1"/>
  </cols>
  <sheetData>
    <row r="3" spans="2:24" x14ac:dyDescent="0.25">
      <c r="B3" s="33"/>
      <c r="C3" s="63" t="s">
        <v>83</v>
      </c>
      <c r="D3" s="63"/>
      <c r="E3" s="33" t="s">
        <v>84</v>
      </c>
      <c r="F3" s="33"/>
      <c r="G3" s="33"/>
      <c r="H3" s="34"/>
      <c r="I3" s="34"/>
      <c r="J3" s="34"/>
      <c r="K3" s="34"/>
      <c r="L3" s="34"/>
      <c r="N3" s="33"/>
      <c r="O3" s="63" t="s">
        <v>83</v>
      </c>
      <c r="P3" s="63"/>
      <c r="Q3" s="33" t="s">
        <v>84</v>
      </c>
      <c r="R3" s="33"/>
      <c r="S3" s="33"/>
      <c r="T3" s="34"/>
      <c r="U3" s="34"/>
      <c r="V3" s="34"/>
      <c r="W3" s="34"/>
      <c r="X3" s="34"/>
    </row>
    <row r="4" spans="2:24" x14ac:dyDescent="0.25">
      <c r="B4" s="33" t="s">
        <v>82</v>
      </c>
      <c r="C4" s="33">
        <f>C7</f>
        <v>168</v>
      </c>
      <c r="D4" s="33" t="s">
        <v>29</v>
      </c>
      <c r="E4" s="33" t="s">
        <v>85</v>
      </c>
      <c r="F4" s="33"/>
      <c r="G4" s="33"/>
      <c r="H4" s="34">
        <v>0.77</v>
      </c>
      <c r="I4" s="34" t="s">
        <v>90</v>
      </c>
      <c r="J4" s="35" t="s">
        <v>95</v>
      </c>
      <c r="K4" s="34"/>
      <c r="L4" s="34"/>
      <c r="N4" s="33" t="s">
        <v>99</v>
      </c>
      <c r="O4" s="33">
        <f>O8</f>
        <v>168</v>
      </c>
      <c r="P4" s="33" t="s">
        <v>29</v>
      </c>
      <c r="Q4" s="33" t="s">
        <v>85</v>
      </c>
      <c r="R4" s="33"/>
      <c r="S4" s="33"/>
      <c r="T4" s="34">
        <v>0.77</v>
      </c>
      <c r="U4" s="34" t="s">
        <v>90</v>
      </c>
      <c r="V4" s="35" t="s">
        <v>95</v>
      </c>
      <c r="W4" s="34"/>
      <c r="X4" s="34"/>
    </row>
    <row r="5" spans="2:24" x14ac:dyDescent="0.25">
      <c r="B5" s="33"/>
      <c r="C5" s="33"/>
      <c r="D5" s="33"/>
      <c r="E5" s="33" t="s">
        <v>86</v>
      </c>
      <c r="F5" s="33">
        <v>30</v>
      </c>
      <c r="G5" s="33"/>
      <c r="H5" s="35" t="s">
        <v>96</v>
      </c>
      <c r="I5" s="34"/>
      <c r="J5" s="34"/>
      <c r="K5" s="34"/>
      <c r="L5" s="34"/>
      <c r="N5" s="33" t="s">
        <v>100</v>
      </c>
      <c r="O5" s="33"/>
      <c r="P5" s="33"/>
      <c r="Q5" s="33" t="s">
        <v>86</v>
      </c>
      <c r="R5" s="33">
        <v>30</v>
      </c>
      <c r="S5" s="33"/>
      <c r="T5" s="35" t="s">
        <v>96</v>
      </c>
      <c r="U5" s="34"/>
      <c r="V5" s="34"/>
      <c r="W5" s="34"/>
      <c r="X5" s="34"/>
    </row>
    <row r="6" spans="2:24" x14ac:dyDescent="0.25">
      <c r="B6" s="33" t="s">
        <v>102</v>
      </c>
      <c r="C6" s="33">
        <v>7</v>
      </c>
      <c r="D6" s="33" t="s">
        <v>29</v>
      </c>
      <c r="E6" s="33" t="s">
        <v>87</v>
      </c>
      <c r="F6" s="33">
        <v>31</v>
      </c>
      <c r="G6" s="33"/>
      <c r="H6" s="34"/>
      <c r="I6" s="34"/>
      <c r="J6" s="34"/>
      <c r="K6" s="34"/>
      <c r="L6" s="34"/>
      <c r="N6" s="33"/>
      <c r="O6" s="33"/>
      <c r="P6" s="33"/>
      <c r="Q6" s="33" t="s">
        <v>87</v>
      </c>
      <c r="R6" s="33">
        <v>31</v>
      </c>
      <c r="S6" s="33"/>
      <c r="T6" s="34"/>
      <c r="U6" s="34"/>
      <c r="V6" s="34"/>
      <c r="W6" s="34"/>
      <c r="X6" s="34"/>
    </row>
    <row r="7" spans="2:24" x14ac:dyDescent="0.25">
      <c r="B7" s="33" t="s">
        <v>103</v>
      </c>
      <c r="C7" s="33">
        <f>C6*24</f>
        <v>168</v>
      </c>
      <c r="D7" s="33" t="s">
        <v>29</v>
      </c>
      <c r="E7" s="33" t="s">
        <v>88</v>
      </c>
      <c r="F7" s="33">
        <v>31</v>
      </c>
      <c r="G7" s="33"/>
      <c r="H7" s="34"/>
      <c r="I7" s="34"/>
      <c r="J7" s="34"/>
      <c r="K7" s="34"/>
      <c r="L7" s="34"/>
      <c r="N7" s="33" t="s">
        <v>102</v>
      </c>
      <c r="O7" s="33">
        <v>7</v>
      </c>
      <c r="P7" s="33" t="s">
        <v>29</v>
      </c>
      <c r="Q7" s="33" t="s">
        <v>88</v>
      </c>
      <c r="R7" s="33">
        <v>31</v>
      </c>
      <c r="S7" s="33"/>
      <c r="T7" s="34"/>
      <c r="U7" s="34"/>
      <c r="V7" s="34"/>
      <c r="W7" s="34"/>
      <c r="X7" s="34"/>
    </row>
    <row r="8" spans="2:24" x14ac:dyDescent="0.25">
      <c r="B8" s="33"/>
      <c r="C8" s="33"/>
      <c r="D8" s="33"/>
      <c r="E8" s="33" t="s">
        <v>89</v>
      </c>
      <c r="F8" s="33">
        <v>30</v>
      </c>
      <c r="G8" s="33"/>
      <c r="H8" s="34"/>
      <c r="I8" s="34"/>
      <c r="J8" s="34"/>
      <c r="K8" s="34"/>
      <c r="L8" s="34"/>
      <c r="N8" s="33" t="s">
        <v>103</v>
      </c>
      <c r="O8" s="33">
        <f>O7*24</f>
        <v>168</v>
      </c>
      <c r="P8" s="33" t="s">
        <v>29</v>
      </c>
      <c r="Q8" s="33" t="s">
        <v>89</v>
      </c>
      <c r="R8" s="33">
        <v>30</v>
      </c>
      <c r="S8" s="33"/>
      <c r="T8" s="34"/>
      <c r="U8" s="34"/>
      <c r="V8" s="34"/>
      <c r="W8" s="34"/>
      <c r="X8" s="34"/>
    </row>
    <row r="9" spans="2:24" x14ac:dyDescent="0.25">
      <c r="B9" s="33"/>
      <c r="C9" s="33"/>
      <c r="D9" s="33"/>
      <c r="E9" s="33" t="s">
        <v>97</v>
      </c>
      <c r="F9" s="33"/>
      <c r="G9" s="33"/>
      <c r="H9" s="34"/>
      <c r="I9" s="34"/>
      <c r="J9" s="34"/>
      <c r="K9" s="34"/>
      <c r="L9" s="34"/>
      <c r="N9" s="33"/>
      <c r="O9" s="33"/>
      <c r="P9" s="33"/>
      <c r="Q9" s="33" t="s">
        <v>97</v>
      </c>
      <c r="R9" s="33"/>
      <c r="S9" s="33"/>
      <c r="T9" s="34"/>
      <c r="U9" s="34"/>
      <c r="V9" s="34"/>
      <c r="W9" s="34"/>
      <c r="X9" s="34"/>
    </row>
    <row r="10" spans="2:24" x14ac:dyDescent="0.25">
      <c r="B10" s="33"/>
      <c r="C10" s="33"/>
      <c r="D10" s="33"/>
      <c r="E10" s="36" t="s">
        <v>104</v>
      </c>
      <c r="F10" s="36">
        <f>SUM(F4:F9)</f>
        <v>122</v>
      </c>
      <c r="G10" s="33"/>
      <c r="H10" s="34"/>
      <c r="I10" s="34"/>
      <c r="J10" s="34"/>
      <c r="K10" s="34"/>
      <c r="L10" s="34"/>
      <c r="N10" s="33"/>
      <c r="O10" s="33"/>
      <c r="P10" s="33"/>
      <c r="Q10" s="36" t="s">
        <v>104</v>
      </c>
      <c r="R10" s="36">
        <f>SUM(R4:R9)</f>
        <v>122</v>
      </c>
      <c r="S10" s="33"/>
      <c r="T10" s="34"/>
      <c r="U10" s="34"/>
      <c r="V10" s="34"/>
      <c r="W10" s="34"/>
      <c r="X10" s="34"/>
    </row>
    <row r="11" spans="2:24" x14ac:dyDescent="0.25">
      <c r="B11" s="33"/>
      <c r="C11" s="33"/>
      <c r="D11" s="33"/>
      <c r="E11" s="33"/>
      <c r="F11" s="33"/>
      <c r="G11" s="33"/>
      <c r="H11" s="34"/>
      <c r="I11" s="34"/>
      <c r="J11" s="34"/>
      <c r="K11" s="34"/>
      <c r="L11" s="34"/>
      <c r="N11" s="33"/>
      <c r="O11" s="33"/>
      <c r="P11" s="33"/>
      <c r="Q11" s="33"/>
      <c r="R11" s="33"/>
      <c r="S11" s="33"/>
      <c r="T11" s="34"/>
      <c r="U11" s="34"/>
      <c r="V11" s="34"/>
      <c r="W11" s="34"/>
      <c r="X11" s="34"/>
    </row>
    <row r="12" spans="2:24" x14ac:dyDescent="0.25">
      <c r="B12" s="33" t="s">
        <v>31</v>
      </c>
      <c r="C12" s="33">
        <f>(F4+F5)*C4*2</f>
        <v>10080</v>
      </c>
      <c r="D12" s="33" t="s">
        <v>93</v>
      </c>
      <c r="E12" s="33"/>
      <c r="F12" s="33">
        <f>(F4+F5)*H4*2</f>
        <v>46.2</v>
      </c>
      <c r="G12" s="34" t="str">
        <f>I4</f>
        <v>м3</v>
      </c>
      <c r="H12" s="34"/>
      <c r="I12" s="34"/>
      <c r="J12" s="34"/>
      <c r="K12" s="34"/>
      <c r="L12" s="34"/>
      <c r="N12" s="33" t="s">
        <v>31</v>
      </c>
      <c r="O12" s="33">
        <f>(R4+R5)*O4</f>
        <v>5040</v>
      </c>
      <c r="P12" s="33" t="s">
        <v>93</v>
      </c>
      <c r="Q12" s="33"/>
      <c r="R12" s="33">
        <f>(R4+R5)*T4</f>
        <v>23.1</v>
      </c>
      <c r="S12" s="34" t="str">
        <f>U4</f>
        <v>м3</v>
      </c>
      <c r="T12" s="34"/>
      <c r="U12" s="34"/>
      <c r="V12" s="34"/>
      <c r="W12" s="34"/>
      <c r="X12" s="34"/>
    </row>
    <row r="13" spans="2:24" x14ac:dyDescent="0.25">
      <c r="B13" s="33" t="s">
        <v>92</v>
      </c>
      <c r="C13" s="33">
        <f>(F6+F7+F8+F9)*C4*2</f>
        <v>30912</v>
      </c>
      <c r="D13" s="33" t="s">
        <v>93</v>
      </c>
      <c r="E13" s="33"/>
      <c r="F13" s="33">
        <f>(F6+F7+F8+F9)*H4*2</f>
        <v>141.68</v>
      </c>
      <c r="G13" s="34" t="s">
        <v>90</v>
      </c>
      <c r="H13" s="34"/>
      <c r="I13" s="34"/>
      <c r="J13" s="34"/>
      <c r="K13" s="34"/>
      <c r="L13" s="34"/>
      <c r="N13" s="33" t="s">
        <v>92</v>
      </c>
      <c r="O13" s="33">
        <f>(R6+R7+R8+R9)*O4</f>
        <v>15456</v>
      </c>
      <c r="P13" s="33" t="s">
        <v>93</v>
      </c>
      <c r="Q13" s="33"/>
      <c r="R13" s="33">
        <f>(R6+R7+R8+R9)*T4</f>
        <v>70.84</v>
      </c>
      <c r="S13" s="34" t="s">
        <v>90</v>
      </c>
      <c r="T13" s="34"/>
      <c r="U13" s="34"/>
      <c r="V13" s="34"/>
      <c r="W13" s="34"/>
      <c r="X13" s="34"/>
    </row>
    <row r="14" spans="2:24" x14ac:dyDescent="0.25">
      <c r="B14" s="36" t="s">
        <v>91</v>
      </c>
      <c r="C14" s="36">
        <f>SUM(C12:C13)</f>
        <v>40992</v>
      </c>
      <c r="D14" s="36" t="s">
        <v>93</v>
      </c>
      <c r="E14" s="33"/>
      <c r="F14" s="36">
        <f>SUM(F12:F13)</f>
        <v>187.88</v>
      </c>
      <c r="G14" s="37" t="s">
        <v>90</v>
      </c>
      <c r="H14" s="34"/>
      <c r="I14" s="34"/>
      <c r="J14" s="34"/>
      <c r="K14" s="34"/>
      <c r="L14" s="34"/>
      <c r="N14" s="36" t="s">
        <v>91</v>
      </c>
      <c r="O14" s="36">
        <f>SUM(O12:O13)</f>
        <v>20496</v>
      </c>
      <c r="P14" s="36" t="s">
        <v>93</v>
      </c>
      <c r="Q14" s="33"/>
      <c r="R14" s="36">
        <f>SUM(R12:R13)</f>
        <v>93.94</v>
      </c>
      <c r="S14" s="37" t="s">
        <v>90</v>
      </c>
      <c r="T14" s="34"/>
      <c r="U14" s="34"/>
      <c r="V14" s="34"/>
      <c r="W14" s="34"/>
      <c r="X14" s="34"/>
    </row>
    <row r="15" spans="2:24" x14ac:dyDescent="0.25">
      <c r="B15" s="33" t="s">
        <v>94</v>
      </c>
      <c r="C15" s="33"/>
      <c r="D15" s="33"/>
      <c r="E15" s="33"/>
      <c r="F15" s="33"/>
      <c r="G15" s="33"/>
      <c r="H15" s="34"/>
      <c r="I15" s="34"/>
      <c r="J15" s="34"/>
      <c r="K15" s="34"/>
      <c r="L15" s="34"/>
      <c r="N15" s="33" t="s">
        <v>94</v>
      </c>
      <c r="O15" s="33"/>
      <c r="P15" s="33"/>
      <c r="Q15" s="33"/>
      <c r="R15" s="33"/>
      <c r="S15" s="33"/>
      <c r="T15" s="34"/>
      <c r="U15" s="34"/>
      <c r="V15" s="34"/>
      <c r="W15" s="34"/>
      <c r="X15" s="34"/>
    </row>
    <row r="18" spans="2:24" x14ac:dyDescent="0.25">
      <c r="B18" s="33"/>
      <c r="C18" s="63" t="s">
        <v>83</v>
      </c>
      <c r="D18" s="63"/>
      <c r="E18" s="33" t="s">
        <v>84</v>
      </c>
      <c r="F18" s="33"/>
      <c r="G18" s="33"/>
      <c r="H18" s="34"/>
      <c r="I18" s="34"/>
      <c r="J18" s="34"/>
      <c r="K18" s="34"/>
      <c r="L18" s="34"/>
      <c r="N18" s="33"/>
      <c r="O18" s="63" t="s">
        <v>83</v>
      </c>
      <c r="P18" s="63"/>
      <c r="Q18" s="33" t="s">
        <v>84</v>
      </c>
      <c r="R18" s="33"/>
      <c r="S18" s="33"/>
      <c r="T18" s="34"/>
      <c r="U18" s="34"/>
      <c r="V18" s="34"/>
      <c r="W18" s="34"/>
      <c r="X18" s="34"/>
    </row>
    <row r="19" spans="2:24" x14ac:dyDescent="0.25">
      <c r="B19" s="33" t="s">
        <v>98</v>
      </c>
      <c r="C19" s="33">
        <f>C22</f>
        <v>432</v>
      </c>
      <c r="D19" s="33" t="s">
        <v>29</v>
      </c>
      <c r="E19" s="33" t="s">
        <v>85</v>
      </c>
      <c r="F19" s="33"/>
      <c r="G19" s="33"/>
      <c r="H19" s="34">
        <v>0.77</v>
      </c>
      <c r="I19" s="34" t="s">
        <v>90</v>
      </c>
      <c r="J19" s="35" t="s">
        <v>95</v>
      </c>
      <c r="K19" s="34"/>
      <c r="L19" s="34"/>
      <c r="N19" s="33" t="s">
        <v>101</v>
      </c>
      <c r="O19" s="33">
        <f>O22</f>
        <v>816</v>
      </c>
      <c r="P19" s="33" t="s">
        <v>29</v>
      </c>
      <c r="Q19" s="33" t="s">
        <v>85</v>
      </c>
      <c r="R19" s="33"/>
      <c r="S19" s="33"/>
      <c r="T19" s="34">
        <v>3.85</v>
      </c>
      <c r="U19" s="34" t="s">
        <v>90</v>
      </c>
      <c r="V19" s="35" t="s">
        <v>95</v>
      </c>
      <c r="W19" s="34"/>
      <c r="X19" s="34"/>
    </row>
    <row r="20" spans="2:24" x14ac:dyDescent="0.25">
      <c r="B20" s="33"/>
      <c r="C20" s="33"/>
      <c r="D20" s="33"/>
      <c r="E20" s="33" t="s">
        <v>86</v>
      </c>
      <c r="F20" s="33">
        <v>30</v>
      </c>
      <c r="G20" s="33"/>
      <c r="H20" s="35" t="s">
        <v>96</v>
      </c>
      <c r="I20" s="34"/>
      <c r="J20" s="34"/>
      <c r="K20" s="34"/>
      <c r="L20" s="34"/>
      <c r="N20" s="33"/>
      <c r="O20" s="33"/>
      <c r="P20" s="33"/>
      <c r="Q20" s="33" t="s">
        <v>86</v>
      </c>
      <c r="R20" s="33">
        <v>30</v>
      </c>
      <c r="S20" s="33"/>
      <c r="T20" s="35" t="s">
        <v>96</v>
      </c>
      <c r="U20" s="34"/>
      <c r="V20" s="34"/>
      <c r="W20" s="34"/>
      <c r="X20" s="34"/>
    </row>
    <row r="21" spans="2:24" x14ac:dyDescent="0.25">
      <c r="B21" s="33" t="s">
        <v>102</v>
      </c>
      <c r="C21" s="33">
        <v>18</v>
      </c>
      <c r="D21" s="33" t="s">
        <v>29</v>
      </c>
      <c r="E21" s="33" t="s">
        <v>87</v>
      </c>
      <c r="F21" s="33">
        <v>31</v>
      </c>
      <c r="G21" s="33"/>
      <c r="H21" s="34"/>
      <c r="I21" s="34"/>
      <c r="J21" s="34"/>
      <c r="K21" s="34"/>
      <c r="L21" s="34"/>
      <c r="N21" s="33" t="s">
        <v>102</v>
      </c>
      <c r="O21" s="33">
        <v>34</v>
      </c>
      <c r="P21" s="33" t="s">
        <v>29</v>
      </c>
      <c r="Q21" s="33" t="s">
        <v>87</v>
      </c>
      <c r="R21" s="33">
        <v>31</v>
      </c>
      <c r="S21" s="33"/>
      <c r="T21" s="34"/>
      <c r="U21" s="34"/>
      <c r="V21" s="34"/>
      <c r="W21" s="34"/>
      <c r="X21" s="34"/>
    </row>
    <row r="22" spans="2:24" x14ac:dyDescent="0.25">
      <c r="B22" s="33" t="s">
        <v>103</v>
      </c>
      <c r="C22" s="33">
        <f>C21*24</f>
        <v>432</v>
      </c>
      <c r="D22" s="33" t="s">
        <v>29</v>
      </c>
      <c r="E22" s="33" t="s">
        <v>88</v>
      </c>
      <c r="F22" s="33">
        <v>31</v>
      </c>
      <c r="G22" s="33"/>
      <c r="H22" s="34"/>
      <c r="I22" s="34"/>
      <c r="J22" s="34"/>
      <c r="K22" s="34"/>
      <c r="L22" s="34"/>
      <c r="N22" s="33" t="s">
        <v>103</v>
      </c>
      <c r="O22" s="33">
        <f>O21*24</f>
        <v>816</v>
      </c>
      <c r="P22" s="33" t="s">
        <v>29</v>
      </c>
      <c r="Q22" s="33" t="s">
        <v>88</v>
      </c>
      <c r="R22" s="33">
        <v>31</v>
      </c>
      <c r="S22" s="33"/>
      <c r="T22" s="34"/>
      <c r="U22" s="34"/>
      <c r="V22" s="34"/>
      <c r="W22" s="34"/>
      <c r="X22" s="34"/>
    </row>
    <row r="23" spans="2:24" x14ac:dyDescent="0.25">
      <c r="B23" s="33"/>
      <c r="C23" s="33"/>
      <c r="D23" s="33"/>
      <c r="E23" s="33" t="s">
        <v>89</v>
      </c>
      <c r="F23" s="33">
        <v>30</v>
      </c>
      <c r="G23" s="33"/>
      <c r="H23" s="34"/>
      <c r="I23" s="34"/>
      <c r="J23" s="34"/>
      <c r="K23" s="34"/>
      <c r="L23" s="34"/>
      <c r="N23" s="33"/>
      <c r="O23" s="33"/>
      <c r="P23" s="33"/>
      <c r="Q23" s="33" t="s">
        <v>89</v>
      </c>
      <c r="R23" s="33">
        <v>30</v>
      </c>
      <c r="S23" s="33"/>
      <c r="T23" s="34"/>
      <c r="U23" s="34"/>
      <c r="V23" s="34"/>
      <c r="W23" s="34"/>
      <c r="X23" s="34"/>
    </row>
    <row r="24" spans="2:24" x14ac:dyDescent="0.25">
      <c r="B24" s="33"/>
      <c r="C24" s="33"/>
      <c r="D24" s="33"/>
      <c r="E24" s="33" t="s">
        <v>97</v>
      </c>
      <c r="F24" s="33"/>
      <c r="G24" s="33"/>
      <c r="H24" s="34"/>
      <c r="I24" s="34"/>
      <c r="J24" s="34"/>
      <c r="K24" s="34"/>
      <c r="L24" s="34"/>
      <c r="N24" s="33"/>
      <c r="O24" s="33"/>
      <c r="P24" s="33"/>
      <c r="Q24" s="33" t="s">
        <v>97</v>
      </c>
      <c r="R24" s="33"/>
      <c r="S24" s="33"/>
      <c r="T24" s="34"/>
      <c r="U24" s="34"/>
      <c r="V24" s="34"/>
      <c r="W24" s="34"/>
      <c r="X24" s="34"/>
    </row>
    <row r="25" spans="2:24" x14ac:dyDescent="0.25">
      <c r="B25" s="33"/>
      <c r="C25" s="33"/>
      <c r="D25" s="33"/>
      <c r="E25" s="36" t="s">
        <v>104</v>
      </c>
      <c r="F25" s="36">
        <f>SUM(F19:F24)</f>
        <v>122</v>
      </c>
      <c r="G25" s="33"/>
      <c r="H25" s="34"/>
      <c r="I25" s="34"/>
      <c r="J25" s="34"/>
      <c r="K25" s="34"/>
      <c r="L25" s="34"/>
      <c r="N25" s="33"/>
      <c r="O25" s="33"/>
      <c r="P25" s="33"/>
      <c r="Q25" s="36" t="s">
        <v>104</v>
      </c>
      <c r="R25" s="36">
        <f>SUM(R19:R24)</f>
        <v>122</v>
      </c>
      <c r="S25" s="33"/>
      <c r="T25" s="34"/>
      <c r="U25" s="34"/>
      <c r="V25" s="34"/>
      <c r="W25" s="34"/>
      <c r="X25" s="34"/>
    </row>
    <row r="26" spans="2:24" x14ac:dyDescent="0.25">
      <c r="B26" s="33"/>
      <c r="C26" s="33"/>
      <c r="D26" s="33"/>
      <c r="E26" s="33"/>
      <c r="F26" s="33"/>
      <c r="G26" s="33"/>
      <c r="H26" s="34"/>
      <c r="I26" s="34"/>
      <c r="J26" s="34"/>
      <c r="K26" s="34"/>
      <c r="L26" s="34"/>
      <c r="N26" s="33"/>
      <c r="O26" s="33"/>
      <c r="P26" s="33"/>
      <c r="Q26" s="33"/>
      <c r="R26" s="33"/>
      <c r="S26" s="33"/>
      <c r="T26" s="34"/>
      <c r="U26" s="34"/>
      <c r="V26" s="34"/>
      <c r="W26" s="34"/>
      <c r="X26" s="34"/>
    </row>
    <row r="27" spans="2:24" x14ac:dyDescent="0.25">
      <c r="B27" s="33" t="s">
        <v>31</v>
      </c>
      <c r="C27" s="33">
        <f>(F19+F20)*C19</f>
        <v>12960</v>
      </c>
      <c r="D27" s="33" t="s">
        <v>93</v>
      </c>
      <c r="E27" s="33"/>
      <c r="F27" s="33">
        <f>(F19+F20)*H19</f>
        <v>23.1</v>
      </c>
      <c r="G27" s="34" t="str">
        <f>I19</f>
        <v>м3</v>
      </c>
      <c r="H27" s="34"/>
      <c r="I27" s="34"/>
      <c r="J27" s="34"/>
      <c r="K27" s="34"/>
      <c r="L27" s="34"/>
      <c r="N27" s="33" t="s">
        <v>31</v>
      </c>
      <c r="O27" s="33">
        <f>(R19+R20)*O19</f>
        <v>24480</v>
      </c>
      <c r="P27" s="33" t="s">
        <v>93</v>
      </c>
      <c r="Q27" s="33"/>
      <c r="R27" s="33">
        <f>(R19+R20)*T19</f>
        <v>115.5</v>
      </c>
      <c r="S27" s="34" t="str">
        <f>U19</f>
        <v>м3</v>
      </c>
      <c r="T27" s="34"/>
      <c r="U27" s="34"/>
      <c r="V27" s="34"/>
      <c r="W27" s="34"/>
      <c r="X27" s="34"/>
    </row>
    <row r="28" spans="2:24" x14ac:dyDescent="0.25">
      <c r="B28" s="33" t="s">
        <v>92</v>
      </c>
      <c r="C28" s="33">
        <f>(F21+F22+F23+F24)*C19</f>
        <v>39744</v>
      </c>
      <c r="D28" s="33" t="s">
        <v>93</v>
      </c>
      <c r="E28" s="33"/>
      <c r="F28" s="33">
        <f>(F21+F22+F23+F24)*H19</f>
        <v>70.84</v>
      </c>
      <c r="G28" s="34" t="s">
        <v>90</v>
      </c>
      <c r="H28" s="34"/>
      <c r="I28" s="34"/>
      <c r="J28" s="34"/>
      <c r="K28" s="34"/>
      <c r="L28" s="34"/>
      <c r="N28" s="33" t="s">
        <v>92</v>
      </c>
      <c r="O28" s="33">
        <f>(R21+R22+R23+R24)*O19</f>
        <v>75072</v>
      </c>
      <c r="P28" s="33" t="s">
        <v>93</v>
      </c>
      <c r="Q28" s="33"/>
      <c r="R28" s="33">
        <f>(R21+R22+R23+R24)*T19</f>
        <v>354.2</v>
      </c>
      <c r="S28" s="34" t="s">
        <v>90</v>
      </c>
      <c r="T28" s="34"/>
      <c r="U28" s="34"/>
      <c r="V28" s="34"/>
      <c r="W28" s="34"/>
      <c r="X28" s="34"/>
    </row>
    <row r="29" spans="2:24" x14ac:dyDescent="0.25">
      <c r="B29" s="36" t="s">
        <v>91</v>
      </c>
      <c r="C29" s="36">
        <f>SUM(C27:C28)</f>
        <v>52704</v>
      </c>
      <c r="D29" s="36" t="s">
        <v>93</v>
      </c>
      <c r="E29" s="33"/>
      <c r="F29" s="36">
        <f>SUM(F27:F28)</f>
        <v>93.94</v>
      </c>
      <c r="G29" s="37" t="s">
        <v>90</v>
      </c>
      <c r="H29" s="34"/>
      <c r="I29" s="34"/>
      <c r="J29" s="34"/>
      <c r="K29" s="34"/>
      <c r="L29" s="34"/>
      <c r="N29" s="36" t="s">
        <v>91</v>
      </c>
      <c r="O29" s="36">
        <f>SUM(O27:O28)</f>
        <v>99552</v>
      </c>
      <c r="P29" s="36" t="s">
        <v>93</v>
      </c>
      <c r="Q29" s="33"/>
      <c r="R29" s="36">
        <f>SUM(R27:R28)</f>
        <v>469.7</v>
      </c>
      <c r="S29" s="37" t="s">
        <v>90</v>
      </c>
      <c r="T29" s="34"/>
      <c r="U29" s="34"/>
      <c r="V29" s="34"/>
      <c r="W29" s="34"/>
      <c r="X29" s="34"/>
    </row>
    <row r="30" spans="2:24" x14ac:dyDescent="0.25">
      <c r="B30" s="33" t="s">
        <v>94</v>
      </c>
      <c r="C30" s="33"/>
      <c r="D30" s="33"/>
      <c r="E30" s="33"/>
      <c r="F30" s="33"/>
      <c r="G30" s="33"/>
      <c r="H30" s="34"/>
      <c r="I30" s="34"/>
      <c r="J30" s="34"/>
      <c r="K30" s="34"/>
      <c r="L30" s="34"/>
      <c r="N30" s="33" t="s">
        <v>94</v>
      </c>
      <c r="O30" s="33"/>
      <c r="P30" s="33"/>
      <c r="Q30" s="33"/>
      <c r="R30" s="33"/>
      <c r="S30" s="33"/>
      <c r="T30" s="34"/>
      <c r="U30" s="34"/>
      <c r="V30" s="34"/>
      <c r="W30" s="34"/>
      <c r="X30" s="34"/>
    </row>
    <row r="33" spans="2:12" x14ac:dyDescent="0.25">
      <c r="B33" t="s">
        <v>104</v>
      </c>
      <c r="C33" t="s">
        <v>105</v>
      </c>
      <c r="E33" t="s">
        <v>106</v>
      </c>
    </row>
    <row r="34" spans="2:12" x14ac:dyDescent="0.25">
      <c r="B34" t="s">
        <v>31</v>
      </c>
      <c r="C34" s="22">
        <f>C12+C27+O12+O27</f>
        <v>52560</v>
      </c>
      <c r="D34" s="22" t="s">
        <v>107</v>
      </c>
      <c r="E34" s="22">
        <f>F12+R12+R27+F27</f>
        <v>207.9</v>
      </c>
      <c r="F34" s="34" t="s">
        <v>90</v>
      </c>
      <c r="G34" s="22"/>
      <c r="H34" s="38"/>
    </row>
    <row r="35" spans="2:12" x14ac:dyDescent="0.25">
      <c r="B35" t="s">
        <v>92</v>
      </c>
      <c r="C35" s="22">
        <f>C13+O13+O28+C28</f>
        <v>161184</v>
      </c>
      <c r="D35" s="22" t="s">
        <v>107</v>
      </c>
      <c r="E35" s="22">
        <f>F13+R13+R28+F28</f>
        <v>637.56000000000006</v>
      </c>
      <c r="F35" s="34" t="s">
        <v>90</v>
      </c>
      <c r="G35" s="22"/>
      <c r="H35" s="38"/>
    </row>
    <row r="36" spans="2:12" x14ac:dyDescent="0.25">
      <c r="B36" s="32" t="s">
        <v>104</v>
      </c>
      <c r="C36" s="39">
        <f>SUM(C34:C35)</f>
        <v>213744</v>
      </c>
      <c r="D36" s="39" t="s">
        <v>107</v>
      </c>
      <c r="E36" s="39">
        <f>SUM(E34:E35)</f>
        <v>845.46</v>
      </c>
      <c r="F36" s="34" t="s">
        <v>90</v>
      </c>
    </row>
    <row r="39" spans="2:12" x14ac:dyDescent="0.25">
      <c r="B39" s="33" t="s">
        <v>115</v>
      </c>
      <c r="C39" s="64">
        <v>2020</v>
      </c>
      <c r="D39" s="65"/>
      <c r="E39" s="66"/>
      <c r="F39" s="64">
        <v>2021</v>
      </c>
      <c r="G39" s="65"/>
      <c r="H39" s="66"/>
      <c r="I39" s="64">
        <v>2022</v>
      </c>
      <c r="J39" s="65"/>
      <c r="K39" s="66"/>
      <c r="L39" s="40" t="s">
        <v>118</v>
      </c>
    </row>
    <row r="40" spans="2:12" x14ac:dyDescent="0.25">
      <c r="B40" s="33"/>
      <c r="C40" s="40" t="s">
        <v>116</v>
      </c>
      <c r="D40" s="40" t="s">
        <v>117</v>
      </c>
      <c r="E40" s="40" t="s">
        <v>104</v>
      </c>
      <c r="F40" s="40" t="s">
        <v>116</v>
      </c>
      <c r="G40" s="40" t="s">
        <v>117</v>
      </c>
      <c r="H40" s="40" t="s">
        <v>104</v>
      </c>
      <c r="I40" s="40" t="s">
        <v>116</v>
      </c>
      <c r="J40" s="40" t="s">
        <v>117</v>
      </c>
      <c r="K40" s="40" t="s">
        <v>104</v>
      </c>
      <c r="L40" s="40" t="s">
        <v>119</v>
      </c>
    </row>
    <row r="41" spans="2:12" x14ac:dyDescent="0.25">
      <c r="B41" s="33" t="s">
        <v>31</v>
      </c>
      <c r="C41" s="33">
        <f>C34/1000</f>
        <v>52.56</v>
      </c>
      <c r="D41" s="41">
        <f>C41*ТАРИФЫ!F21</f>
        <v>302.74560000000002</v>
      </c>
      <c r="E41" s="67">
        <f>D41+D42</f>
        <v>1282.2285311999999</v>
      </c>
      <c r="F41" s="33">
        <f>C41</f>
        <v>52.56</v>
      </c>
      <c r="G41" s="41">
        <f>F41*6.07</f>
        <v>319.03920000000005</v>
      </c>
      <c r="H41" s="67">
        <f>G41+G42</f>
        <v>1352.2286400000003</v>
      </c>
      <c r="I41" s="33">
        <f>F41</f>
        <v>52.56</v>
      </c>
      <c r="J41" s="41">
        <f>I41*6.38</f>
        <v>335.33280000000002</v>
      </c>
      <c r="K41" s="67">
        <f>J41+J42</f>
        <v>1421.7129599999998</v>
      </c>
      <c r="L41" s="69">
        <f>E41+H41+K41</f>
        <v>4056.1701312</v>
      </c>
    </row>
    <row r="42" spans="2:12" x14ac:dyDescent="0.25">
      <c r="B42" s="33" t="s">
        <v>92</v>
      </c>
      <c r="C42" s="33">
        <f>C35/1000</f>
        <v>161.184</v>
      </c>
      <c r="D42" s="41">
        <f>C42*ТАРИФЫ!G21</f>
        <v>979.48293119999994</v>
      </c>
      <c r="E42" s="68"/>
      <c r="F42" s="33">
        <f>C42</f>
        <v>161.184</v>
      </c>
      <c r="G42" s="41">
        <f>F42*6.41</f>
        <v>1033.1894400000001</v>
      </c>
      <c r="H42" s="68"/>
      <c r="I42" s="33">
        <f>F42</f>
        <v>161.184</v>
      </c>
      <c r="J42" s="41">
        <f>I42*6.74</f>
        <v>1086.3801599999999</v>
      </c>
      <c r="K42" s="68"/>
      <c r="L42" s="70"/>
    </row>
    <row r="43" spans="2:12" x14ac:dyDescent="0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40"/>
    </row>
    <row r="44" spans="2:12" x14ac:dyDescent="0.25">
      <c r="B44" s="33" t="s">
        <v>120</v>
      </c>
      <c r="C44" s="64">
        <v>2020</v>
      </c>
      <c r="D44" s="65"/>
      <c r="E44" s="66"/>
      <c r="F44" s="64">
        <v>2021</v>
      </c>
      <c r="G44" s="65"/>
      <c r="H44" s="66"/>
      <c r="I44" s="64">
        <v>2021</v>
      </c>
      <c r="J44" s="65"/>
      <c r="K44" s="66"/>
      <c r="L44" s="40" t="s">
        <v>118</v>
      </c>
    </row>
    <row r="45" spans="2:12" x14ac:dyDescent="0.25">
      <c r="B45" s="33"/>
      <c r="C45" s="40" t="s">
        <v>90</v>
      </c>
      <c r="D45" s="40" t="s">
        <v>117</v>
      </c>
      <c r="E45" s="40" t="s">
        <v>104</v>
      </c>
      <c r="F45" s="40" t="s">
        <v>90</v>
      </c>
      <c r="G45" s="40" t="s">
        <v>117</v>
      </c>
      <c r="H45" s="40" t="s">
        <v>104</v>
      </c>
      <c r="I45" s="40" t="s">
        <v>90</v>
      </c>
      <c r="J45" s="40" t="s">
        <v>117</v>
      </c>
      <c r="K45" s="40" t="s">
        <v>104</v>
      </c>
      <c r="L45" s="40" t="s">
        <v>119</v>
      </c>
    </row>
    <row r="46" spans="2:12" x14ac:dyDescent="0.25">
      <c r="B46" s="33" t="s">
        <v>31</v>
      </c>
      <c r="C46" s="42">
        <f>E34</f>
        <v>207.9</v>
      </c>
      <c r="D46" s="41">
        <f>C46*40.25/1000</f>
        <v>8.3679749999999995</v>
      </c>
      <c r="E46" s="67">
        <f>D46+D47</f>
        <v>34.514310600000002</v>
      </c>
      <c r="F46" s="33">
        <f>C46</f>
        <v>207.9</v>
      </c>
      <c r="G46" s="41">
        <f>F46*42.01/1000</f>
        <v>8.7338789999999982</v>
      </c>
      <c r="H46" s="67">
        <f>G46+G47</f>
        <v>36.550621800000002</v>
      </c>
      <c r="I46" s="33">
        <f>F46</f>
        <v>207.9</v>
      </c>
      <c r="J46" s="41">
        <f>I46*43.63/1000</f>
        <v>9.0706770000000017</v>
      </c>
      <c r="K46" s="67">
        <f>J46+J47</f>
        <v>37.792755</v>
      </c>
      <c r="L46" s="69">
        <f>E46+H46+K46</f>
        <v>108.8576874</v>
      </c>
    </row>
    <row r="47" spans="2:12" x14ac:dyDescent="0.25">
      <c r="B47" s="33" t="s">
        <v>92</v>
      </c>
      <c r="C47" s="42">
        <f>E35</f>
        <v>637.56000000000006</v>
      </c>
      <c r="D47" s="41">
        <f>C47*41.01/1000</f>
        <v>26.1463356</v>
      </c>
      <c r="E47" s="68"/>
      <c r="F47" s="33">
        <f>C47</f>
        <v>637.56000000000006</v>
      </c>
      <c r="G47" s="41">
        <f>F47*43.63/1000</f>
        <v>27.816742800000004</v>
      </c>
      <c r="H47" s="68"/>
      <c r="I47" s="33">
        <f>F47</f>
        <v>637.56000000000006</v>
      </c>
      <c r="J47" s="41">
        <f>I47*45.05/1000</f>
        <v>28.722078</v>
      </c>
      <c r="K47" s="68"/>
      <c r="L47" s="70"/>
    </row>
    <row r="48" spans="2:12" x14ac:dyDescent="0.2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40"/>
    </row>
    <row r="50" spans="2:12" x14ac:dyDescent="0.25">
      <c r="B50" s="33" t="s">
        <v>121</v>
      </c>
      <c r="C50" s="64">
        <v>2020</v>
      </c>
      <c r="D50" s="65"/>
      <c r="E50" s="66"/>
      <c r="F50" s="64">
        <v>2021</v>
      </c>
      <c r="G50" s="65"/>
      <c r="H50" s="66"/>
      <c r="I50" s="64">
        <v>2021</v>
      </c>
      <c r="J50" s="65"/>
      <c r="K50" s="66"/>
      <c r="L50" s="40" t="s">
        <v>118</v>
      </c>
    </row>
    <row r="51" spans="2:12" x14ac:dyDescent="0.25">
      <c r="B51" s="33"/>
      <c r="C51" s="40" t="s">
        <v>90</v>
      </c>
      <c r="D51" s="40" t="s">
        <v>117</v>
      </c>
      <c r="E51" s="40" t="s">
        <v>104</v>
      </c>
      <c r="F51" s="40" t="s">
        <v>90</v>
      </c>
      <c r="G51" s="40" t="s">
        <v>117</v>
      </c>
      <c r="H51" s="40" t="s">
        <v>104</v>
      </c>
      <c r="I51" s="40" t="s">
        <v>90</v>
      </c>
      <c r="J51" s="40" t="s">
        <v>117</v>
      </c>
      <c r="K51" s="40" t="s">
        <v>104</v>
      </c>
      <c r="L51" s="40" t="s">
        <v>119</v>
      </c>
    </row>
    <row r="52" spans="2:12" x14ac:dyDescent="0.25">
      <c r="B52" s="33" t="s">
        <v>31</v>
      </c>
      <c r="C52" s="42">
        <f>C46</f>
        <v>207.9</v>
      </c>
      <c r="D52" s="41">
        <v>92.4</v>
      </c>
      <c r="E52" s="67">
        <f>D52+D53</f>
        <v>189.22</v>
      </c>
      <c r="F52" s="33">
        <f>C52</f>
        <v>207.9</v>
      </c>
      <c r="G52" s="41">
        <v>94.8</v>
      </c>
      <c r="H52" s="67">
        <f>G52+G53</f>
        <v>194.13</v>
      </c>
      <c r="I52" s="33">
        <f>F52</f>
        <v>207.9</v>
      </c>
      <c r="J52" s="41">
        <v>97.2</v>
      </c>
      <c r="K52" s="67">
        <f>J52+J53</f>
        <v>198.78</v>
      </c>
      <c r="L52" s="69">
        <f>E52+H52+K52</f>
        <v>582.13</v>
      </c>
    </row>
    <row r="53" spans="2:12" x14ac:dyDescent="0.25">
      <c r="B53" s="33" t="s">
        <v>92</v>
      </c>
      <c r="C53" s="42">
        <f>C47</f>
        <v>637.56000000000006</v>
      </c>
      <c r="D53" s="41">
        <v>96.82</v>
      </c>
      <c r="E53" s="68"/>
      <c r="F53" s="33">
        <f>C53</f>
        <v>637.56000000000006</v>
      </c>
      <c r="G53" s="41">
        <v>99.33</v>
      </c>
      <c r="H53" s="68"/>
      <c r="I53" s="33">
        <f>F53</f>
        <v>637.56000000000006</v>
      </c>
      <c r="J53" s="41">
        <v>101.58</v>
      </c>
      <c r="K53" s="68"/>
      <c r="L53" s="70"/>
    </row>
    <row r="54" spans="2:12" x14ac:dyDescent="0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40"/>
    </row>
    <row r="56" spans="2:12" x14ac:dyDescent="0.25">
      <c r="B56" s="33" t="s">
        <v>124</v>
      </c>
      <c r="C56" s="40">
        <f>F7+F8+F9</f>
        <v>61</v>
      </c>
      <c r="D56" s="40">
        <f>C56*O22</f>
        <v>49776</v>
      </c>
      <c r="E56" s="40">
        <v>5.4960000000000004</v>
      </c>
      <c r="F56" s="33">
        <f>D56*E56</f>
        <v>273568.89600000001</v>
      </c>
    </row>
    <row r="57" spans="2:12" x14ac:dyDescent="0.25">
      <c r="B57" s="33" t="s">
        <v>125</v>
      </c>
      <c r="C57" s="40" t="s">
        <v>122</v>
      </c>
      <c r="D57" s="40" t="s">
        <v>107</v>
      </c>
      <c r="E57" s="40" t="s">
        <v>123</v>
      </c>
      <c r="F57" s="40" t="s">
        <v>8</v>
      </c>
      <c r="G57" s="31"/>
    </row>
  </sheetData>
  <mergeCells count="25">
    <mergeCell ref="L52:L53"/>
    <mergeCell ref="C50:E50"/>
    <mergeCell ref="F50:H50"/>
    <mergeCell ref="I50:K50"/>
    <mergeCell ref="E52:E53"/>
    <mergeCell ref="H52:H53"/>
    <mergeCell ref="K52:K53"/>
    <mergeCell ref="E41:E42"/>
    <mergeCell ref="H41:H42"/>
    <mergeCell ref="K41:K42"/>
    <mergeCell ref="L41:L42"/>
    <mergeCell ref="E46:E47"/>
    <mergeCell ref="H46:H47"/>
    <mergeCell ref="K46:K47"/>
    <mergeCell ref="L46:L47"/>
    <mergeCell ref="C44:E44"/>
    <mergeCell ref="F44:H44"/>
    <mergeCell ref="I44:K44"/>
    <mergeCell ref="C3:D3"/>
    <mergeCell ref="C18:D18"/>
    <mergeCell ref="O3:P3"/>
    <mergeCell ref="O18:P18"/>
    <mergeCell ref="C39:E39"/>
    <mergeCell ref="F39:H39"/>
    <mergeCell ref="I39:K39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ЛИМИТЫ</vt:lpstr>
      <vt:lpstr>ТАРИФЫ</vt:lpstr>
      <vt:lpstr>Лист4</vt:lpstr>
      <vt:lpstr>ЛИМИТЫ!Заголовки_для_печати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Дмитрий Валерьевич</dc:creator>
  <cp:lastModifiedBy>Свободный комп</cp:lastModifiedBy>
  <cp:lastPrinted>2019-11-06T01:39:01Z</cp:lastPrinted>
  <dcterms:created xsi:type="dcterms:W3CDTF">2016-11-22T02:25:12Z</dcterms:created>
  <dcterms:modified xsi:type="dcterms:W3CDTF">2019-11-06T01:39:20Z</dcterms:modified>
</cp:coreProperties>
</file>