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1625" tabRatio="855" activeTab="0"/>
  </bookViews>
  <sheets>
    <sheet name="ДОХОДЫ" sheetId="1" r:id="rId1"/>
  </sheets>
  <definedNames>
    <definedName name="_xlnm.Print_Area" localSheetId="0">'ДОХОДЫ'!$A$1:$H$253</definedName>
  </definedNames>
  <calcPr fullCalcOnLoad="1"/>
</workbook>
</file>

<file path=xl/sharedStrings.xml><?xml version="1.0" encoding="utf-8"?>
<sst xmlns="http://schemas.openxmlformats.org/spreadsheetml/2006/main" count="505" uniqueCount="427">
  <si>
    <t xml:space="preserve">Прочие субсидии бюджетам городских округов </t>
  </si>
  <si>
    <t xml:space="preserve">Субсидии бюджетам бюджетной системы Российской Федерации (межбюджетные субсидии)
</t>
  </si>
  <si>
    <t xml:space="preserve">Прочие межбюджетные  трансферты, передаваемые бюджетам городских округов </t>
  </si>
  <si>
    <t>Субсидии бюджетам муниципальных образований на поддержку муниципальных программ развития торговли в рамках основного мероприятия "Формирование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 подпрограммы "Развитие торговли на территории Магаданской области на 2014 - 2020 году" государственной программы Магаданской области "Развитие сельского хозяйства Магаданской области" на 2014 - 2020 года"</t>
  </si>
  <si>
    <t>Прочие дотации бюджетам городских округов</t>
  </si>
  <si>
    <t>Прочие дотации</t>
  </si>
  <si>
    <t>1 05 01000 00 0000 110</t>
  </si>
  <si>
    <t>Налог, взимаемый в связи с применением упрощенной системы налогообложения</t>
  </si>
  <si>
    <t>1 05 01010 01 0000 110</t>
  </si>
  <si>
    <t>1 05 01011 01 0000 110</t>
  </si>
  <si>
    <t>1 05 01012 01 0000 110</t>
  </si>
  <si>
    <t>1 05 01020 01 0000 110</t>
  </si>
  <si>
    <t>1 05 01021 01 0000 110</t>
  </si>
  <si>
    <t>1 05 01022 01 0000 110</t>
  </si>
  <si>
    <t>1 05 01030 01 0000 110</t>
  </si>
  <si>
    <t>1 05 01050 01 0000 110</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</si>
  <si>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</si>
  <si>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</si>
  <si>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</si>
  <si>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</si>
  <si>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</si>
  <si>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</si>
  <si>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</si>
  <si>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</si>
  <si>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</si>
  <si>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</si>
  <si>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</si>
  <si>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1 13 01000 00 0000 130</t>
  </si>
  <si>
    <t>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</si>
  <si>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</si>
  <si>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</si>
  <si>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1 13 02064 04 0000 130</t>
  </si>
  <si>
    <t>Доходы, поступающие в порядке возмещения расходов, понесенных в связи с эксплуатацией имущества городских округов</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</si>
  <si>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</si>
  <si>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</si>
  <si>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</si>
  <si>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</si>
  <si>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</si>
  <si>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</si>
  <si>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</si>
  <si>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</si>
  <si>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</si>
  <si>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</si>
  <si>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1 16 18000 00 0000 140</t>
  </si>
  <si>
    <t>Денежные взыскания (штрафы) за нарушение бюджетного законодательства Российской Федерации</t>
  </si>
  <si>
    <t>1 16 18040 04 0000 140</t>
  </si>
  <si>
    <t>Денежные взыскания (штрафы) за нарушение бюджетного законодательства (в части бюджетов городских округов)</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</si>
  <si>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</si>
  <si>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</si>
  <si>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Дотации бюджетам бюджетной системы Российской Федерации</t>
  </si>
  <si>
    <t>2 02 19999 00 0000 151</t>
  </si>
  <si>
    <t>2 02 29999 04 0000 151</t>
  </si>
  <si>
    <t>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</si>
  <si>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</si>
  <si>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</si>
  <si>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</si>
  <si>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2 02 30024 04 0000 151</t>
  </si>
  <si>
    <t xml:space="preserve">Иные межбюджетные трансферты </t>
  </si>
  <si>
    <t>2 02 49999 04 0000 151</t>
  </si>
  <si>
    <t>Субсидии бюджетам городских округов на питание (завтрак или полдник) детей из многодетных семей, обучающихся в образовательных организациях, в рамках подпрограммы "Развитие общего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t>
  </si>
  <si>
    <t>Субсидии бюджетам муниципальных образований на строительство объектов (организаций) дошкольного образования в рамках подпрограммы "Повышение качества и доступности дошкольного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t>
  </si>
  <si>
    <t xml:space="preserve">                                   к решению Собрания представителей  </t>
  </si>
  <si>
    <t>Единый налог на вмененный доход для отдельных видов деятельности (за налоговые периоды, истекшие до 1 января 2011 года)</t>
  </si>
  <si>
    <t>1 05 03010 01 0000 110</t>
  </si>
  <si>
    <t>1 16 08010 01 0000 140</t>
  </si>
  <si>
    <t>1 16 08020 01 0000 140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</si>
  <si>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</si>
  <si>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Денежные взыскания (штрафы) за административные правонарушения в области государственного регулирования производства и  оборота табачной продукции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</si>
  <si>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</si>
  <si>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1 05 03000 01 0000 110</t>
  </si>
  <si>
    <t>ДОХОДЫ ОТ ИСПОЛЬЗОВАНИЯ ИМУЩЕСТВА, НАХОДЯЩЕГОСЯ В ГОСУДАРСТВЕННОЙ И МУНИЦИПАЛЬНОЙ СОБСТВЕННОСТИ</t>
  </si>
  <si>
    <t>1 11 05030 00 0000 120</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</si>
  <si>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</si>
  <si>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</si>
  <si>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1 17 00000 00 0000 000</t>
  </si>
  <si>
    <t>ПРОЧИЕ НЕНАЛОГОВЫЕ ДОХОДЫ</t>
  </si>
  <si>
    <t>Код бюджетной классификации</t>
  </si>
  <si>
    <t>Государственная пошлина по делам, рассматриваемым в судах общей юрисдикции, мировыми судьями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</si>
  <si>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</si>
  <si>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БЕЗВОЗМЕЗДНЫЕ ПОСТУПЛЕНИЯ ОТ ДРУГИХ БЮДЖЕТОВ БЮДЖЕТНОЙ СИСТЕМЫ РОССИЙСКОЙ ФЕДЕРАЦИИ</t>
  </si>
  <si>
    <t>Субвенции местным бюджетам на выполнение передаваемых полномочий субъектов Российской Федерации</t>
  </si>
  <si>
    <t>Единый налог на вмененный доход для отдельных видов деятельности</t>
  </si>
  <si>
    <t>ПЛАТЕЖИ ПРИ ПОЛЬЗОВАНИИ ПРИРОДНЫМИ РЕСУРСАМИ</t>
  </si>
  <si>
    <t>Плата за негативное воздействие на окружающую среду</t>
  </si>
  <si>
    <t>Государственная пошлина за государственную регистрацию, а также за совершение прочих юридически значимых действий</t>
  </si>
  <si>
    <t>Дотации бюджетам на поддержку мер по обеспечению сбалансированности бюджетов</t>
  </si>
  <si>
    <t>1 00 00000 00 0000 000</t>
  </si>
  <si>
    <t>Поступления доходов в бюджет</t>
  </si>
  <si>
    <t>Наименование доходов</t>
  </si>
  <si>
    <t>1 01 00000 00 0000 000</t>
  </si>
  <si>
    <t>НАЛОГИ НА ПРИБЫЛЬ, ДОХОДЫ</t>
  </si>
  <si>
    <t>Налог на доходы физических лиц</t>
  </si>
  <si>
    <t>1 05 00000 00 0000 000</t>
  </si>
  <si>
    <t>НАЛОГИ НА СОВОКУПНЫЙ ДОХОД</t>
  </si>
  <si>
    <t>1 06 00000 00 0000 000</t>
  </si>
  <si>
    <t>НАЛОГИ НА ИМУЩЕСТВО</t>
  </si>
  <si>
    <t>1 06 06000 00 0000 110</t>
  </si>
  <si>
    <t>1 08 00000 00 0000 000</t>
  </si>
  <si>
    <t>Земельный налог</t>
  </si>
  <si>
    <t>1 11 00000 00 0000 000</t>
  </si>
  <si>
    <t>1 11 05000 00 0000 120</t>
  </si>
  <si>
    <t>1 11 05010 00 0000 120</t>
  </si>
  <si>
    <t>1 12 00000 00 0000 000</t>
  </si>
  <si>
    <t>1 12 01000 01 0000 120</t>
  </si>
  <si>
    <t>1 16 00000 00 0000 000</t>
  </si>
  <si>
    <t>ШТРАФЫ, САНКЦИИ, ВОЗМЕЩЕНИЕ УЩЕРБА</t>
  </si>
  <si>
    <t xml:space="preserve"> 1 16 03000 00 0000 140</t>
  </si>
  <si>
    <t>Денежные взыскания (штрафы) за нарушение законодательства о налогах и сборах</t>
  </si>
  <si>
    <t>1 16 90000 00 0000 140</t>
  </si>
  <si>
    <t>1 16 30000 01 0000 140</t>
  </si>
  <si>
    <t>2 00 00000 00 0000 000</t>
  </si>
  <si>
    <t xml:space="preserve">Прочие поступления от денежных взысканий (штрафов) и иных сумм в возмещение ущерба </t>
  </si>
  <si>
    <t>БЕЗВОЗМЕЗДНЫЕ ПОСТУПЛЕНИЯ</t>
  </si>
  <si>
    <t>2 02 00000 00 0000 000</t>
  </si>
  <si>
    <t>ВСЕГО ДОХОДОВ</t>
  </si>
  <si>
    <t>1 08 04000 01 0000 110</t>
  </si>
  <si>
    <t>Государственная пошлина за совершение нотариальных действий (за исключением действий, свершаемых консульскими учреждениями Российской Федерации)</t>
  </si>
  <si>
    <t>1 03 00000 00 0000 000</t>
  </si>
  <si>
    <t xml:space="preserve">НАЛОГИ НА ТОВАРЫ (РАБОТЫ, УСЛУГИ), РЕАЛИЗУЕМЫЕ НА ТЕРРИТОРИИ РОССИЙСКОЙ ФЕДЕРАЦИИ </t>
  </si>
  <si>
    <t>1 03 02000 01 0000 110</t>
  </si>
  <si>
    <t>Акцизы по подакцизным товарам (продукции), производимым на территории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</si>
  <si>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</si>
  <si>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</si>
  <si>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</si>
  <si>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</si>
  <si>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1 16 35000 00 0000 140</t>
  </si>
  <si>
    <t>Суммы по искам о возмещении вреда, причиненного окружающей среде</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</si>
  <si>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</si>
  <si>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1 08 04020 01 01 0000 110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</si>
  <si>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</si>
  <si>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</si>
  <si>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1 11 09000 00 0000 000</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</si>
  <si>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</si>
  <si>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</si>
  <si>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1 11 09045 05 0000 120</t>
  </si>
  <si>
    <t xml:space="preserve">                                                                                     </t>
  </si>
  <si>
    <t xml:space="preserve">                                                                                                                 </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</si>
  <si>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</si>
  <si>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</si>
  <si>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</si>
  <si>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</si>
  <si>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</si>
  <si>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1 13 00000 00 0000 000</t>
  </si>
  <si>
    <t>1 14 00000 00 0000 000</t>
  </si>
  <si>
    <t>ДОХОДЫ ОТ ПРОДАЖИ МАТЕРИАЛЬНЫХ И НЕМАТЕРИАЛЬНЫХ АКТИВОВ</t>
  </si>
  <si>
    <t>1 14 02000 00 0000 000</t>
  </si>
  <si>
    <t>1 14 06000 00 0000 430</t>
  </si>
  <si>
    <t>1 14 06010 00 0000 430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</si>
  <si>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</si>
  <si>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</si>
  <si>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1 16 30030 01 000 140</t>
  </si>
  <si>
    <t xml:space="preserve">1 16 43000 01 0000 140 </t>
  </si>
  <si>
    <t>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</si>
  <si>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</si>
  <si>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</si>
  <si>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 xml:space="preserve">  </t>
  </si>
  <si>
    <t>1 16 03010 01 0000 140</t>
  </si>
  <si>
    <t>1 16 06000 01 0000 140</t>
  </si>
  <si>
    <t>1 16 25030 01 0000 140</t>
  </si>
  <si>
    <t>1 01 02000 01 0000 110</t>
  </si>
  <si>
    <t>1 01 02010 01 0000 110</t>
  </si>
  <si>
    <t>1 01 02020 01 0000 110</t>
  </si>
  <si>
    <t>1 05 02000 02 0000 110</t>
  </si>
  <si>
    <t>1 08 03000 01 0000 110</t>
  </si>
  <si>
    <t>1 08 03010 01 0000 110</t>
  </si>
  <si>
    <t>1 08 07000 01 0000 110</t>
  </si>
  <si>
    <t xml:space="preserve">Прочие межбюджетные  трансферты, передаваемые бюджетам </t>
  </si>
  <si>
    <t>2 02 02008 00 0000 151</t>
  </si>
  <si>
    <t>Субсидии бюджетам на обеспечение жильем молодых семей</t>
  </si>
  <si>
    <t xml:space="preserve"> </t>
  </si>
  <si>
    <t>1 16 25060 01 0000 140</t>
  </si>
  <si>
    <t>Денежные взыскания (штрафы) за нарушение земельного законодательства</t>
  </si>
  <si>
    <t>"О бюджете муниципального образования "Хасынский район" на 2011 год</t>
  </si>
  <si>
    <t>НАЛОГОВЫЕ И НЕНАЛОГОВЫЕ ДОХОДЫ</t>
  </si>
  <si>
    <t>1 17 05050 05 0000 180</t>
  </si>
  <si>
    <t>Прочие неналоговые доходы бюджетов муниципальных районов</t>
  </si>
  <si>
    <t>1 17 05000 00 0000 180</t>
  </si>
  <si>
    <t xml:space="preserve">Прочие неналоговые доходы </t>
  </si>
  <si>
    <t>1 05 02010 02 0000 110</t>
  </si>
  <si>
    <t>1 05 02020 02 0000 110</t>
  </si>
  <si>
    <t>ГОСУДАРСТВЕННАЯ ПОШЛИНА</t>
  </si>
  <si>
    <t>1 01 02070 01 0000 110</t>
  </si>
  <si>
    <t>2 02 02145 05 0000 151</t>
  </si>
  <si>
    <t>Субсидии бюджетам муниципальных районов на модернизацию региональных систем общего образования</t>
  </si>
  <si>
    <t>Субсидии бюджетам на модернизацию региональных систем общего образования</t>
  </si>
  <si>
    <t>2 02 02145 00 0000 151</t>
  </si>
  <si>
    <t>Единый сельскохозяйственный налог</t>
  </si>
  <si>
    <t>1 08 07150 01 0000 110</t>
  </si>
  <si>
    <t>Государственная пошлина за выдачу разрешения на установку рекламной конструкции</t>
  </si>
  <si>
    <t xml:space="preserve">тыс.руб. </t>
  </si>
  <si>
    <t xml:space="preserve">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t>
  </si>
  <si>
    <t>1 12 01010 01 0000 120</t>
  </si>
  <si>
    <t>1 12 01020 01 0000 120</t>
  </si>
  <si>
    <t>1 12 01040 01 0000 120</t>
  </si>
  <si>
    <t>1 12 01030 01 000 120</t>
  </si>
  <si>
    <t>Плата за размещение отходов производства и потребления</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</si>
  <si>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</si>
  <si>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</si>
  <si>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ДОХОДЫ ОТ ОКАЗАНИЯ ПЛАТНЫХ УСЛУГ (РАБОТ) И КОМПЕНСАЦИИ ЗАТРАТ ГОСУДАРСТВА</t>
  </si>
  <si>
    <t>1 13 01990 000 0000 130</t>
  </si>
  <si>
    <t>1 13 02000 00 0000 130</t>
  </si>
  <si>
    <t>1 13 02060 00 0000 130</t>
  </si>
  <si>
    <t>1 13 02990 00 0000 130</t>
  </si>
  <si>
    <t xml:space="preserve">Прочие доходы от оказания платных услуг (работ) </t>
  </si>
  <si>
    <t>1 16 25000 00 0000 140</t>
  </si>
  <si>
    <t>Прочие доходы от компенсации затрат государства</t>
  </si>
  <si>
    <t>Доходы, поступающие в порядке возмещения расходов, понесенных в связи с эксплуатацией имущества</t>
  </si>
  <si>
    <t>1 16 33000 00 0000 140</t>
  </si>
  <si>
    <t>1 16 25050 01 0000 140</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</si>
  <si>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</si>
  <si>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</si>
  <si>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1 01 02030 01 0000 110</t>
  </si>
  <si>
    <t>1 01 02040 01 0000 110</t>
  </si>
  <si>
    <t xml:space="preserve">Доходы от компенсации затрат государства </t>
  </si>
  <si>
    <t>Доходы от продажи земельных участков, государственная собственность на которые не разграничена</t>
  </si>
  <si>
    <t>1 16 25080 00 0000 140</t>
  </si>
  <si>
    <t xml:space="preserve">Денежные взыскания (штрафы) за нарушение водного законодательства </t>
  </si>
  <si>
    <t xml:space="preserve">1 03 02240 01 0000 110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</si>
  <si>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</si>
  <si>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</si>
  <si>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</si>
  <si>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</si>
  <si>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</si>
  <si>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</si>
  <si>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муниципального образования "Хасынский городской округ"</t>
  </si>
  <si>
    <t xml:space="preserve">1 06 01020 04 0000 110
</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</si>
  <si>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</si>
  <si>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 xml:space="preserve">1 06 01000 00 0000 110
</t>
  </si>
  <si>
    <t xml:space="preserve">Налог на имущество физических лиц
</t>
  </si>
  <si>
    <t xml:space="preserve">1 06 06032 04 0000 110
</t>
  </si>
  <si>
    <t xml:space="preserve">Земельный налог с организаций, обладающих земельным участком, расположенным в границах городских округов
</t>
  </si>
  <si>
    <t>1 06 06030 00 0000 110</t>
  </si>
  <si>
    <t>Земельный налог с организаций</t>
  </si>
  <si>
    <t>Земельный налог с физических лиц</t>
  </si>
  <si>
    <t xml:space="preserve">1 06 06042 04 0000 110
</t>
  </si>
  <si>
    <t xml:space="preserve">Земельный налог с физических лиц, обладающих земельным участком, расположенным в границах городских округов
</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</si>
  <si>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</si>
  <si>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</si>
  <si>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</si>
  <si>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</si>
  <si>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</si>
  <si>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</si>
  <si>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</si>
  <si>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</si>
  <si>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</si>
  <si>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</si>
  <si>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</si>
  <si>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</si>
  <si>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</si>
  <si>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</si>
  <si>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</si>
  <si>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</si>
  <si>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</si>
  <si>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</si>
  <si>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1 16 35020 04 0000 140</t>
  </si>
  <si>
    <t>Суммы по искам о возмещении вреда, причиненного окружающей среде, подлежащие зачислению в бюджеты городских округов</t>
  </si>
  <si>
    <t>1 16 90040 04 0000 140</t>
  </si>
  <si>
    <t>Прочие поступления от денежных взысканий (штрафов) и иных сумм в возмещение ущерба, зачисляемые в бюджеты городских округов</t>
  </si>
  <si>
    <t>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</si>
  <si>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</si>
  <si>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</si>
  <si>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</si>
  <si>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Налог, взимаемый в связи с применением патентной системы налогообложения</t>
  </si>
  <si>
    <t>1 05 04000 02 0000 110</t>
  </si>
  <si>
    <t>1 05 04010 02 0000 110</t>
  </si>
  <si>
    <t>Налог, взимаемый в связи с применением патентной системы налогообложения, зачисляемый в бюджеты городских округов</t>
  </si>
  <si>
    <t>1 13 02994 04 0000 130</t>
  </si>
  <si>
    <t>Прочие доходы от компенсации затрат бюджетов городских округов</t>
  </si>
  <si>
    <t>Субсидии бюджетам городских округов на реализацию мероприятий подпрограммы "Оказание поддержки в обеспечении жильем молодых семей" на 2014 - 2020 годы" государственной программы Магаданской области "Обеспечение доступным и комфортным жильем жителей Магаданской области" на 2014 - 2020 годы"</t>
  </si>
  <si>
    <t>Иные межбюджетные трансферты бюджетам городских округов на частичное возмещение расходов по присмотру и уходу за детьми с ограниченными возможностями здоровья, обучающимся в дошкольных образовательных организациях в рамках реализации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</si>
  <si>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Субсидии бюджетам городских округов на создание в общеобразовательных организациях, расположенных в сельской местности, условий для занятия физической культурой и спортом в рамках основного мероприятия "Развитие сети общеобразовательных учреждений в сельской местности" подпрограммы "Устойчивое развитие сельских территорий на 2014-2017 годы и на период до 2020 года" государственной программы Магаданской области "Развитие сельского хозяйства Магаданской области на 2014-2020 годы"</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</si>
  <si>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</si>
  <si>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</si>
  <si>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</si>
  <si>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</si>
  <si>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</si>
  <si>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сбросы загрязняющих веществ в водные объекты</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</si>
  <si>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</si>
  <si>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</si>
  <si>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1 06 06040 00 0000 110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</si>
  <si>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</si>
  <si>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</si>
  <si>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 xml:space="preserve">2 02 02215 00 000 151 </t>
  </si>
  <si>
    <t>2 02 02215 05 0000 151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</si>
  <si>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</si>
  <si>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2 02 02051 00 0000 151</t>
  </si>
  <si>
    <t>2 02 0251 05 0000 151</t>
  </si>
  <si>
    <t>Субсидии бюджетам на реализацию федеральных целевых программ</t>
  </si>
  <si>
    <t>Субсидии бюджетам муниципальных районов на реализацию федеральных целевых программ (финансовое обеспечение мероприятий федеральной целевой программы развития образования на 2011-2015 годы)</t>
  </si>
  <si>
    <t>2 02 02215 00 0000 151</t>
  </si>
  <si>
    <t xml:space="preserve">                                   Хасынского городского округа</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</si>
  <si>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</si>
  <si>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</si>
  <si>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2 02 02008 04 0000 151</t>
  </si>
  <si>
    <t>Субсидии на выравнивание бюджетной обеспеченности городских округов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2015 - 2020 годы" государственной программы Магаданской области "Управление государственными финансами Магаданской области на 2015 - 2020 годы"</t>
  </si>
  <si>
    <t xml:space="preserve">Субсидии бюджетам городских округов на реализацию мероприятий подпрограммы "Развитие библиотечного дела Магаданской области" на 2014 - 2020 годы" государственной программы Магаданской области "Развитие культуры в Магаданской области" на 2014 - 2020 годы" </t>
  </si>
  <si>
    <t>Субсидии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на 2014 - 2020 годы" государственной программы Магаданской области "Развитие образования в Магаданской области" на 2014 - 2020 годы"</t>
  </si>
  <si>
    <t>Субсидии бюджетам городских округов на частичное возмещение расходов по присмотру и уходу за детьми с ограниченными возможностями здоровья, обучающимся в дошкольных образовательных организациях, в рамках реализации подпрограммы "Повышение качества и доступности дошкольного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t>
  </si>
  <si>
    <t xml:space="preserve">Субсидии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 </t>
  </si>
  <si>
    <t xml:space="preserve">Субвенции бюджетам городских округов на государственную регистрацию актов гражданского состояния </t>
  </si>
  <si>
    <t>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</si>
  <si>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учреждений в рамках подпрограммы  "Управление развитием отрасли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t>
  </si>
  <si>
    <t xml:space="preserve">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t>
  </si>
  <si>
    <t xml:space="preserve">Субвенции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на 2014 - 2020 годы" государственной программы Магаданской  области "Развитие образования в Магаданской области" на 2014 - 2020 годы </t>
  </si>
  <si>
    <t>Субвенции бюджетам городских округов на реализацию Закона Магаданской области от 28.12.2009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</si>
  <si>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в рамках подпрограммы  "Управление развитием отрасли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t>
  </si>
  <si>
    <t xml:space="preserve">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ведомственной целевой программы "Развитие государственно-правовых институтов Магаданской области" на 2016-2017 годы </t>
  </si>
  <si>
    <t>Субвенции бюджетам городских округов на выполнение передаваемых полномочий субъектов Российской Федерации</t>
  </si>
  <si>
    <t xml:space="preserve">Субсидии бюджетам муниципальных районов на создание в общеобразовательных организациях, расположенных в сельской местности, условий для занятия физической культурой и спортом </t>
  </si>
  <si>
    <t xml:space="preserve">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культуры и спорта </t>
  </si>
  <si>
    <t>Субсидии бюджетам городских округов на реализацию мероприятий поддержки развития малого и среднего предпринимательства в рамках подпрограммы "Развитие малого и среднего предпринимательства в Магаданской области на 2014-2020 годы" государственной программы Магаданской области "Экономическое развитие и инновационная экономика Магаданской области на 2014-2020 годы"</t>
  </si>
  <si>
    <t>Субсидии бюджетам городских округов на реализацию мероприятий государственной программы Российской Федерации "Развитие образования" на 2013-2020 годы" за счет средств областного бюджета в рамках основного мероприятия "Развитие сети  общеобразовательных в  учреждений сельской местности" подпрограммы "Устойчивое развитие сельских территорий Магаданской области на 2014-2017 годы и на плановый период до 2020 года" государственной программы Магаданской области "Развитие сельского хозяйства Магаданской области на 2014-2020 годы"</t>
  </si>
  <si>
    <t xml:space="preserve">Субсидии бюджетам городских округов на осуществление мероприятий по реконструкции и капитальному ремонту дошкольных и других образовательных организаций в рамках основного мероприятия "Развитие государственных и муниципальных организаций дошкольного образования"  подпрограммы «Повышение качества и доступности дошкольного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 </t>
  </si>
  <si>
    <t>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 в рамках подпрограммы  "Управление развитием отрасли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 (удаленность от областного центра)</t>
  </si>
  <si>
    <t xml:space="preserve">Субсидии бюджетам муниципальных образований на осуществление работ по предупреждению и ликвидации последствий чрезвычайных ситуаций на водотоках, расположенных в границах муниципальных образований в рамках реализации основного мероприятия "Восстановление и экологическая реабилитация водных объектов, сокращение негативного антропогенного воздействия на водные объекты" подпрограммы "Развитие водохозяйственного комплекса Магаданской области" на 2014-2020 годы" государственной программы Магаданской  области "Природные ресурсы и  экология Магаданской области" на 2014 - 2020 годы" </t>
  </si>
  <si>
    <t>Субсидии бюджетам муниципальных образований на организацию и проведение областных универсальных совместных ярмарок  в рамках подпрограммы "Развитие торговли на территории Магаданской области на 2014 - 2020 году" основного мероприятия "Формирование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 государственной программы Магаданской области "Развитие сельского хозяйства Магаданской области" на 2014 - 2020 годы"</t>
  </si>
  <si>
    <t xml:space="preserve">Субвенции бюджетам городских округов на осуществление государственных полномочий по отлову и содержанию безнадзорных животных </t>
  </si>
  <si>
    <t>Распределение субсидий бюджетам городских округов для финансового обеспечения решения вопросов местного значения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2015 - 2020 годы"</t>
  </si>
  <si>
    <t xml:space="preserve">Субсидии бюджетам муниципальных образований на уточнение проектной документации "Дамба обвалования на р.Хасын у пос.Палатка", проверка достоверности определения сметной стоимости строительства" в рамках реализации основного мероприятия "Проектные и экспертные работы" подпрограммы "Развитие водохозяйственного комплекса Магаданской области" на 2014 - 2020 годы" государственной программы Магаданской  области "Природные ресурсы и  экология Магаданской области" на 2014 - 2020 годы" </t>
  </si>
  <si>
    <t>Субсидии городских округов на проведение мероприятий по благоустройству в рамках реализации основного мероприятия "Предоставление субсидий бюджетам муниципальных образований" подпрограммы "Оказание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2014 - 2020 годы" государственной программы Магаданской области "Обеспечение качественными жилищно-коммунальными услугами и комфортными условиями проживания населения Магаданской области на 2014 - 2020 годы"</t>
  </si>
  <si>
    <t>Субсидии бюджетам городских округов на организацию дополнительного профессионального образования для лиц, замещающих муниципальные должности в Магаданской области в рамках основного мероприятия "Повышение профессионального уровня лиц, замещающих муниципальные должности в Магаданской области" подпрограммы "Дополнительное профессиональное образование лиц, замещающих муниципальные должности в Магаданской области"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2017 - 2021 годы"</t>
  </si>
  <si>
    <t xml:space="preserve">Субсидии бюджетам городских округов на проведение кадастровых работ в отношении земельных участков, планируемых к выделению гражданам, имеющим трех и более детей в рамках реализации подпрограммы "Обеспечение мер социальной поддержки отдельных категорий граждан" на 2014 - 2018 годы" государственной программы Магаданской области "Развитие социальной защиты населения Магаданской области" на 2014 - 2018 годы" </t>
  </si>
  <si>
    <t>Субсидии бюджетам городских округов на расселение наиболее неблагоприятных для проживания населенных пунктов Магаданской области в рамках государственной программы Магаданской области "Обеспечение качественными жилищно-коммунальными услугами и комфортными условиями проживания населения Магаданской области на 2014 - 2020 годы"</t>
  </si>
  <si>
    <t>Субсидии бюджетам городских округов на осуществление мероприятий по подготовке к осенне-зимнему отопительному периоду в рамках реализации основного мероприятия "Подготовка коммунальной инфраструктуры населенных пунктов Магаданской области к отопительным периодам" подпрограммы "Развитие и модернизация коммунальной инфраструктуры на территории Магаданской области" государственной программы  Магаданской области "Содействие муниципальным образованиям Магаданской области в реализации муниципальных программ комплексного развития коммунальной инфраструктуры" на 2014 - 2020 годы"</t>
  </si>
  <si>
    <t>Субсидии бюджетам городских округов на поддержку отрасли культуры в рамках реализации подпрограммы "Развитие библиотечного дела Магаданской области" на 2014 - 2020 годы" государственной программы  Магаданской области "Развитие культуры и туризма в Магаданской области" на 2014 - 2020 годы"</t>
  </si>
  <si>
    <t>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основного мероприятия "Предоставление субсидий на выполнение мероприятий по энергосбережению" подпрограммы "Содействие муниципальным образованиям в реализации муниципальных программ энергосбережения" государственной программы  Магаданской области "Энергосбережение и повышение энергетической эффективности в Магаданской области" на 2014 - 2020 годы"</t>
  </si>
  <si>
    <t>Субвенции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подпрограммы "Финансовая поддержка творческих объединений и деятелей культуры и искусства Магаданской области" на 2014 - 2020 годы" государственной  программы Магаданской области "Развитие культуры в Магаданской области" на 2014 - 2020 годы"</t>
  </si>
  <si>
    <t>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в рамках подпрограммы "Создание условий для реализации государственной программы" на 2014 - 2018 годы"  государственной программы Магаданской области "Развитие социальной защиты населения Магаданской области" на 2014 - 2018 годы"</t>
  </si>
  <si>
    <t>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t>
  </si>
  <si>
    <t>Иные межбюджетные трансферты бюджетам городских округов на возмещение расходов по оплате жилых помещений и коммунальных услуг отдельных категорий граждан, проживающих на территории Магаданской области в рамках подпрограммы "Управление развитием отрасли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t>
  </si>
  <si>
    <t xml:space="preserve">Субсидии бюджетам муниципальных образований на разработку декларации безопасности (включая государственную экспертизу) водоограждающей дамбы на реке Хасын в пос.Палатка" в рамках реализации основного мероприятия "Разработка технической документации гидротехнических сооружений" подпрограммы "Развитие водохозяйственного комплекса Магаданской области" на 2014 - 2020 годы" государственной программы Магаданской  области "Природные ресурсы и  экология Магаданской области" на 2014 - 2020 годы" </t>
  </si>
  <si>
    <t xml:space="preserve">Субсидии бюджетам городских округов на осуществление мероприятий по реконструкции и капитальному ремонту общеобразовательных организаций в рамках реализации основного мероприятия "Развитие государственных и муниципальных организаций общего образования" подпрограммы "Развитие общего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 </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</si>
  <si>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основного мероприятия "Формирование современной городской среды при реализации проектов благоустройства территорий муниципальных образований"  подпрограммы "Оказание содействия муниципальным образованиям Магаданской области в проведении мероприятий по благоустройству территории муниципальных образований на 2014 - 2020 годы"  государственной программы Магаданской области "Обеспечение качественными жилищно-коммунальными услугами и комфортными условиями проживания населения Магаданской области на 2014-2020 годы"</t>
  </si>
  <si>
    <t>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организаций в рамках реализации  основного мероприятия "Обеспечение реализации подпрограммы" подпрограммы  "Управление развитием отрасли образования в Магаданской области" на 2014 - 2020 годы" государственной программы Магаданской области "Развитие образования в Магаданской области" на 2014 - 2020 годы"</t>
  </si>
  <si>
    <t>Субсидии бюджетам муниципальных образований на снос ветхого, заброшенного жилья в действующих поселках и полностью заброшенных поселках, в том числе вдоль автомобильных дорог, расположенных на территории Магаданской области" в рамках реализации основного мероприятия "Ликвидация накопленного экологического ущерба и меры по предотвращению негативного воздействия на окружающую среду"  подпрограммы "Экологическая безопасность и охрана окружающей среды Магаданской области" на 2014 - 2020 годы " государственной программы Магаданской  области "Природные ресурсы и  экология Магаданской области" на 2014 - 2020 годы"</t>
  </si>
  <si>
    <t>Субсидии бюджетам муниципальных образований на рекультивацию хвостохранилища Карамкенского ГМК с ликвидацией гидротехнических сооружений (на руч.Туманый в пос.Карамкен" в рамках реализации основного мероприятия "Ликвидация накопленного экологического ущерба и меры по предотвращению негативного воздействия на окружающую среду"  подпрограммы "Экологическая безопасность и охрана окружающей среды Магаданской области" на 2014 - 2020 годы " государственной программы Магаданской  области "Природные ресурсы и  экология Магаданской области" на 2014 - 2020 годы"</t>
  </si>
  <si>
    <t>2 02 25519 04 0000 151</t>
  </si>
  <si>
    <t>2 02 25555 04 0000 151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</si>
  <si>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</si>
  <si>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</si>
  <si>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</si>
  <si>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2 07 00000 00 0000 000</t>
  </si>
  <si>
    <t>Прочие безвозмездные поступления в бюджеты городских округов</t>
  </si>
  <si>
    <t xml:space="preserve">Прочие безвозмездные поступления </t>
  </si>
  <si>
    <t xml:space="preserve">                                   Приложение № 1</t>
  </si>
  <si>
    <t>Бюджет 2017</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</si>
  <si>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</si>
  <si>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</si>
  <si>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2 02 19999 04 0000 151</t>
  </si>
  <si>
    <t>исполнено на 01.11.2017</t>
  </si>
  <si>
    <t>исполнено за 2016 год</t>
  </si>
  <si>
    <t>Бюджет 2016 (решение декабря 2016)</t>
  </si>
  <si>
    <t>Субсидии бюджетам городских округов на поддержку отрасли культура</t>
  </si>
  <si>
    <t xml:space="preserve">Субсидии бюджетам городских округов на реализацию мероприятий подпрограммы "Обеспечение жильем молодых семей" федеральной целевой программы "Жилище" на 2015-2020 годы" в рамках выполнения основного мероприятия "Оказание государственной поддержки по обеспечению жильем населения Магаданской области" подпрограммы "Оказание поддержки в обеспечении жильем молодых семей" на 2014-2020 годы" государственной программы Магаданской области "Обеспечение доступным и комфортным жильем жителей Магаданской области " на 2014-2020 годы" </t>
  </si>
  <si>
    <t xml:space="preserve">Cсубсидии бюджетам городских округов на реализацию мероприятий по созданию в дошкольных образовательных организациях условий для получения детьми-инвалидами качественного образования в рамках государственной программы Магаданской области «Формирование доступной среды в Магаданской области» на 2014-2020 годы» на 2017 год
</t>
  </si>
  <si>
    <t xml:space="preserve">Cсубсидии бюджетам городских округов на реализацию мероприятий по созданию условий в организациях дополнительного образования для получения детьми-инвалидами качественного образования в рамках государственной программы Магаданской области «Формирование доступной среды в Магаданской области» на 2014-2020 годы» на 2017 год
</t>
  </si>
  <si>
    <t>Бюджет 2018 1 чтение</t>
  </si>
  <si>
    <t>СУММА</t>
  </si>
  <si>
    <t>тыс.руб.</t>
  </si>
  <si>
    <t>Субсидии бюджетам городских округов на организацию и проведение гастрономического фестиваля "Колымское братство"  в рамках основного мероприятия "Стимулирование деловой активности хозяйствующих субъектов, осуществляющих торговую деятельность" подпрограммы  "Развитие торговли на территории Магаданской области на 2016-2020 годы" государственной программы Магаданской области "Развитие сельского хозяйства Магаданской области на 2014-2020 годы"</t>
  </si>
  <si>
    <t>Плата за размещение отходов производства</t>
  </si>
  <si>
    <t>Плата за размещение твердых коммунальных отходов</t>
  </si>
  <si>
    <t>1 12 01041 01 0000 120</t>
  </si>
  <si>
    <t>1 12 01042 01 0000 120</t>
  </si>
  <si>
    <t>2 02 25497 04 0000 151</t>
  </si>
  <si>
    <t>2 02 25497 00 0000 151</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</si>
  <si>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</si>
  <si>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</si>
  <si>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</si>
  <si>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</si>
  <si>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Субсидии бюджетам городских округов на 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 в рамках подпрограммы «Повышение качества и доступности дошкольного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t>
  </si>
  <si>
    <t xml:space="preserve">Субвенции бюджетам городских округов на обеспечение осуществления государственных полномочий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на 2014-2020 годы» государственной программы Магаданской области «Развитие образования в Магаданской области» на 2014-2020 годы» </t>
  </si>
  <si>
    <t xml:space="preserve">Субсидии бюджетам городских округов на приобретение школьного автобуса в рамках реализации  основного мероприятия "Развитие государственных и муниципальных организаций общего образования"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2014 - 2020 годы" </t>
  </si>
  <si>
    <t>Субвенции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на 2014-2020 годы" государственной программы Магаданской области "Развитие образования в Магаданской области" на 2014-2020 годы"</t>
  </si>
  <si>
    <t>Субсидии бюджетам городских округов на оказание содействия в обеспечении организации электро-, тепло-, и водоснабжения населения, водоотведения, снабжения населения топливом, а также создание безопасных и благоприятных условий проживания граждан в рамках государственной программы Магаданской области "Обеспечение доступным и комфортным жильем жителей Магаданской области" на 2014-2020 годы"</t>
  </si>
  <si>
    <t>Минимальный налог, зачисляемый в бюджеты субъектов Российской Федерации</t>
  </si>
  <si>
    <t>на 2019 год</t>
  </si>
  <si>
    <t xml:space="preserve">Субсидии бюджетам городских округов на проведение комплексных кадастровых работ на территории Магаданской области в рамках выполнения основного мероприятия "Совершенствование учета государственного имущества, обеспечение эффективности использования и распоряжения государственным имуществом" подпрограммы "Совершенствование системы управления в сфере имуществнно-земельных отношений Магаданской области" на 2016-2020 годы", государственной программы Магаданской области "Управление государственным имуществом Магаданской области" на 2016-2020 годы" </t>
  </si>
  <si>
    <t>Субсидии бюджетам городских округов на модернизацию и реконструкцию систем резервного электроснабжения источников тепло-водоснабжения и водоотведения в муниципальных образованиях Магаданской области в рамках государственной программы Магаданской области "Содействие муниципальным образованиям Магаданской области в реализации муниципальных программ комплексного развития коммунальной инфраструктуры" на 2014-2020 годы"</t>
  </si>
  <si>
    <t xml:space="preserve">Субсидии бюджетам городских округов на реализацию мероприятий поддержки развития малого и среднего предпринимательства в рамках реализации основного мероприятия " Финансово-кредитная поддержка малого и среднего предпринимательства" подпрограммы  «Развитие малого и среднего предпринимательства в Магаданской области» на 2014-2020 годы» государственной программы Магаданской области «Экономическое развитие и инновационная экономика Магаданской области» на 2014-2020 годы» 
</t>
  </si>
  <si>
    <t>2 02 15002 04 0000 150</t>
  </si>
  <si>
    <t>2 02 15002 00 0000 150</t>
  </si>
  <si>
    <t>2 02 15001 04 0000 150</t>
  </si>
  <si>
    <t>2 02 15001 00 0000 150</t>
  </si>
  <si>
    <t>2 02 10000 00 0000 150</t>
  </si>
  <si>
    <t>2 02 20000 00 0000 150</t>
  </si>
  <si>
    <t>2 02 29999 00 0000 150</t>
  </si>
  <si>
    <t>2 02 29999 04 0000 150</t>
  </si>
  <si>
    <t xml:space="preserve"> 2 02 30000 00 0000 150</t>
  </si>
  <si>
    <t>2 02 30024 00 0000 150</t>
  </si>
  <si>
    <t>2 02 30024 04 0000 150</t>
  </si>
  <si>
    <t>2 02 35082 00 0000 150</t>
  </si>
  <si>
    <t>2 02 35082 04 0000 150</t>
  </si>
  <si>
    <t>2 02 35930 00 0000 150</t>
  </si>
  <si>
    <t>2 02 35930 04 0000 150</t>
  </si>
  <si>
    <t>2 02 49999 04 0000 150</t>
  </si>
  <si>
    <t>2 02 49999 00 0000 150</t>
  </si>
  <si>
    <t>2 02 40000 00 0000 150</t>
  </si>
  <si>
    <t xml:space="preserve">Субвенции бюджетам бюджетной системы Российской Федерации </t>
  </si>
  <si>
    <t xml:space="preserve"> Субсидий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  на 2019 год</t>
  </si>
  <si>
    <t>2 02 25555 04 0000 150</t>
  </si>
  <si>
    <t>2 02 25555 00 0000 150</t>
  </si>
  <si>
    <t>2 02 25210 00 0000 150</t>
  </si>
  <si>
    <t>2 02 25210 04 0000 150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</si>
  <si>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</si>
  <si>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</si>
  <si>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городских округов на реализацию муниципальных программ  направленных на материально-техническое обеспечение и материальное стимулирование народных дружинников</t>
  </si>
  <si>
    <t>2 02 25511 04 0000 150</t>
  </si>
  <si>
    <t>2 02 25511 00 0000 150</t>
  </si>
  <si>
    <t>Субсидии бюджетам на проведение комплексных кадастровых работ</t>
  </si>
  <si>
    <t>2 07 04050 04 0000 150</t>
  </si>
  <si>
    <t>2 07 04000 04 0000 150</t>
  </si>
  <si>
    <t xml:space="preserve">Прочие безвозмездные поступления в бюджеты городских округов на модернизацию и реконструкцию объктов инженерной и коммунальной инфраструктуры </t>
  </si>
  <si>
    <t>Субсидии бюджетам городских округов на проведение комплексных кадастровых работ</t>
  </si>
  <si>
    <t>Субсидии бюджетам городских округов на разработку проектно-сметной документации и выполнения инженерных изысканий по объекту: "Реконструкция свалки ТКО в поселке Стекольный в межмуниципальный полигон ТКО" в рамках основного мероприятия "Разработка проектно-сметной документации ( в том числе проведение инженерных изысканий) по объектам размещения отходов" государственной программы Магаданской области "Развитие системы обращения с отходами производства и потребления на территории Магаданской области" на 2015 - 2020 годы"</t>
  </si>
  <si>
    <t>2 02 45454 00 0000 150</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</si>
  <si>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</si>
  <si>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городских округов на создание модельных муниципальных библиотек</t>
  </si>
  <si>
    <t>Прочие безвозмездные поступления в бюджеты городских округов на строительство и реконструкцию объектов коммунальной, инженерной инфраструктуры, изношенных сетей тепло-, водоснабжения в поселке Талая</t>
  </si>
  <si>
    <t>Прочие безвозмездные поступления в бюджеты городских округов на техническое перевооружение высоковольтных линий и трансформаторных подстанций, дизель-генераторов в поселке Талая</t>
  </si>
  <si>
    <t>2 02 45454 04 0000 150</t>
  </si>
  <si>
    <t>Субсидии бюджетам городских округов на реализацию мероприятий в сфере укрепления гражданского единства, гармонизации межнациональных отношений, профилактики экстремизма</t>
  </si>
  <si>
    <t>Субвенции бюджетам городских округов на осуществление государственных полномочий Магаданской области по организации мероприятийпри осуществлении деятельности по обращению с животными без владельцев</t>
  </si>
  <si>
    <t xml:space="preserve">Иные межбюджетные трансферты бюджетам городских округов на благоустройство их территорий и развитие объектов социально-культурного назначения и выполнение мероприятий в сфере жилищно-коммунального хозяйства </t>
  </si>
  <si>
    <t>Иные межбюджетные трансферты бюджетам городских округов на возмещение расходов по оплате жилых помещений и коммунальных услуг отдельных категорий граждан, проживающих на территории Магаданской области в рамках подпрограммы "Оказание государственных услуг в сфере культуры и отраслевого образования Магаданской области" на 2014 - 2020 годы" государственной программы Магаданской области "Развитие культуры в Магаданской области" на 2014 - 2020 годы"</t>
  </si>
  <si>
    <t>Субсидии бюджетам городских округов Манаданской области для реализации мероприятий по восстановлению и модернизации муниципального имущества в рамках реализации государственной программы Магаданской области "Обеспечение качественными жилищно-коммунальными услугами и комфортными условиями проживания населения Магаданской области на 2014-2021 годы"</t>
  </si>
  <si>
    <t xml:space="preserve">                                   от __________________  № _____</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</si>
</sst>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0000"/>
    <numFmt numFmtId="175" formatCode="#,##0_ ;\-#,##0\ "/>
    <numFmt numFmtId="176" formatCode="#,##0.0_ ;\-#,##0.0\ "/>
    <numFmt numFmtId="177" formatCode="0.0"/>
    <numFmt numFmtId="178" formatCode="_-* #,##0_р_._-;\-* #,##0_р_._-;_-* &quot;-&quot;??_р_._-;_-@_-"/>
    <numFmt numFmtId="179" formatCode="_-* #,##0.0_р_._-;\-* #,##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 #,##0.000_р_._-;\-* #,##0.000_р_._-;_-* &quot;-&quot;??_р_._-;_-@_-"/>
    <numFmt numFmtId="185" formatCode="#,##0.0"/>
    <numFmt numFmtId="186" formatCode="_-* #,##0.0000_р_._-;\-* #,##0.0000_р_._-;_-* &quot;-&quot;??_р_._-;_-@_-"/>
    <numFmt numFmtId="187" formatCode="_-* #,##0.0_р_._-;\-* #,##0.0_р_._-;_-* &quot;-&quot;??_р_._-;_-@_-"/>
    <numFmt numFmtId="188" formatCode="_-* #,##0.00000_р_._-;\-* #,##0.00000_р_._-;_-* &quot;-&quot;??_р_._-;_-@_-"/>
    <numFmt numFmtId="189" formatCode="_-* #,##0.000000_р_._-;\-* #,##0.000000_р_._-;_-* &quot;-&quot;??_р_._-;_-@_-"/>
    <numFmt numFmtId="190" formatCode="_-* #,##0.00000_р_._-;\-* #,##0.00000_р_._-;_-* &quot;-&quot;?????_р_._-;_-@_-"/>
    <numFmt numFmtId="191" formatCode="#,##0.000"/>
    <numFmt numFmtId="192" formatCode="0.00000"/>
    <numFmt numFmtId="193" formatCode="0.0000"/>
    <numFmt numFmtId="194" formatCode="0.000"/>
    <numFmt numFmtId="195" formatCode="_-* #,##0.000_р_._-;\-* #,##0.000_р_._-;_-* &quot;-&quot;???_р_._-;_-@_-"/>
    <numFmt numFmtId="196" formatCode="_-* #,##0.0\ _₽_-;\-* #,##0.0\ _₽_-;_-* &quot;-&quot;?\ _₽_-;_-@_-"/>
    <numFmt numFmtId="197" formatCode="_-* #,##0.000\ _₽_-;\-* #,##0.000\ _₽_-;_-* &quot;-&quot;???\ _₽_-;_-@_-"/>
  </numFmts>
  <fonts count="46">
    <font>
      <sz val="10"/>
      <name val="Bookman Old Style"/>
      <family val="1"/>
    </font>
    <font>
      <sz val="10"/>
      <name val="Arial Cyr"/>
      <family val="0"/>
    </font>
    <font>
      <sz val="8"/>
      <name val="Arial Cyr"/>
      <family val="0"/>
    </font>
    <font>
      <sz val="9"/>
      <name val="Arial Cyr"/>
      <family val="0"/>
    </font>
    <font>
      <u val="single"/>
      <sz val="10"/>
      <color indexed="12"/>
      <name val="Bookman Old Style"/>
      <family val="1"/>
    </font>
    <font>
      <u val="single"/>
      <sz val="10"/>
      <color indexed="36"/>
      <name val="Bookman Old Style"/>
      <family val="1"/>
    </font>
    <font>
      <b/>
      <sz val="11"/>
      <name val="Arial Cyr"/>
      <family val="0"/>
    </font>
    <font>
      <b/>
      <sz val="10"/>
      <name val="Arial Cyr"/>
      <family val="0"/>
    </font>
    <font>
      <sz val="10"/>
      <name val="Arial"/>
      <family val="2"/>
    </font>
    <font>
      <sz val="10"/>
      <name val="Times New Roman"/>
      <family val="1"/>
    </font>
    <font>
      <sz val="10"/>
      <color indexed="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7">
    <xf numFmtId="49"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1" fillId="0" borderId="0">
      <alignment/>
      <protection/>
    </xf>
    <xf numFmtId="0" fontId="5"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5" fillId="31" borderId="0" applyNumberFormat="0" applyBorder="0" applyAlignment="0" applyProtection="0"/>
  </cellStyleXfs>
  <cellXfs count="70">
    <xf numFmtId="49" fontId="0" fillId="0" borderId="0" xfId="0" applyAlignment="1">
      <alignment wrapText="1"/>
    </xf>
    <xf numFmtId="49" fontId="0" fillId="0" borderId="0" xfId="0" applyAlignment="1">
      <alignment horizontal="right"/>
    </xf>
    <xf numFmtId="49" fontId="3" fillId="0" borderId="0" xfId="0" applyFont="1" applyAlignment="1">
      <alignment wrapText="1"/>
    </xf>
    <xf numFmtId="49" fontId="3" fillId="0" borderId="0" xfId="0" applyFont="1" applyAlignment="1">
      <alignment horizontal="right" vertical="justify"/>
    </xf>
    <xf numFmtId="49" fontId="0" fillId="0" borderId="0" xfId="0" applyAlignment="1">
      <alignment horizontal="right" vertical="justify"/>
    </xf>
    <xf numFmtId="49" fontId="1" fillId="0" borderId="0" xfId="0" applyFont="1" applyAlignment="1">
      <alignment wrapText="1"/>
    </xf>
    <xf numFmtId="49" fontId="3" fillId="0" borderId="0" xfId="0" applyFont="1" applyAlignment="1">
      <alignment/>
    </xf>
    <xf numFmtId="49" fontId="3" fillId="0" borderId="0" xfId="0" applyFont="1" applyAlignment="1">
      <alignment horizontal="center"/>
    </xf>
    <xf numFmtId="49" fontId="9" fillId="0" borderId="0" xfId="0" applyFont="1" applyAlignment="1">
      <alignment horizontal="center"/>
    </xf>
    <xf numFmtId="49" fontId="8" fillId="0" borderId="0" xfId="0" applyFont="1" applyAlignment="1">
      <alignment horizontal="center"/>
    </xf>
    <xf numFmtId="49" fontId="1" fillId="0" borderId="0" xfId="0" applyFont="1" applyAlignment="1">
      <alignment wrapText="1"/>
    </xf>
    <xf numFmtId="49" fontId="0" fillId="0" borderId="0" xfId="0" applyFill="1" applyAlignment="1">
      <alignment wrapText="1"/>
    </xf>
    <xf numFmtId="49" fontId="8" fillId="0" borderId="0" xfId="0" applyFont="1" applyFill="1" applyAlignment="1">
      <alignment horizontal="center" wrapText="1"/>
    </xf>
    <xf numFmtId="49" fontId="6" fillId="0" borderId="10" xfId="0" applyFont="1" applyFill="1" applyBorder="1" applyAlignment="1">
      <alignment horizontal="center" vertical="center" wrapText="1"/>
    </xf>
    <xf numFmtId="187" fontId="1" fillId="0" borderId="10" xfId="61" applyNumberFormat="1" applyFill="1" applyBorder="1" applyAlignment="1">
      <alignment horizontal="justify" wrapText="1"/>
    </xf>
    <xf numFmtId="187" fontId="1" fillId="0" borderId="10" xfId="61" applyNumberFormat="1" applyFill="1" applyBorder="1" applyAlignment="1">
      <alignment horizontal="justify"/>
    </xf>
    <xf numFmtId="187" fontId="7" fillId="0" borderId="10" xfId="61" applyNumberFormat="1" applyFont="1" applyFill="1" applyBorder="1" applyAlignment="1">
      <alignment horizontal="right"/>
    </xf>
    <xf numFmtId="187" fontId="8" fillId="0" borderId="10" xfId="61" applyNumberFormat="1" applyFont="1" applyFill="1" applyBorder="1" applyAlignment="1">
      <alignment wrapText="1"/>
    </xf>
    <xf numFmtId="171" fontId="11" fillId="0" borderId="10" xfId="61" applyNumberFormat="1" applyFont="1" applyFill="1" applyBorder="1" applyAlignment="1">
      <alignment wrapText="1"/>
    </xf>
    <xf numFmtId="171" fontId="8" fillId="0" borderId="10" xfId="61" applyNumberFormat="1" applyFont="1" applyFill="1" applyBorder="1" applyAlignment="1">
      <alignment wrapText="1"/>
    </xf>
    <xf numFmtId="49" fontId="1" fillId="0" borderId="10" xfId="0" applyFont="1" applyFill="1" applyBorder="1" applyAlignment="1">
      <alignment horizontal="center" vertical="top" wrapText="1"/>
    </xf>
    <xf numFmtId="0" fontId="1" fillId="0" borderId="10" xfId="0" applyNumberFormat="1" applyFont="1" applyFill="1" applyBorder="1" applyAlignment="1">
      <alignment horizontal="justify" vertical="top" wrapText="1"/>
    </xf>
    <xf numFmtId="184" fontId="7" fillId="0" borderId="10" xfId="61" applyNumberFormat="1" applyFont="1" applyFill="1" applyBorder="1" applyAlignment="1">
      <alignment/>
    </xf>
    <xf numFmtId="187" fontId="7" fillId="0" borderId="10" xfId="61" applyNumberFormat="1" applyFont="1" applyFill="1" applyBorder="1" applyAlignment="1">
      <alignment/>
    </xf>
    <xf numFmtId="187" fontId="1" fillId="0" borderId="10" xfId="61" applyNumberFormat="1" applyFill="1" applyBorder="1" applyAlignment="1">
      <alignment wrapText="1"/>
    </xf>
    <xf numFmtId="187" fontId="1" fillId="0" borderId="10" xfId="61" applyNumberFormat="1" applyFill="1" applyBorder="1" applyAlignment="1">
      <alignment/>
    </xf>
    <xf numFmtId="187" fontId="8" fillId="0" borderId="10" xfId="61" applyNumberFormat="1" applyFont="1" applyFill="1" applyBorder="1" applyAlignment="1">
      <alignment/>
    </xf>
    <xf numFmtId="184" fontId="11" fillId="0" borderId="10" xfId="61" applyNumberFormat="1" applyFont="1" applyFill="1" applyBorder="1" applyAlignment="1">
      <alignment/>
    </xf>
    <xf numFmtId="187" fontId="11" fillId="0" borderId="10" xfId="61" applyNumberFormat="1" applyFont="1" applyFill="1" applyBorder="1" applyAlignment="1">
      <alignment/>
    </xf>
    <xf numFmtId="171" fontId="8" fillId="0" borderId="10" xfId="61" applyNumberFormat="1" applyFont="1" applyFill="1" applyBorder="1" applyAlignment="1">
      <alignment/>
    </xf>
    <xf numFmtId="184" fontId="8" fillId="0" borderId="10" xfId="61" applyNumberFormat="1" applyFont="1" applyFill="1" applyBorder="1" applyAlignment="1">
      <alignment/>
    </xf>
    <xf numFmtId="49" fontId="7" fillId="0" borderId="10" xfId="0" applyFont="1" applyFill="1" applyBorder="1" applyAlignment="1">
      <alignment horizontal="center" vertical="center"/>
    </xf>
    <xf numFmtId="0" fontId="7" fillId="0" borderId="10" xfId="0" applyNumberFormat="1" applyFont="1" applyFill="1" applyBorder="1" applyAlignment="1">
      <alignment horizontal="justify" vertical="center" wrapText="1"/>
    </xf>
    <xf numFmtId="49" fontId="1" fillId="0" borderId="10" xfId="0" applyFont="1" applyFill="1" applyBorder="1" applyAlignment="1">
      <alignment horizontal="center" vertical="top"/>
    </xf>
    <xf numFmtId="187" fontId="7" fillId="0" borderId="10" xfId="61" applyNumberFormat="1" applyFont="1" applyFill="1" applyBorder="1" applyAlignment="1">
      <alignment/>
    </xf>
    <xf numFmtId="49" fontId="1" fillId="0" borderId="0" xfId="0" applyFont="1" applyFill="1" applyAlignment="1">
      <alignment wrapText="1"/>
    </xf>
    <xf numFmtId="49" fontId="1" fillId="0" borderId="0" xfId="0" applyFont="1" applyFill="1" applyAlignment="1">
      <alignment horizontal="right" wrapText="1"/>
    </xf>
    <xf numFmtId="49" fontId="7" fillId="0" borderId="10" xfId="0" applyFont="1" applyFill="1" applyBorder="1" applyAlignment="1">
      <alignment horizontal="center" vertical="center" wrapText="1"/>
    </xf>
    <xf numFmtId="49" fontId="1" fillId="0" borderId="10" xfId="0" applyFont="1" applyFill="1" applyBorder="1" applyAlignment="1">
      <alignment horizontal="right" vertical="justify"/>
    </xf>
    <xf numFmtId="0" fontId="7" fillId="0" borderId="10" xfId="0" applyNumberFormat="1" applyFont="1" applyFill="1" applyBorder="1" applyAlignment="1">
      <alignment horizontal="justify" wrapText="1"/>
    </xf>
    <xf numFmtId="49" fontId="7" fillId="0" borderId="10" xfId="0" applyFont="1" applyFill="1" applyBorder="1" applyAlignment="1">
      <alignment horizontal="center"/>
    </xf>
    <xf numFmtId="0" fontId="8" fillId="0" borderId="10" xfId="0" applyNumberFormat="1" applyFont="1" applyFill="1" applyBorder="1" applyAlignment="1">
      <alignment horizontal="justify" vertical="top" wrapText="1"/>
    </xf>
    <xf numFmtId="187" fontId="1" fillId="0" borderId="10" xfId="61" applyNumberFormat="1" applyFill="1" applyBorder="1" applyAlignment="1">
      <alignment/>
    </xf>
    <xf numFmtId="49" fontId="7" fillId="0" borderId="10" xfId="0" applyFont="1" applyFill="1" applyBorder="1" applyAlignment="1">
      <alignment horizontal="center" vertical="top"/>
    </xf>
    <xf numFmtId="0" fontId="7" fillId="0" borderId="10" xfId="0" applyNumberFormat="1" applyFont="1" applyFill="1" applyBorder="1" applyAlignment="1">
      <alignment horizontal="justify" vertical="top" wrapText="1"/>
    </xf>
    <xf numFmtId="187" fontId="7" fillId="0" borderId="10" xfId="61" applyNumberFormat="1" applyFont="1" applyFill="1" applyBorder="1" applyAlignment="1">
      <alignment horizontal="justify" wrapText="1"/>
    </xf>
    <xf numFmtId="187" fontId="7" fillId="0" borderId="10" xfId="61" applyNumberFormat="1" applyFont="1" applyFill="1" applyBorder="1" applyAlignment="1">
      <alignment horizontal="justify"/>
    </xf>
    <xf numFmtId="187" fontId="1" fillId="0" borderId="10" xfId="61" applyNumberFormat="1" applyFill="1" applyBorder="1" applyAlignment="1">
      <alignment horizontal="right"/>
    </xf>
    <xf numFmtId="49" fontId="1" fillId="0" borderId="10" xfId="0" applyFont="1" applyFill="1" applyBorder="1" applyAlignment="1">
      <alignment horizontal="justify" vertical="top" wrapText="1"/>
    </xf>
    <xf numFmtId="49" fontId="8" fillId="0" borderId="10" xfId="0" applyFont="1" applyFill="1" applyBorder="1" applyAlignment="1">
      <alignment horizontal="center" vertical="top" wrapText="1"/>
    </xf>
    <xf numFmtId="49" fontId="8" fillId="0" borderId="10" xfId="0" applyFont="1" applyFill="1" applyBorder="1" applyAlignment="1">
      <alignment horizontal="center" vertical="justify" wrapText="1"/>
    </xf>
    <xf numFmtId="0" fontId="8" fillId="0" borderId="10" xfId="0" applyNumberFormat="1" applyFont="1" applyFill="1" applyBorder="1" applyAlignment="1">
      <alignment horizontal="center" vertical="top" wrapText="1"/>
    </xf>
    <xf numFmtId="49" fontId="8" fillId="0" borderId="10" xfId="0" applyFont="1" applyFill="1" applyBorder="1" applyAlignment="1">
      <alignment vertical="top" wrapText="1"/>
    </xf>
    <xf numFmtId="0" fontId="1" fillId="0" borderId="10" xfId="0" applyNumberFormat="1" applyFont="1" applyFill="1" applyBorder="1" applyAlignment="1">
      <alignment horizontal="center" vertical="top" wrapText="1"/>
    </xf>
    <xf numFmtId="179" fontId="0" fillId="0" borderId="0" xfId="0" applyNumberFormat="1" applyFill="1" applyAlignment="1">
      <alignment wrapText="1"/>
    </xf>
    <xf numFmtId="0" fontId="10" fillId="0" borderId="10" xfId="0" applyNumberFormat="1" applyFont="1" applyFill="1" applyBorder="1" applyAlignment="1">
      <alignment horizontal="justify" vertical="top" wrapText="1"/>
    </xf>
    <xf numFmtId="49" fontId="11" fillId="0" borderId="10" xfId="0" applyFont="1" applyFill="1" applyBorder="1" applyAlignment="1">
      <alignment horizontal="center" vertical="top"/>
    </xf>
    <xf numFmtId="0" fontId="11" fillId="0" borderId="10" xfId="0" applyNumberFormat="1" applyFont="1" applyFill="1" applyBorder="1" applyAlignment="1">
      <alignment horizontal="justify" vertical="top" wrapText="1"/>
    </xf>
    <xf numFmtId="187" fontId="11" fillId="0" borderId="10" xfId="61" applyNumberFormat="1" applyFont="1" applyFill="1" applyBorder="1" applyAlignment="1">
      <alignment horizontal="justify" wrapText="1"/>
    </xf>
    <xf numFmtId="187" fontId="11" fillId="0" borderId="10" xfId="61" applyNumberFormat="1" applyFont="1" applyFill="1" applyBorder="1" applyAlignment="1">
      <alignment horizontal="justify"/>
    </xf>
    <xf numFmtId="49" fontId="8" fillId="0" borderId="10" xfId="0" applyFont="1" applyFill="1" applyBorder="1" applyAlignment="1">
      <alignment horizontal="center" vertical="top"/>
    </xf>
    <xf numFmtId="0" fontId="8" fillId="0" borderId="10" xfId="0" applyNumberFormat="1" applyFont="1" applyFill="1" applyBorder="1" applyAlignment="1">
      <alignment wrapText="1"/>
    </xf>
    <xf numFmtId="49" fontId="8" fillId="0" borderId="10" xfId="0" applyFont="1" applyFill="1" applyBorder="1" applyAlignment="1">
      <alignment horizontal="justify" vertical="top" wrapText="1"/>
    </xf>
    <xf numFmtId="0" fontId="3" fillId="0" borderId="10" xfId="0" applyNumberFormat="1" applyFont="1" applyFill="1" applyBorder="1" applyAlignment="1">
      <alignment wrapText="1"/>
    </xf>
    <xf numFmtId="49" fontId="3" fillId="0" borderId="10" xfId="0" applyFont="1" applyFill="1" applyBorder="1" applyAlignment="1">
      <alignment wrapText="1"/>
    </xf>
    <xf numFmtId="49" fontId="3" fillId="0" borderId="0" xfId="0" applyFont="1" applyFill="1" applyAlignment="1">
      <alignment horizontal="right" vertical="justify"/>
    </xf>
    <xf numFmtId="49" fontId="3" fillId="0" borderId="0" xfId="0" applyFont="1" applyFill="1" applyAlignment="1">
      <alignment wrapText="1"/>
    </xf>
    <xf numFmtId="49" fontId="1" fillId="0" borderId="0" xfId="0" applyFont="1" applyAlignment="1">
      <alignment wrapText="1"/>
    </xf>
    <xf numFmtId="49" fontId="6" fillId="0" borderId="0" xfId="0" applyFont="1" applyFill="1" applyAlignment="1">
      <alignment horizontal="center"/>
    </xf>
    <xf numFmtId="49" fontId="8" fillId="0" borderId="0" xfId="0" applyFont="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2 2" xfId="64"/>
    <cellStyle name="Финансовый 3"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9"/>
    <pageSetUpPr fitToPage="1"/>
  </sheetPr>
  <dimension ref="A1:J488"/>
  <sheetViews>
    <sheetView tabSelected="1" zoomScaleSheetLayoutView="95" workbookViewId="0" topLeftCell="A1">
      <selection activeCell="B5" sqref="B5:H5"/>
    </sheetView>
  </sheetViews>
  <sheetFormatPr defaultColWidth="9.00390625" defaultRowHeight="15"/>
  <cols>
    <col min="1" max="1" width="22.875" style="0" customWidth="1"/>
    <col min="2" max="2" width="51.00390625" style="0" customWidth="1"/>
    <col min="3" max="3" width="0.12890625" style="0" hidden="1" customWidth="1"/>
    <col min="4" max="4" width="12.25390625" style="0" hidden="1" customWidth="1"/>
    <col min="5" max="5" width="13.125" style="0" hidden="1" customWidth="1"/>
    <col min="6" max="6" width="14.125" style="0" hidden="1" customWidth="1"/>
    <col min="7" max="7" width="13.75390625" style="0" hidden="1" customWidth="1"/>
    <col min="8" max="8" width="14.00390625" style="11" customWidth="1"/>
    <col min="9" max="9" width="12.625" style="0" customWidth="1"/>
  </cols>
  <sheetData>
    <row r="1" spans="1:8" ht="15">
      <c r="A1" s="5"/>
      <c r="B1" s="69" t="s">
        <v>344</v>
      </c>
      <c r="C1" s="69"/>
      <c r="D1" s="69"/>
      <c r="E1" s="69"/>
      <c r="F1" s="69"/>
      <c r="G1" s="69"/>
      <c r="H1" s="69"/>
    </row>
    <row r="2" spans="1:8" ht="15" customHeight="1">
      <c r="A2" s="6" t="s">
        <v>155</v>
      </c>
      <c r="B2" s="69" t="s">
        <v>61</v>
      </c>
      <c r="C2" s="69"/>
      <c r="D2" s="69"/>
      <c r="E2" s="69"/>
      <c r="F2" s="69"/>
      <c r="G2" s="69"/>
      <c r="H2" s="69"/>
    </row>
    <row r="3" spans="1:7" ht="15" customHeight="1" hidden="1">
      <c r="A3" s="6"/>
      <c r="B3" s="9" t="s">
        <v>172</v>
      </c>
      <c r="C3" s="9"/>
      <c r="D3" s="9"/>
      <c r="E3" s="8"/>
      <c r="F3" s="8"/>
      <c r="G3" s="8"/>
    </row>
    <row r="4" spans="1:8" ht="15" customHeight="1">
      <c r="A4" s="6" t="s">
        <v>135</v>
      </c>
      <c r="B4" s="69" t="s">
        <v>290</v>
      </c>
      <c r="C4" s="69"/>
      <c r="D4" s="69"/>
      <c r="E4" s="69"/>
      <c r="F4" s="69"/>
      <c r="G4" s="69"/>
      <c r="H4" s="69"/>
    </row>
    <row r="5" spans="1:8" ht="15" customHeight="1">
      <c r="A5" s="6" t="s">
        <v>136</v>
      </c>
      <c r="B5" s="69" t="s">
        <v>426</v>
      </c>
      <c r="C5" s="69"/>
      <c r="D5" s="69"/>
      <c r="E5" s="69"/>
      <c r="F5" s="69"/>
      <c r="G5" s="69"/>
      <c r="H5" s="69"/>
    </row>
    <row r="6" spans="1:7" ht="15">
      <c r="A6" s="7"/>
      <c r="B6" s="67"/>
      <c r="C6" s="67"/>
      <c r="D6" s="67"/>
      <c r="E6" s="67"/>
      <c r="F6" s="10"/>
      <c r="G6" s="10"/>
    </row>
    <row r="7" spans="1:10" ht="15.75">
      <c r="A7" s="68" t="s">
        <v>87</v>
      </c>
      <c r="B7" s="68"/>
      <c r="C7" s="68"/>
      <c r="D7" s="68"/>
      <c r="E7" s="68"/>
      <c r="F7" s="68"/>
      <c r="G7" s="68"/>
      <c r="H7" s="68"/>
      <c r="I7" s="11"/>
      <c r="J7" s="11"/>
    </row>
    <row r="8" spans="1:10" ht="15.75">
      <c r="A8" s="68" t="s">
        <v>224</v>
      </c>
      <c r="B8" s="68"/>
      <c r="C8" s="68"/>
      <c r="D8" s="68"/>
      <c r="E8" s="68"/>
      <c r="F8" s="68"/>
      <c r="G8" s="68"/>
      <c r="H8" s="68"/>
      <c r="I8" s="11"/>
      <c r="J8" s="11"/>
    </row>
    <row r="9" spans="1:10" ht="15.75">
      <c r="A9" s="68" t="s">
        <v>376</v>
      </c>
      <c r="B9" s="68"/>
      <c r="C9" s="68"/>
      <c r="D9" s="68"/>
      <c r="E9" s="68"/>
      <c r="F9" s="68"/>
      <c r="G9" s="68"/>
      <c r="H9" s="68"/>
      <c r="I9" s="11"/>
      <c r="J9" s="11"/>
    </row>
    <row r="10" spans="1:10" ht="15" customHeight="1">
      <c r="A10" s="35"/>
      <c r="B10" s="35"/>
      <c r="C10" s="11"/>
      <c r="D10" s="11"/>
      <c r="E10" s="36"/>
      <c r="F10" s="11"/>
      <c r="G10" s="36" t="s">
        <v>189</v>
      </c>
      <c r="H10" s="12" t="s">
        <v>358</v>
      </c>
      <c r="I10" s="11"/>
      <c r="J10" s="11"/>
    </row>
    <row r="11" spans="1:10" ht="42" customHeight="1">
      <c r="A11" s="13" t="s">
        <v>76</v>
      </c>
      <c r="B11" s="13" t="s">
        <v>88</v>
      </c>
      <c r="C11" s="37" t="s">
        <v>351</v>
      </c>
      <c r="D11" s="13" t="s">
        <v>350</v>
      </c>
      <c r="E11" s="13" t="s">
        <v>345</v>
      </c>
      <c r="F11" s="13" t="s">
        <v>349</v>
      </c>
      <c r="G11" s="13" t="s">
        <v>356</v>
      </c>
      <c r="H11" s="13" t="s">
        <v>357</v>
      </c>
      <c r="I11" s="11"/>
      <c r="J11" s="11"/>
    </row>
    <row r="12" spans="1:10" ht="27" customHeight="1">
      <c r="A12" s="38"/>
      <c r="B12" s="39" t="s">
        <v>114</v>
      </c>
      <c r="C12" s="16" t="e">
        <f aca="true" t="shared" si="0" ref="C12:H12">C13+C137</f>
        <v>#REF!</v>
      </c>
      <c r="D12" s="16" t="e">
        <f t="shared" si="0"/>
        <v>#REF!</v>
      </c>
      <c r="E12" s="16" t="e">
        <f t="shared" si="0"/>
        <v>#REF!</v>
      </c>
      <c r="F12" s="16" t="e">
        <f t="shared" si="0"/>
        <v>#REF!</v>
      </c>
      <c r="G12" s="16" t="e">
        <f t="shared" si="0"/>
        <v>#REF!</v>
      </c>
      <c r="H12" s="22">
        <f t="shared" si="0"/>
        <v>862318.4269999999</v>
      </c>
      <c r="I12" s="11"/>
      <c r="J12" s="11"/>
    </row>
    <row r="13" spans="1:10" ht="24.75" customHeight="1">
      <c r="A13" s="40" t="s">
        <v>86</v>
      </c>
      <c r="B13" s="39" t="s">
        <v>173</v>
      </c>
      <c r="C13" s="34" t="e">
        <f aca="true" t="shared" si="1" ref="C13:H13">C14+C27+C46+C54+C63+C72+C103+C21+C134+C80+C89</f>
        <v>#REF!</v>
      </c>
      <c r="D13" s="34" t="e">
        <f t="shared" si="1"/>
        <v>#REF!</v>
      </c>
      <c r="E13" s="34" t="e">
        <f t="shared" si="1"/>
        <v>#REF!</v>
      </c>
      <c r="F13" s="34" t="e">
        <f t="shared" si="1"/>
        <v>#REF!</v>
      </c>
      <c r="G13" s="34" t="e">
        <f t="shared" si="1"/>
        <v>#REF!</v>
      </c>
      <c r="H13" s="23">
        <f t="shared" si="1"/>
        <v>187965.89999999997</v>
      </c>
      <c r="I13" s="11"/>
      <c r="J13" s="11" t="s">
        <v>169</v>
      </c>
    </row>
    <row r="14" spans="1:10" ht="24.75" customHeight="1">
      <c r="A14" s="40" t="s">
        <v>89</v>
      </c>
      <c r="B14" s="39" t="s">
        <v>90</v>
      </c>
      <c r="C14" s="34">
        <f aca="true" t="shared" si="2" ref="C14:H14">C15</f>
        <v>96900.00000000001</v>
      </c>
      <c r="D14" s="34">
        <f t="shared" si="2"/>
        <v>101793.09999999999</v>
      </c>
      <c r="E14" s="34">
        <f t="shared" si="2"/>
        <v>82217.5</v>
      </c>
      <c r="F14" s="34">
        <f t="shared" si="2"/>
        <v>0</v>
      </c>
      <c r="G14" s="34">
        <f t="shared" si="2"/>
        <v>90092</v>
      </c>
      <c r="H14" s="23">
        <f t="shared" si="2"/>
        <v>136684.39999999997</v>
      </c>
      <c r="I14" s="11"/>
      <c r="J14" s="11"/>
    </row>
    <row r="15" spans="1:10" ht="24.75" customHeight="1">
      <c r="A15" s="40" t="s">
        <v>159</v>
      </c>
      <c r="B15" s="39" t="s">
        <v>91</v>
      </c>
      <c r="C15" s="34">
        <f aca="true" t="shared" si="3" ref="C15:H15">C16+C17+C18+C19</f>
        <v>96900.00000000001</v>
      </c>
      <c r="D15" s="34">
        <f t="shared" si="3"/>
        <v>101793.09999999999</v>
      </c>
      <c r="E15" s="34">
        <f t="shared" si="3"/>
        <v>82217.5</v>
      </c>
      <c r="F15" s="34">
        <f t="shared" si="3"/>
        <v>0</v>
      </c>
      <c r="G15" s="34">
        <f t="shared" si="3"/>
        <v>90092</v>
      </c>
      <c r="H15" s="23">
        <f t="shared" si="3"/>
        <v>136684.39999999997</v>
      </c>
      <c r="I15" s="11"/>
      <c r="J15" s="11"/>
    </row>
    <row r="16" spans="1:10" ht="81.75" customHeight="1">
      <c r="A16" s="33" t="s">
        <v>160</v>
      </c>
      <c r="B16" s="21" t="s">
        <v>148</v>
      </c>
      <c r="C16" s="14">
        <f>80015.6+22851.2+359+1000-24210.2-130-50+9138.8-130+7139</f>
        <v>95983.40000000001</v>
      </c>
      <c r="D16" s="14">
        <v>100860.4</v>
      </c>
      <c r="E16" s="15">
        <f>81460.5-50-177-115</f>
        <v>81118.5</v>
      </c>
      <c r="F16" s="15"/>
      <c r="G16" s="14">
        <v>89299</v>
      </c>
      <c r="H16" s="24">
        <f>115431+18041.4-880-12959.1+11576.8+25.3+2760</f>
        <v>133995.39999999997</v>
      </c>
      <c r="I16" s="11"/>
      <c r="J16" s="11"/>
    </row>
    <row r="17" spans="1:10" ht="105" customHeight="1">
      <c r="A17" s="33" t="s">
        <v>161</v>
      </c>
      <c r="B17" s="41" t="s">
        <v>273</v>
      </c>
      <c r="C17" s="42">
        <f>121.1+130-100+30</f>
        <v>181.1</v>
      </c>
      <c r="D17" s="42">
        <v>217.7</v>
      </c>
      <c r="E17" s="42">
        <f>210+40</f>
        <v>250</v>
      </c>
      <c r="F17" s="42"/>
      <c r="G17" s="42">
        <v>239</v>
      </c>
      <c r="H17" s="25">
        <v>300</v>
      </c>
      <c r="I17" s="11"/>
      <c r="J17" s="11"/>
    </row>
    <row r="18" spans="1:10" ht="57" customHeight="1">
      <c r="A18" s="33" t="s">
        <v>211</v>
      </c>
      <c r="B18" s="21" t="s">
        <v>274</v>
      </c>
      <c r="C18" s="14">
        <f>190+50+40</f>
        <v>280</v>
      </c>
      <c r="D18" s="14">
        <v>257.1</v>
      </c>
      <c r="E18" s="15">
        <v>277</v>
      </c>
      <c r="F18" s="15"/>
      <c r="G18" s="14">
        <v>281</v>
      </c>
      <c r="H18" s="24">
        <f>115+755</f>
        <v>870</v>
      </c>
      <c r="I18" s="11"/>
      <c r="J18" s="11"/>
    </row>
    <row r="19" spans="1:10" ht="93" customHeight="1">
      <c r="A19" s="33" t="s">
        <v>212</v>
      </c>
      <c r="B19" s="21" t="s">
        <v>275</v>
      </c>
      <c r="C19" s="14">
        <f>250.5+100+60+45</f>
        <v>455.5</v>
      </c>
      <c r="D19" s="14">
        <v>457.9</v>
      </c>
      <c r="E19" s="15">
        <f>270+50+177+75</f>
        <v>572</v>
      </c>
      <c r="F19" s="15"/>
      <c r="G19" s="14">
        <v>273</v>
      </c>
      <c r="H19" s="24">
        <f>639+880</f>
        <v>1519</v>
      </c>
      <c r="I19" s="11"/>
      <c r="J19" s="11"/>
    </row>
    <row r="20" spans="1:10" ht="63.75" customHeight="1" hidden="1">
      <c r="A20" s="33" t="s">
        <v>181</v>
      </c>
      <c r="B20" s="21" t="s">
        <v>190</v>
      </c>
      <c r="C20" s="14">
        <v>0</v>
      </c>
      <c r="D20" s="14"/>
      <c r="E20" s="15"/>
      <c r="F20" s="15"/>
      <c r="G20" s="14"/>
      <c r="H20" s="24"/>
      <c r="I20" s="11"/>
      <c r="J20" s="11"/>
    </row>
    <row r="21" spans="1:10" ht="32.25" customHeight="1">
      <c r="A21" s="43" t="s">
        <v>117</v>
      </c>
      <c r="B21" s="44" t="s">
        <v>118</v>
      </c>
      <c r="C21" s="45">
        <f aca="true" t="shared" si="4" ref="C21:H21">C22</f>
        <v>4533.599999999999</v>
      </c>
      <c r="D21" s="45">
        <f t="shared" si="4"/>
        <v>4731.2</v>
      </c>
      <c r="E21" s="46">
        <f t="shared" si="4"/>
        <v>4070</v>
      </c>
      <c r="F21" s="46">
        <f t="shared" si="4"/>
        <v>0</v>
      </c>
      <c r="G21" s="46">
        <f t="shared" si="4"/>
        <v>4401</v>
      </c>
      <c r="H21" s="23">
        <f t="shared" si="4"/>
        <v>5439.799999999999</v>
      </c>
      <c r="I21" s="11"/>
      <c r="J21" s="11"/>
    </row>
    <row r="22" spans="1:10" ht="39" customHeight="1">
      <c r="A22" s="33" t="s">
        <v>119</v>
      </c>
      <c r="B22" s="21" t="s">
        <v>120</v>
      </c>
      <c r="C22" s="14">
        <f>C23+C24+C25</f>
        <v>4533.599999999999</v>
      </c>
      <c r="D22" s="14">
        <f>D23+D24+D25+D26</f>
        <v>4731.2</v>
      </c>
      <c r="E22" s="15">
        <f>E23+E24+E25</f>
        <v>4070</v>
      </c>
      <c r="F22" s="15">
        <f>F23+F24+F25</f>
        <v>0</v>
      </c>
      <c r="G22" s="15">
        <f>G23+G24+G25</f>
        <v>4401</v>
      </c>
      <c r="H22" s="25">
        <f>H23+H24+H25</f>
        <v>5439.799999999999</v>
      </c>
      <c r="I22" s="11"/>
      <c r="J22" s="11"/>
    </row>
    <row r="23" spans="1:10" ht="78.75" customHeight="1">
      <c r="A23" s="33" t="s">
        <v>219</v>
      </c>
      <c r="B23" s="21" t="s">
        <v>346</v>
      </c>
      <c r="C23" s="14">
        <f>1298.1+131.2</f>
        <v>1429.3</v>
      </c>
      <c r="D23" s="14">
        <v>1617.4</v>
      </c>
      <c r="E23" s="15">
        <v>1390</v>
      </c>
      <c r="F23" s="15"/>
      <c r="G23" s="14">
        <v>1457</v>
      </c>
      <c r="H23" s="24">
        <f>1758+726.7</f>
        <v>2484.7</v>
      </c>
      <c r="I23" s="11"/>
      <c r="J23" s="11"/>
    </row>
    <row r="24" spans="1:10" ht="90" customHeight="1">
      <c r="A24" s="20" t="s">
        <v>217</v>
      </c>
      <c r="B24" s="21" t="s">
        <v>218</v>
      </c>
      <c r="C24" s="14">
        <f>18.4+4.7</f>
        <v>23.099999999999998</v>
      </c>
      <c r="D24" s="14">
        <v>24.7</v>
      </c>
      <c r="E24" s="15">
        <v>14</v>
      </c>
      <c r="F24" s="15"/>
      <c r="G24" s="14">
        <v>13</v>
      </c>
      <c r="H24" s="24">
        <f>12+1.4</f>
        <v>13.4</v>
      </c>
      <c r="I24" s="11"/>
      <c r="J24" s="11"/>
    </row>
    <row r="25" spans="1:10" ht="75.75" customHeight="1">
      <c r="A25" s="33" t="s">
        <v>220</v>
      </c>
      <c r="B25" s="21" t="s">
        <v>221</v>
      </c>
      <c r="C25" s="14">
        <f>2350.5+730.7</f>
        <v>3081.2</v>
      </c>
      <c r="D25" s="14">
        <v>3328.7</v>
      </c>
      <c r="E25" s="15">
        <v>2666</v>
      </c>
      <c r="F25" s="15"/>
      <c r="G25" s="14">
        <v>2931</v>
      </c>
      <c r="H25" s="24">
        <f>3078-136.3</f>
        <v>2941.7</v>
      </c>
      <c r="I25" s="11"/>
      <c r="J25" s="11"/>
    </row>
    <row r="26" spans="1:10" ht="61.5" customHeight="1" hidden="1">
      <c r="A26" s="33" t="s">
        <v>222</v>
      </c>
      <c r="B26" s="21" t="s">
        <v>223</v>
      </c>
      <c r="C26" s="14"/>
      <c r="D26" s="14">
        <v>-239.6</v>
      </c>
      <c r="E26" s="15"/>
      <c r="F26" s="15"/>
      <c r="G26" s="14"/>
      <c r="H26" s="24"/>
      <c r="I26" s="11"/>
      <c r="J26" s="11"/>
    </row>
    <row r="27" spans="1:10" ht="24.75" customHeight="1">
      <c r="A27" s="43" t="s">
        <v>92</v>
      </c>
      <c r="B27" s="44" t="s">
        <v>93</v>
      </c>
      <c r="C27" s="34" t="e">
        <f>C39+C42+C44</f>
        <v>#REF!</v>
      </c>
      <c r="D27" s="34" t="e">
        <f>D39+D42+D44</f>
        <v>#REF!</v>
      </c>
      <c r="E27" s="34" t="e">
        <f>E39+E42+E44+E28</f>
        <v>#REF!</v>
      </c>
      <c r="F27" s="34" t="e">
        <f>F39+F42+F44+F28</f>
        <v>#REF!</v>
      </c>
      <c r="G27" s="34" t="e">
        <f>G39+G42+G44+G28</f>
        <v>#REF!</v>
      </c>
      <c r="H27" s="23">
        <f>H39+H42+H44+H28</f>
        <v>27087</v>
      </c>
      <c r="I27" s="11"/>
      <c r="J27" s="11"/>
    </row>
    <row r="28" spans="1:10" ht="39" customHeight="1">
      <c r="A28" s="33" t="s">
        <v>6</v>
      </c>
      <c r="B28" s="21" t="s">
        <v>7</v>
      </c>
      <c r="C28" s="34"/>
      <c r="D28" s="34"/>
      <c r="E28" s="34">
        <f>E29+E33+E36</f>
        <v>13595.4</v>
      </c>
      <c r="F28" s="34">
        <f>F29+F33+F36</f>
        <v>0</v>
      </c>
      <c r="G28" s="34">
        <f>G29+G33+G36</f>
        <v>12358</v>
      </c>
      <c r="H28" s="23">
        <f>H29+H33+H36+H37+H38</f>
        <v>15882</v>
      </c>
      <c r="I28" s="11"/>
      <c r="J28" s="11"/>
    </row>
    <row r="29" spans="1:10" ht="39" customHeight="1">
      <c r="A29" s="33" t="s">
        <v>8</v>
      </c>
      <c r="B29" s="21" t="s">
        <v>16</v>
      </c>
      <c r="C29" s="34"/>
      <c r="D29" s="34"/>
      <c r="E29" s="34">
        <f>E30+E31</f>
        <v>9895.4</v>
      </c>
      <c r="F29" s="34">
        <f>F30+F31</f>
        <v>0</v>
      </c>
      <c r="G29" s="34">
        <f>G30+G31</f>
        <v>9658</v>
      </c>
      <c r="H29" s="23">
        <f>H30+H31+H32</f>
        <v>9392</v>
      </c>
      <c r="I29" s="11"/>
      <c r="J29" s="11"/>
    </row>
    <row r="30" spans="1:10" ht="39.75" customHeight="1">
      <c r="A30" s="33" t="s">
        <v>9</v>
      </c>
      <c r="B30" s="21" t="s">
        <v>16</v>
      </c>
      <c r="C30" s="34"/>
      <c r="D30" s="34"/>
      <c r="E30" s="42">
        <f>11895.4-2000</f>
        <v>9895.4</v>
      </c>
      <c r="F30" s="42"/>
      <c r="G30" s="42">
        <v>9658</v>
      </c>
      <c r="H30" s="25">
        <v>9392</v>
      </c>
      <c r="I30" s="11"/>
      <c r="J30" s="11"/>
    </row>
    <row r="31" spans="1:10" ht="49.5" customHeight="1" hidden="1">
      <c r="A31" s="33" t="s">
        <v>10</v>
      </c>
      <c r="B31" s="21" t="s">
        <v>17</v>
      </c>
      <c r="C31" s="34"/>
      <c r="D31" s="34"/>
      <c r="E31" s="34"/>
      <c r="F31" s="34"/>
      <c r="G31" s="42"/>
      <c r="H31" s="25"/>
      <c r="I31" s="11"/>
      <c r="J31" s="11"/>
    </row>
    <row r="32" spans="1:10" ht="49.5" customHeight="1" hidden="1">
      <c r="A32" s="33" t="s">
        <v>10</v>
      </c>
      <c r="B32" s="21" t="s">
        <v>17</v>
      </c>
      <c r="C32" s="34"/>
      <c r="D32" s="34"/>
      <c r="E32" s="34"/>
      <c r="F32" s="34"/>
      <c r="G32" s="42"/>
      <c r="H32" s="25"/>
      <c r="I32" s="11"/>
      <c r="J32" s="11"/>
    </row>
    <row r="33" spans="1:10" ht="49.5" customHeight="1">
      <c r="A33" s="33" t="s">
        <v>11</v>
      </c>
      <c r="B33" s="21" t="s">
        <v>18</v>
      </c>
      <c r="C33" s="34"/>
      <c r="D33" s="34"/>
      <c r="E33" s="42">
        <f>E34+E35</f>
        <v>3700</v>
      </c>
      <c r="F33" s="42">
        <f>F34+F35</f>
        <v>0</v>
      </c>
      <c r="G33" s="42">
        <f>G34+G35</f>
        <v>2700</v>
      </c>
      <c r="H33" s="25">
        <f>H34</f>
        <v>6490</v>
      </c>
      <c r="I33" s="11"/>
      <c r="J33" s="11"/>
    </row>
    <row r="34" spans="1:10" ht="63.75" customHeight="1">
      <c r="A34" s="33" t="s">
        <v>12</v>
      </c>
      <c r="B34" s="21" t="s">
        <v>19</v>
      </c>
      <c r="C34" s="34"/>
      <c r="D34" s="34"/>
      <c r="E34" s="42">
        <f>2000+1700</f>
        <v>3700</v>
      </c>
      <c r="F34" s="42"/>
      <c r="G34" s="42">
        <v>2700</v>
      </c>
      <c r="H34" s="25">
        <v>6490</v>
      </c>
      <c r="I34" s="11"/>
      <c r="J34" s="11"/>
    </row>
    <row r="35" spans="1:10" ht="62.25" customHeight="1" hidden="1">
      <c r="A35" s="33" t="s">
        <v>13</v>
      </c>
      <c r="B35" s="21" t="s">
        <v>20</v>
      </c>
      <c r="C35" s="34"/>
      <c r="D35" s="34"/>
      <c r="E35" s="34"/>
      <c r="F35" s="34"/>
      <c r="G35" s="34"/>
      <c r="H35" s="23"/>
      <c r="I35" s="11"/>
      <c r="J35" s="11"/>
    </row>
    <row r="36" spans="1:10" ht="49.5" customHeight="1" hidden="1">
      <c r="A36" s="33" t="s">
        <v>14</v>
      </c>
      <c r="B36" s="21" t="s">
        <v>21</v>
      </c>
      <c r="C36" s="34"/>
      <c r="D36" s="34"/>
      <c r="E36" s="34">
        <f>E37</f>
        <v>0</v>
      </c>
      <c r="F36" s="34"/>
      <c r="G36" s="34"/>
      <c r="H36" s="23"/>
      <c r="I36" s="11"/>
      <c r="J36" s="11"/>
    </row>
    <row r="37" spans="1:10" ht="49.5" customHeight="1" hidden="1">
      <c r="A37" s="33" t="s">
        <v>15</v>
      </c>
      <c r="B37" s="21" t="s">
        <v>22</v>
      </c>
      <c r="C37" s="34"/>
      <c r="D37" s="34"/>
      <c r="E37" s="34"/>
      <c r="F37" s="34"/>
      <c r="G37" s="34"/>
      <c r="H37" s="25"/>
      <c r="I37" s="11"/>
      <c r="J37" s="11"/>
    </row>
    <row r="38" spans="1:8" s="11" customFormat="1" ht="49.5" customHeight="1" hidden="1">
      <c r="A38" s="33" t="s">
        <v>15</v>
      </c>
      <c r="B38" s="21" t="s">
        <v>375</v>
      </c>
      <c r="C38" s="34"/>
      <c r="D38" s="34"/>
      <c r="E38" s="34"/>
      <c r="F38" s="34"/>
      <c r="G38" s="34"/>
      <c r="H38" s="25"/>
    </row>
    <row r="39" spans="1:10" ht="36" customHeight="1">
      <c r="A39" s="33" t="s">
        <v>162</v>
      </c>
      <c r="B39" s="21" t="s">
        <v>81</v>
      </c>
      <c r="C39" s="42" t="e">
        <f>C40+#REF!</f>
        <v>#REF!</v>
      </c>
      <c r="D39" s="42" t="e">
        <f>D40+#REF!</f>
        <v>#REF!</v>
      </c>
      <c r="E39" s="42" t="e">
        <f>E40+#REF!</f>
        <v>#REF!</v>
      </c>
      <c r="F39" s="42" t="e">
        <f>F40+#REF!</f>
        <v>#REF!</v>
      </c>
      <c r="G39" s="42" t="e">
        <f>G40+#REF!</f>
        <v>#REF!</v>
      </c>
      <c r="H39" s="25">
        <f>H40+H41</f>
        <v>10646</v>
      </c>
      <c r="I39" s="11"/>
      <c r="J39" s="11"/>
    </row>
    <row r="40" spans="1:10" ht="35.25" customHeight="1">
      <c r="A40" s="33" t="s">
        <v>178</v>
      </c>
      <c r="B40" s="21" t="s">
        <v>81</v>
      </c>
      <c r="C40" s="14">
        <f>10318.9-434.9</f>
        <v>9884</v>
      </c>
      <c r="D40" s="14">
        <v>9587.5</v>
      </c>
      <c r="E40" s="15">
        <v>10376.1</v>
      </c>
      <c r="F40" s="15"/>
      <c r="G40" s="14">
        <v>10321</v>
      </c>
      <c r="H40" s="24">
        <v>10646</v>
      </c>
      <c r="I40" s="11"/>
      <c r="J40" s="11"/>
    </row>
    <row r="41" spans="1:10" ht="46.5" customHeight="1" hidden="1">
      <c r="A41" s="33" t="s">
        <v>179</v>
      </c>
      <c r="B41" s="21" t="s">
        <v>62</v>
      </c>
      <c r="C41" s="14"/>
      <c r="D41" s="14"/>
      <c r="E41" s="15"/>
      <c r="F41" s="15"/>
      <c r="G41" s="14"/>
      <c r="H41" s="24"/>
      <c r="I41" s="11"/>
      <c r="J41" s="11"/>
    </row>
    <row r="42" spans="1:10" ht="27" customHeight="1">
      <c r="A42" s="33" t="s">
        <v>69</v>
      </c>
      <c r="B42" s="21" t="s">
        <v>186</v>
      </c>
      <c r="C42" s="42">
        <f aca="true" t="shared" si="5" ref="C42:H42">C43</f>
        <v>105</v>
      </c>
      <c r="D42" s="42">
        <f t="shared" si="5"/>
        <v>105</v>
      </c>
      <c r="E42" s="42">
        <f t="shared" si="5"/>
        <v>137</v>
      </c>
      <c r="F42" s="42">
        <f t="shared" si="5"/>
        <v>0</v>
      </c>
      <c r="G42" s="42">
        <f t="shared" si="5"/>
        <v>110</v>
      </c>
      <c r="H42" s="25">
        <f t="shared" si="5"/>
        <v>485</v>
      </c>
      <c r="I42" s="11"/>
      <c r="J42" s="11"/>
    </row>
    <row r="43" spans="1:10" ht="24.75" customHeight="1">
      <c r="A43" s="33" t="s">
        <v>63</v>
      </c>
      <c r="B43" s="21" t="s">
        <v>186</v>
      </c>
      <c r="C43" s="14">
        <f>11.4+93.5+0.1</f>
        <v>105</v>
      </c>
      <c r="D43" s="14">
        <v>105</v>
      </c>
      <c r="E43" s="15">
        <f>76+11+50</f>
        <v>137</v>
      </c>
      <c r="F43" s="15"/>
      <c r="G43" s="14">
        <v>110</v>
      </c>
      <c r="H43" s="24">
        <v>485</v>
      </c>
      <c r="I43" s="11"/>
      <c r="J43" s="11"/>
    </row>
    <row r="44" spans="1:10" ht="36.75" customHeight="1">
      <c r="A44" s="33" t="s">
        <v>263</v>
      </c>
      <c r="B44" s="21" t="s">
        <v>262</v>
      </c>
      <c r="C44" s="14">
        <f aca="true" t="shared" si="6" ref="C44:H44">C45</f>
        <v>18</v>
      </c>
      <c r="D44" s="14">
        <f t="shared" si="6"/>
        <v>18</v>
      </c>
      <c r="E44" s="15">
        <f t="shared" si="6"/>
        <v>18</v>
      </c>
      <c r="F44" s="15">
        <f t="shared" si="6"/>
        <v>0</v>
      </c>
      <c r="G44" s="15">
        <f t="shared" si="6"/>
        <v>74</v>
      </c>
      <c r="H44" s="25">
        <f t="shared" si="6"/>
        <v>74</v>
      </c>
      <c r="I44" s="11"/>
      <c r="J44" s="11"/>
    </row>
    <row r="45" spans="1:10" ht="36.75" customHeight="1">
      <c r="A45" s="33" t="s">
        <v>264</v>
      </c>
      <c r="B45" s="21" t="s">
        <v>265</v>
      </c>
      <c r="C45" s="14">
        <f>6+6+6</f>
        <v>18</v>
      </c>
      <c r="D45" s="14">
        <v>18</v>
      </c>
      <c r="E45" s="15">
        <v>18</v>
      </c>
      <c r="F45" s="15"/>
      <c r="G45" s="14">
        <v>74</v>
      </c>
      <c r="H45" s="24">
        <v>74</v>
      </c>
      <c r="I45" s="11"/>
      <c r="J45" s="11"/>
    </row>
    <row r="46" spans="1:10" ht="24.75" customHeight="1">
      <c r="A46" s="43" t="s">
        <v>94</v>
      </c>
      <c r="B46" s="44" t="s">
        <v>95</v>
      </c>
      <c r="C46" s="34">
        <f aca="true" t="shared" si="7" ref="C46:H46">C47+C49</f>
        <v>2370</v>
      </c>
      <c r="D46" s="34">
        <f t="shared" si="7"/>
        <v>1847.4999999999998</v>
      </c>
      <c r="E46" s="34">
        <f t="shared" si="7"/>
        <v>2601</v>
      </c>
      <c r="F46" s="34">
        <f t="shared" si="7"/>
        <v>0</v>
      </c>
      <c r="G46" s="34">
        <f t="shared" si="7"/>
        <v>2362</v>
      </c>
      <c r="H46" s="23">
        <f t="shared" si="7"/>
        <v>3457</v>
      </c>
      <c r="I46" s="11"/>
      <c r="J46" s="11"/>
    </row>
    <row r="47" spans="1:10" ht="23.25" customHeight="1">
      <c r="A47" s="20" t="s">
        <v>227</v>
      </c>
      <c r="B47" s="21" t="s">
        <v>228</v>
      </c>
      <c r="C47" s="42">
        <f aca="true" t="shared" si="8" ref="C47:H47">C48</f>
        <v>467.6</v>
      </c>
      <c r="D47" s="42">
        <f t="shared" si="8"/>
        <v>94.8</v>
      </c>
      <c r="E47" s="42">
        <f t="shared" si="8"/>
        <v>513</v>
      </c>
      <c r="F47" s="42">
        <f t="shared" si="8"/>
        <v>0</v>
      </c>
      <c r="G47" s="42">
        <f t="shared" si="8"/>
        <v>180</v>
      </c>
      <c r="H47" s="25">
        <f t="shared" si="8"/>
        <v>1142</v>
      </c>
      <c r="I47" s="11"/>
      <c r="J47" s="11"/>
    </row>
    <row r="48" spans="1:10" ht="54.75" customHeight="1">
      <c r="A48" s="20" t="s">
        <v>225</v>
      </c>
      <c r="B48" s="21" t="s">
        <v>226</v>
      </c>
      <c r="C48" s="14">
        <v>467.6</v>
      </c>
      <c r="D48" s="14">
        <v>94.8</v>
      </c>
      <c r="E48" s="15">
        <v>513</v>
      </c>
      <c r="F48" s="15"/>
      <c r="G48" s="14">
        <v>180</v>
      </c>
      <c r="H48" s="24">
        <v>1142</v>
      </c>
      <c r="I48" s="11"/>
      <c r="J48" s="11"/>
    </row>
    <row r="49" spans="1:10" ht="21.75" customHeight="1">
      <c r="A49" s="20" t="s">
        <v>96</v>
      </c>
      <c r="B49" s="21" t="s">
        <v>98</v>
      </c>
      <c r="C49" s="14">
        <f aca="true" t="shared" si="9" ref="C49:H49">C50+C52</f>
        <v>1902.4</v>
      </c>
      <c r="D49" s="14">
        <f t="shared" si="9"/>
        <v>1752.6999999999998</v>
      </c>
      <c r="E49" s="15">
        <f t="shared" si="9"/>
        <v>2088</v>
      </c>
      <c r="F49" s="15">
        <f t="shared" si="9"/>
        <v>0</v>
      </c>
      <c r="G49" s="15">
        <f t="shared" si="9"/>
        <v>2182</v>
      </c>
      <c r="H49" s="25">
        <f t="shared" si="9"/>
        <v>2315</v>
      </c>
      <c r="I49" s="11"/>
      <c r="J49" s="11"/>
    </row>
    <row r="50" spans="1:10" ht="21.75" customHeight="1">
      <c r="A50" s="20" t="s">
        <v>231</v>
      </c>
      <c r="B50" s="21" t="s">
        <v>232</v>
      </c>
      <c r="C50" s="14">
        <f aca="true" t="shared" si="10" ref="C50:H50">C51</f>
        <v>1694</v>
      </c>
      <c r="D50" s="14">
        <f t="shared" si="10"/>
        <v>1621.6</v>
      </c>
      <c r="E50" s="15">
        <f t="shared" si="10"/>
        <v>1875</v>
      </c>
      <c r="F50" s="15">
        <f t="shared" si="10"/>
        <v>0</v>
      </c>
      <c r="G50" s="15">
        <f t="shared" si="10"/>
        <v>1959</v>
      </c>
      <c r="H50" s="25">
        <f t="shared" si="10"/>
        <v>1795</v>
      </c>
      <c r="I50" s="11"/>
      <c r="J50" s="11"/>
    </row>
    <row r="51" spans="1:10" ht="36.75" customHeight="1">
      <c r="A51" s="20" t="s">
        <v>229</v>
      </c>
      <c r="B51" s="21" t="s">
        <v>230</v>
      </c>
      <c r="C51" s="14">
        <v>1694</v>
      </c>
      <c r="D51" s="14">
        <v>1621.6</v>
      </c>
      <c r="E51" s="15">
        <v>1875</v>
      </c>
      <c r="F51" s="15"/>
      <c r="G51" s="14">
        <v>1959</v>
      </c>
      <c r="H51" s="24">
        <v>1795</v>
      </c>
      <c r="I51" s="11"/>
      <c r="J51" s="11"/>
    </row>
    <row r="52" spans="1:10" ht="22.5" customHeight="1">
      <c r="A52" s="20" t="s">
        <v>279</v>
      </c>
      <c r="B52" s="21" t="s">
        <v>233</v>
      </c>
      <c r="C52" s="14">
        <f aca="true" t="shared" si="11" ref="C52:H52">C53</f>
        <v>208.4</v>
      </c>
      <c r="D52" s="14">
        <f t="shared" si="11"/>
        <v>131.1</v>
      </c>
      <c r="E52" s="15">
        <f t="shared" si="11"/>
        <v>213</v>
      </c>
      <c r="F52" s="15">
        <f t="shared" si="11"/>
        <v>0</v>
      </c>
      <c r="G52" s="15">
        <f t="shared" si="11"/>
        <v>223</v>
      </c>
      <c r="H52" s="25">
        <f t="shared" si="11"/>
        <v>520</v>
      </c>
      <c r="I52" s="11"/>
      <c r="J52" s="11"/>
    </row>
    <row r="53" spans="1:10" ht="36.75" customHeight="1">
      <c r="A53" s="20" t="s">
        <v>234</v>
      </c>
      <c r="B53" s="21" t="s">
        <v>235</v>
      </c>
      <c r="C53" s="42">
        <v>208.4</v>
      </c>
      <c r="D53" s="42">
        <v>131.1</v>
      </c>
      <c r="E53" s="42">
        <v>213</v>
      </c>
      <c r="F53" s="42"/>
      <c r="G53" s="42">
        <v>223</v>
      </c>
      <c r="H53" s="25">
        <v>520</v>
      </c>
      <c r="I53" s="11"/>
      <c r="J53" s="11"/>
    </row>
    <row r="54" spans="1:10" ht="24.75" customHeight="1">
      <c r="A54" s="43" t="s">
        <v>97</v>
      </c>
      <c r="B54" s="44" t="s">
        <v>180</v>
      </c>
      <c r="C54" s="16">
        <f aca="true" t="shared" si="12" ref="C54:H54">C55+C59+C57</f>
        <v>2768.7</v>
      </c>
      <c r="D54" s="16">
        <f t="shared" si="12"/>
        <v>2550.4</v>
      </c>
      <c r="E54" s="16">
        <f t="shared" si="12"/>
        <v>2617</v>
      </c>
      <c r="F54" s="16">
        <f t="shared" si="12"/>
        <v>0</v>
      </c>
      <c r="G54" s="16">
        <f t="shared" si="12"/>
        <v>2799</v>
      </c>
      <c r="H54" s="23">
        <f t="shared" si="12"/>
        <v>1486</v>
      </c>
      <c r="I54" s="11"/>
      <c r="J54" s="11"/>
    </row>
    <row r="55" spans="1:10" ht="38.25" customHeight="1">
      <c r="A55" s="33" t="s">
        <v>163</v>
      </c>
      <c r="B55" s="21" t="s">
        <v>77</v>
      </c>
      <c r="C55" s="47">
        <f aca="true" t="shared" si="13" ref="C55:H55">C56</f>
        <v>2768.7</v>
      </c>
      <c r="D55" s="47">
        <f t="shared" si="13"/>
        <v>2550.4</v>
      </c>
      <c r="E55" s="47">
        <f t="shared" si="13"/>
        <v>2612</v>
      </c>
      <c r="F55" s="47">
        <f t="shared" si="13"/>
        <v>0</v>
      </c>
      <c r="G55" s="47">
        <f t="shared" si="13"/>
        <v>2799</v>
      </c>
      <c r="H55" s="25">
        <f t="shared" si="13"/>
        <v>1486</v>
      </c>
      <c r="I55" s="11"/>
      <c r="J55" s="11"/>
    </row>
    <row r="56" spans="1:10" ht="51" customHeight="1">
      <c r="A56" s="33" t="s">
        <v>164</v>
      </c>
      <c r="B56" s="21" t="s">
        <v>127</v>
      </c>
      <c r="C56" s="14">
        <f>1484.9+523.6+760.2</f>
        <v>2768.7</v>
      </c>
      <c r="D56" s="14">
        <v>2550.4</v>
      </c>
      <c r="E56" s="15">
        <v>2612</v>
      </c>
      <c r="F56" s="15"/>
      <c r="G56" s="14">
        <v>2799</v>
      </c>
      <c r="H56" s="24">
        <v>1486</v>
      </c>
      <c r="I56" s="11"/>
      <c r="J56" s="11"/>
    </row>
    <row r="57" spans="1:10" ht="51.75" customHeight="1" hidden="1">
      <c r="A57" s="33" t="s">
        <v>115</v>
      </c>
      <c r="B57" s="21" t="s">
        <v>116</v>
      </c>
      <c r="C57" s="14">
        <f>C58</f>
        <v>0</v>
      </c>
      <c r="D57" s="14">
        <f>D58</f>
        <v>0</v>
      </c>
      <c r="E57" s="15">
        <f>E58</f>
        <v>0</v>
      </c>
      <c r="F57" s="15"/>
      <c r="G57" s="14"/>
      <c r="H57" s="24"/>
      <c r="I57" s="11"/>
      <c r="J57" s="11"/>
    </row>
    <row r="58" spans="1:10" ht="66.75" customHeight="1" hidden="1">
      <c r="A58" s="33" t="s">
        <v>128</v>
      </c>
      <c r="B58" s="21" t="s">
        <v>129</v>
      </c>
      <c r="C58" s="14"/>
      <c r="D58" s="14"/>
      <c r="E58" s="15"/>
      <c r="F58" s="15"/>
      <c r="G58" s="14"/>
      <c r="H58" s="24"/>
      <c r="I58" s="11"/>
      <c r="J58" s="11"/>
    </row>
    <row r="59" spans="1:10" ht="41.25" customHeight="1" hidden="1">
      <c r="A59" s="33" t="s">
        <v>165</v>
      </c>
      <c r="B59" s="21" t="s">
        <v>84</v>
      </c>
      <c r="C59" s="42">
        <f aca="true" t="shared" si="14" ref="C59:H59">C60</f>
        <v>0</v>
      </c>
      <c r="D59" s="42">
        <f t="shared" si="14"/>
        <v>0</v>
      </c>
      <c r="E59" s="42">
        <f t="shared" si="14"/>
        <v>5</v>
      </c>
      <c r="F59" s="42">
        <f t="shared" si="14"/>
        <v>0</v>
      </c>
      <c r="G59" s="42">
        <f t="shared" si="14"/>
        <v>0</v>
      </c>
      <c r="H59" s="25">
        <f t="shared" si="14"/>
        <v>0</v>
      </c>
      <c r="I59" s="11"/>
      <c r="J59" s="11"/>
    </row>
    <row r="60" spans="1:10" ht="36" customHeight="1" hidden="1">
      <c r="A60" s="33" t="s">
        <v>187</v>
      </c>
      <c r="B60" s="21" t="s">
        <v>188</v>
      </c>
      <c r="C60" s="14"/>
      <c r="D60" s="14"/>
      <c r="E60" s="15">
        <v>5</v>
      </c>
      <c r="F60" s="15"/>
      <c r="G60" s="14"/>
      <c r="H60" s="24"/>
      <c r="I60" s="11"/>
      <c r="J60" s="11"/>
    </row>
    <row r="61" spans="1:10" ht="64.5" customHeight="1" hidden="1">
      <c r="A61" s="33" t="s">
        <v>23</v>
      </c>
      <c r="B61" s="48" t="s">
        <v>24</v>
      </c>
      <c r="C61" s="14">
        <f>C62</f>
        <v>0</v>
      </c>
      <c r="D61" s="14">
        <f>D62</f>
        <v>0</v>
      </c>
      <c r="E61" s="15">
        <f>E62</f>
        <v>0</v>
      </c>
      <c r="F61" s="15"/>
      <c r="G61" s="14"/>
      <c r="H61" s="24"/>
      <c r="I61" s="11"/>
      <c r="J61" s="11"/>
    </row>
    <row r="62" spans="1:10" ht="89.25" customHeight="1" hidden="1">
      <c r="A62" s="49" t="s">
        <v>25</v>
      </c>
      <c r="B62" s="41" t="s">
        <v>26</v>
      </c>
      <c r="C62" s="14"/>
      <c r="D62" s="14"/>
      <c r="E62" s="15"/>
      <c r="F62" s="15"/>
      <c r="G62" s="14"/>
      <c r="H62" s="24"/>
      <c r="I62" s="11"/>
      <c r="J62" s="11"/>
    </row>
    <row r="63" spans="1:10" ht="48.75" customHeight="1">
      <c r="A63" s="43" t="s">
        <v>99</v>
      </c>
      <c r="B63" s="44" t="s">
        <v>70</v>
      </c>
      <c r="C63" s="34">
        <f aca="true" t="shared" si="15" ref="C63:H63">C64</f>
        <v>5080</v>
      </c>
      <c r="D63" s="34">
        <f t="shared" si="15"/>
        <v>5267.6</v>
      </c>
      <c r="E63" s="34">
        <f t="shared" si="15"/>
        <v>5500</v>
      </c>
      <c r="F63" s="34">
        <f t="shared" si="15"/>
        <v>0</v>
      </c>
      <c r="G63" s="34">
        <f t="shared" si="15"/>
        <v>4739.5</v>
      </c>
      <c r="H63" s="23">
        <f t="shared" si="15"/>
        <v>8067.2</v>
      </c>
      <c r="I63" s="11"/>
      <c r="J63" s="11"/>
    </row>
    <row r="64" spans="1:10" ht="93" customHeight="1">
      <c r="A64" s="33" t="s">
        <v>100</v>
      </c>
      <c r="B64" s="21" t="s">
        <v>68</v>
      </c>
      <c r="C64" s="42">
        <f aca="true" t="shared" si="16" ref="C64:H64">C65+C67</f>
        <v>5080</v>
      </c>
      <c r="D64" s="42">
        <f t="shared" si="16"/>
        <v>5267.6</v>
      </c>
      <c r="E64" s="42">
        <f t="shared" si="16"/>
        <v>5500</v>
      </c>
      <c r="F64" s="42">
        <f t="shared" si="16"/>
        <v>0</v>
      </c>
      <c r="G64" s="42">
        <f t="shared" si="16"/>
        <v>4739.5</v>
      </c>
      <c r="H64" s="25">
        <f t="shared" si="16"/>
        <v>8067.2</v>
      </c>
      <c r="I64" s="11"/>
      <c r="J64" s="11"/>
    </row>
    <row r="65" spans="1:10" ht="64.5" customHeight="1">
      <c r="A65" s="33" t="s">
        <v>101</v>
      </c>
      <c r="B65" s="21" t="s">
        <v>130</v>
      </c>
      <c r="C65" s="42">
        <f aca="true" t="shared" si="17" ref="C65:H65">C66</f>
        <v>2180</v>
      </c>
      <c r="D65" s="42">
        <f t="shared" si="17"/>
        <v>2251.9</v>
      </c>
      <c r="E65" s="42">
        <f t="shared" si="17"/>
        <v>3000</v>
      </c>
      <c r="F65" s="42">
        <f t="shared" si="17"/>
        <v>0</v>
      </c>
      <c r="G65" s="42">
        <f t="shared" si="17"/>
        <v>3200</v>
      </c>
      <c r="H65" s="25">
        <f t="shared" si="17"/>
        <v>5000</v>
      </c>
      <c r="I65" s="11"/>
      <c r="J65" s="11"/>
    </row>
    <row r="66" spans="1:10" ht="84.75" customHeight="1">
      <c r="A66" s="50" t="s">
        <v>236</v>
      </c>
      <c r="B66" s="41" t="s">
        <v>237</v>
      </c>
      <c r="C66" s="42">
        <f>2800-700+80</f>
        <v>2180</v>
      </c>
      <c r="D66" s="42">
        <v>2251.9</v>
      </c>
      <c r="E66" s="42">
        <v>3000</v>
      </c>
      <c r="F66" s="42"/>
      <c r="G66" s="42">
        <v>3200</v>
      </c>
      <c r="H66" s="25">
        <f>3200+1800</f>
        <v>5000</v>
      </c>
      <c r="I66" s="11"/>
      <c r="J66" s="11"/>
    </row>
    <row r="67" spans="1:10" ht="81" customHeight="1">
      <c r="A67" s="33" t="s">
        <v>71</v>
      </c>
      <c r="B67" s="21" t="s">
        <v>149</v>
      </c>
      <c r="C67" s="42">
        <f aca="true" t="shared" si="18" ref="C67:H67">C68</f>
        <v>2900</v>
      </c>
      <c r="D67" s="42">
        <f t="shared" si="18"/>
        <v>3015.7</v>
      </c>
      <c r="E67" s="42">
        <f t="shared" si="18"/>
        <v>2500</v>
      </c>
      <c r="F67" s="42">
        <f t="shared" si="18"/>
        <v>0</v>
      </c>
      <c r="G67" s="42">
        <f t="shared" si="18"/>
        <v>1539.5</v>
      </c>
      <c r="H67" s="25">
        <f t="shared" si="18"/>
        <v>3067.2</v>
      </c>
      <c r="I67" s="11"/>
      <c r="J67" s="11"/>
    </row>
    <row r="68" spans="1:10" ht="66.75" customHeight="1">
      <c r="A68" s="50" t="s">
        <v>238</v>
      </c>
      <c r="B68" s="41" t="s">
        <v>239</v>
      </c>
      <c r="C68" s="14">
        <f>1868.7+260+217+554.3</f>
        <v>2900</v>
      </c>
      <c r="D68" s="14">
        <v>3015.7</v>
      </c>
      <c r="E68" s="15">
        <v>2500</v>
      </c>
      <c r="F68" s="15"/>
      <c r="G68" s="14">
        <v>1539.5</v>
      </c>
      <c r="H68" s="24">
        <f>1600+150+750+217.2+350</f>
        <v>3067.2</v>
      </c>
      <c r="I68" s="11"/>
      <c r="J68" s="11"/>
    </row>
    <row r="69" spans="1:10" ht="77.25" customHeight="1" hidden="1">
      <c r="A69" s="33" t="s">
        <v>131</v>
      </c>
      <c r="B69" s="21" t="s">
        <v>138</v>
      </c>
      <c r="C69" s="14"/>
      <c r="D69" s="14"/>
      <c r="E69" s="15"/>
      <c r="F69" s="15"/>
      <c r="G69" s="14"/>
      <c r="H69" s="24"/>
      <c r="I69" s="11"/>
      <c r="J69" s="11"/>
    </row>
    <row r="70" spans="1:10" ht="83.25" customHeight="1" hidden="1">
      <c r="A70" s="33" t="s">
        <v>132</v>
      </c>
      <c r="B70" s="21" t="s">
        <v>133</v>
      </c>
      <c r="C70" s="14"/>
      <c r="D70" s="14"/>
      <c r="E70" s="15"/>
      <c r="F70" s="15"/>
      <c r="G70" s="14"/>
      <c r="H70" s="24"/>
      <c r="I70" s="11"/>
      <c r="J70" s="11"/>
    </row>
    <row r="71" spans="1:10" ht="79.5" customHeight="1" hidden="1">
      <c r="A71" s="33" t="s">
        <v>134</v>
      </c>
      <c r="B71" s="21" t="s">
        <v>137</v>
      </c>
      <c r="C71" s="14"/>
      <c r="D71" s="14"/>
      <c r="E71" s="15"/>
      <c r="F71" s="15"/>
      <c r="G71" s="14"/>
      <c r="H71" s="24"/>
      <c r="I71" s="11"/>
      <c r="J71" s="11"/>
    </row>
    <row r="72" spans="1:10" ht="24.75" customHeight="1">
      <c r="A72" s="43" t="s">
        <v>102</v>
      </c>
      <c r="B72" s="44" t="s">
        <v>82</v>
      </c>
      <c r="C72" s="34">
        <f aca="true" t="shared" si="19" ref="C72:H72">C73</f>
        <v>834.9000000000001</v>
      </c>
      <c r="D72" s="34">
        <f t="shared" si="19"/>
        <v>486</v>
      </c>
      <c r="E72" s="34">
        <f t="shared" si="19"/>
        <v>888.3000000000001</v>
      </c>
      <c r="F72" s="34">
        <f t="shared" si="19"/>
        <v>0</v>
      </c>
      <c r="G72" s="34">
        <f t="shared" si="19"/>
        <v>324.5</v>
      </c>
      <c r="H72" s="23">
        <f t="shared" si="19"/>
        <v>400.4</v>
      </c>
      <c r="I72" s="11"/>
      <c r="J72" s="11"/>
    </row>
    <row r="73" spans="1:10" ht="24.75" customHeight="1">
      <c r="A73" s="33" t="s">
        <v>103</v>
      </c>
      <c r="B73" s="21" t="s">
        <v>83</v>
      </c>
      <c r="C73" s="14">
        <f aca="true" t="shared" si="20" ref="C73:H73">C74+C75+C76+C77</f>
        <v>834.9000000000001</v>
      </c>
      <c r="D73" s="14">
        <f t="shared" si="20"/>
        <v>486</v>
      </c>
      <c r="E73" s="15">
        <f t="shared" si="20"/>
        <v>888.3000000000001</v>
      </c>
      <c r="F73" s="15">
        <f t="shared" si="20"/>
        <v>0</v>
      </c>
      <c r="G73" s="15">
        <f t="shared" si="20"/>
        <v>324.5</v>
      </c>
      <c r="H73" s="25">
        <f t="shared" si="20"/>
        <v>400.4</v>
      </c>
      <c r="I73" s="11"/>
      <c r="J73" s="11"/>
    </row>
    <row r="74" spans="1:10" ht="32.25" customHeight="1">
      <c r="A74" s="33" t="s">
        <v>191</v>
      </c>
      <c r="B74" s="21" t="s">
        <v>196</v>
      </c>
      <c r="C74" s="14">
        <v>273.5</v>
      </c>
      <c r="D74" s="14">
        <v>161</v>
      </c>
      <c r="E74" s="15">
        <f>260.9+9</f>
        <v>269.9</v>
      </c>
      <c r="F74" s="15"/>
      <c r="G74" s="14">
        <v>53.9</v>
      </c>
      <c r="H74" s="24">
        <f>112.2+47.8+5</f>
        <v>165</v>
      </c>
      <c r="I74" s="11"/>
      <c r="J74" s="11"/>
    </row>
    <row r="75" spans="1:10" ht="27.75" customHeight="1" hidden="1">
      <c r="A75" s="33" t="s">
        <v>192</v>
      </c>
      <c r="B75" s="21" t="s">
        <v>197</v>
      </c>
      <c r="C75" s="14">
        <f>1+9.4+2</f>
        <v>12.4</v>
      </c>
      <c r="D75" s="14">
        <v>11.7</v>
      </c>
      <c r="E75" s="15"/>
      <c r="F75" s="15"/>
      <c r="G75" s="14"/>
      <c r="H75" s="24"/>
      <c r="I75" s="11"/>
      <c r="J75" s="11"/>
    </row>
    <row r="76" spans="1:10" ht="24.75" customHeight="1">
      <c r="A76" s="33" t="s">
        <v>194</v>
      </c>
      <c r="B76" s="21" t="s">
        <v>276</v>
      </c>
      <c r="C76" s="14">
        <v>144.8</v>
      </c>
      <c r="D76" s="14">
        <v>61.1</v>
      </c>
      <c r="E76" s="15">
        <f>9.4+150+5.8</f>
        <v>165.20000000000002</v>
      </c>
      <c r="F76" s="15"/>
      <c r="G76" s="14">
        <v>10.5</v>
      </c>
      <c r="H76" s="24">
        <v>118.2</v>
      </c>
      <c r="I76" s="11"/>
      <c r="J76" s="11"/>
    </row>
    <row r="77" spans="1:10" ht="23.25" customHeight="1">
      <c r="A77" s="33" t="s">
        <v>193</v>
      </c>
      <c r="B77" s="21" t="s">
        <v>195</v>
      </c>
      <c r="C77" s="14">
        <f>415.6-9.4-2</f>
        <v>404.20000000000005</v>
      </c>
      <c r="D77" s="14">
        <v>252.2</v>
      </c>
      <c r="E77" s="15">
        <f>603.2-150</f>
        <v>453.20000000000005</v>
      </c>
      <c r="F77" s="15"/>
      <c r="G77" s="14">
        <v>260.1</v>
      </c>
      <c r="H77" s="24">
        <f>H78+H79</f>
        <v>117.2</v>
      </c>
      <c r="I77" s="11"/>
      <c r="J77" s="11"/>
    </row>
    <row r="78" spans="1:10" ht="23.25" customHeight="1">
      <c r="A78" s="33" t="s">
        <v>362</v>
      </c>
      <c r="B78" s="21" t="s">
        <v>360</v>
      </c>
      <c r="C78" s="14"/>
      <c r="D78" s="14"/>
      <c r="E78" s="15"/>
      <c r="F78" s="15"/>
      <c r="G78" s="14"/>
      <c r="H78" s="24">
        <f>23.1+59.9+34.2</f>
        <v>117.2</v>
      </c>
      <c r="I78" s="11"/>
      <c r="J78" s="11"/>
    </row>
    <row r="79" spans="1:10" ht="23.25" customHeight="1" hidden="1">
      <c r="A79" s="33" t="s">
        <v>363</v>
      </c>
      <c r="B79" s="21" t="s">
        <v>361</v>
      </c>
      <c r="C79" s="14"/>
      <c r="D79" s="14"/>
      <c r="E79" s="15"/>
      <c r="F79" s="15"/>
      <c r="G79" s="14"/>
      <c r="H79" s="24"/>
      <c r="I79" s="11"/>
      <c r="J79" s="11"/>
    </row>
    <row r="80" spans="1:10" ht="36.75" customHeight="1">
      <c r="A80" s="43" t="s">
        <v>142</v>
      </c>
      <c r="B80" s="44" t="s">
        <v>198</v>
      </c>
      <c r="C80" s="34">
        <f>C88</f>
        <v>44</v>
      </c>
      <c r="D80" s="34">
        <f>D88</f>
        <v>72</v>
      </c>
      <c r="E80" s="34">
        <f>E81+E84</f>
        <v>429</v>
      </c>
      <c r="F80" s="34">
        <f>F81+F84</f>
        <v>0</v>
      </c>
      <c r="G80" s="34">
        <f>G81+G84</f>
        <v>0</v>
      </c>
      <c r="H80" s="23">
        <f>H81+H84</f>
        <v>782.9</v>
      </c>
      <c r="I80" s="11"/>
      <c r="J80" s="11"/>
    </row>
    <row r="81" spans="1:10" ht="24.75" customHeight="1">
      <c r="A81" s="33" t="s">
        <v>27</v>
      </c>
      <c r="B81" s="21" t="s">
        <v>28</v>
      </c>
      <c r="C81" s="34"/>
      <c r="D81" s="34"/>
      <c r="E81" s="42">
        <f aca="true" t="shared" si="21" ref="E81:H82">E82</f>
        <v>369.2</v>
      </c>
      <c r="F81" s="42">
        <f t="shared" si="21"/>
        <v>0</v>
      </c>
      <c r="G81" s="42">
        <f t="shared" si="21"/>
        <v>0</v>
      </c>
      <c r="H81" s="25">
        <f t="shared" si="21"/>
        <v>610</v>
      </c>
      <c r="I81" s="11"/>
      <c r="J81" s="11"/>
    </row>
    <row r="82" spans="1:10" ht="23.25" customHeight="1">
      <c r="A82" s="33" t="s">
        <v>199</v>
      </c>
      <c r="B82" s="21" t="s">
        <v>203</v>
      </c>
      <c r="C82" s="42"/>
      <c r="D82" s="42"/>
      <c r="E82" s="42">
        <f t="shared" si="21"/>
        <v>369.2</v>
      </c>
      <c r="F82" s="42">
        <f t="shared" si="21"/>
        <v>0</v>
      </c>
      <c r="G82" s="42">
        <f t="shared" si="21"/>
        <v>0</v>
      </c>
      <c r="H82" s="25">
        <f t="shared" si="21"/>
        <v>610</v>
      </c>
      <c r="I82" s="11"/>
      <c r="J82" s="11"/>
    </row>
    <row r="83" spans="1:10" ht="34.5" customHeight="1">
      <c r="A83" s="33" t="s">
        <v>29</v>
      </c>
      <c r="B83" s="21" t="s">
        <v>30</v>
      </c>
      <c r="C83" s="42"/>
      <c r="D83" s="42"/>
      <c r="E83" s="42">
        <f>281.5+87.7</f>
        <v>369.2</v>
      </c>
      <c r="F83" s="42"/>
      <c r="G83" s="42"/>
      <c r="H83" s="25">
        <v>610</v>
      </c>
      <c r="I83" s="11"/>
      <c r="J83" s="11"/>
    </row>
    <row r="84" spans="1:10" ht="24.75" customHeight="1" hidden="1">
      <c r="A84" s="33" t="s">
        <v>200</v>
      </c>
      <c r="B84" s="21" t="s">
        <v>213</v>
      </c>
      <c r="C84" s="24">
        <f aca="true" t="shared" si="22" ref="C84:H84">C85+C87</f>
        <v>44</v>
      </c>
      <c r="D84" s="24">
        <f t="shared" si="22"/>
        <v>72</v>
      </c>
      <c r="E84" s="42">
        <f t="shared" si="22"/>
        <v>59.8</v>
      </c>
      <c r="F84" s="42">
        <f t="shared" si="22"/>
        <v>0</v>
      </c>
      <c r="G84" s="42">
        <f t="shared" si="22"/>
        <v>0</v>
      </c>
      <c r="H84" s="25">
        <f t="shared" si="22"/>
        <v>172.9</v>
      </c>
      <c r="I84" s="11"/>
      <c r="J84" s="11"/>
    </row>
    <row r="85" spans="1:10" ht="33" customHeight="1" hidden="1">
      <c r="A85" s="33" t="s">
        <v>201</v>
      </c>
      <c r="B85" s="21" t="s">
        <v>206</v>
      </c>
      <c r="C85" s="42"/>
      <c r="D85" s="42"/>
      <c r="E85" s="42"/>
      <c r="F85" s="42"/>
      <c r="G85" s="42"/>
      <c r="H85" s="25"/>
      <c r="I85" s="11"/>
      <c r="J85" s="11"/>
    </row>
    <row r="86" spans="1:10" ht="45.75" customHeight="1" hidden="1">
      <c r="A86" s="33" t="s">
        <v>31</v>
      </c>
      <c r="B86" s="21" t="s">
        <v>32</v>
      </c>
      <c r="C86" s="42"/>
      <c r="D86" s="42"/>
      <c r="E86" s="42"/>
      <c r="F86" s="42"/>
      <c r="G86" s="42"/>
      <c r="H86" s="25"/>
      <c r="I86" s="11"/>
      <c r="J86" s="11"/>
    </row>
    <row r="87" spans="1:10" ht="21" customHeight="1">
      <c r="A87" s="33" t="s">
        <v>202</v>
      </c>
      <c r="B87" s="21" t="s">
        <v>205</v>
      </c>
      <c r="C87" s="42">
        <f aca="true" t="shared" si="23" ref="C87:H87">C88</f>
        <v>44</v>
      </c>
      <c r="D87" s="42">
        <f t="shared" si="23"/>
        <v>72</v>
      </c>
      <c r="E87" s="42">
        <f t="shared" si="23"/>
        <v>59.8</v>
      </c>
      <c r="F87" s="42">
        <f t="shared" si="23"/>
        <v>0</v>
      </c>
      <c r="G87" s="42">
        <f t="shared" si="23"/>
        <v>0</v>
      </c>
      <c r="H87" s="25">
        <f t="shared" si="23"/>
        <v>172.9</v>
      </c>
      <c r="I87" s="11"/>
      <c r="J87" s="11"/>
    </row>
    <row r="88" spans="1:10" ht="36.75" customHeight="1">
      <c r="A88" s="33" t="s">
        <v>266</v>
      </c>
      <c r="B88" s="21" t="s">
        <v>267</v>
      </c>
      <c r="C88" s="14">
        <f>0.5+10.5+33</f>
        <v>44</v>
      </c>
      <c r="D88" s="14">
        <v>72</v>
      </c>
      <c r="E88" s="15">
        <f>3.9+55.9</f>
        <v>59.8</v>
      </c>
      <c r="F88" s="15"/>
      <c r="G88" s="14"/>
      <c r="H88" s="24">
        <f>170.6+2.3</f>
        <v>172.9</v>
      </c>
      <c r="I88" s="11"/>
      <c r="J88" s="11"/>
    </row>
    <row r="89" spans="1:10" ht="32.25" customHeight="1">
      <c r="A89" s="43" t="s">
        <v>143</v>
      </c>
      <c r="B89" s="44" t="s">
        <v>144</v>
      </c>
      <c r="C89" s="34">
        <f aca="true" t="shared" si="24" ref="C89:H89">C90+C98</f>
        <v>4675.4</v>
      </c>
      <c r="D89" s="34">
        <f t="shared" si="24"/>
        <v>4696.5</v>
      </c>
      <c r="E89" s="34">
        <f t="shared" si="24"/>
        <v>5029</v>
      </c>
      <c r="F89" s="34">
        <f t="shared" si="24"/>
        <v>0</v>
      </c>
      <c r="G89" s="34">
        <f t="shared" si="24"/>
        <v>2100</v>
      </c>
      <c r="H89" s="23">
        <f t="shared" si="24"/>
        <v>2100</v>
      </c>
      <c r="I89" s="11"/>
      <c r="J89" s="11"/>
    </row>
    <row r="90" spans="1:10" ht="78.75" customHeight="1">
      <c r="A90" s="51" t="s">
        <v>145</v>
      </c>
      <c r="B90" s="21" t="s">
        <v>272</v>
      </c>
      <c r="C90" s="42">
        <f aca="true" t="shared" si="25" ref="C90:H90">C93+C97</f>
        <v>4629</v>
      </c>
      <c r="D90" s="42">
        <f t="shared" si="25"/>
        <v>4627.3</v>
      </c>
      <c r="E90" s="42">
        <f t="shared" si="25"/>
        <v>2508.6</v>
      </c>
      <c r="F90" s="42">
        <f t="shared" si="25"/>
        <v>0</v>
      </c>
      <c r="G90" s="42">
        <f t="shared" si="25"/>
        <v>2000</v>
      </c>
      <c r="H90" s="25">
        <f t="shared" si="25"/>
        <v>2000</v>
      </c>
      <c r="I90" s="11"/>
      <c r="J90" s="11"/>
    </row>
    <row r="91" spans="1:10" ht="90" customHeight="1" hidden="1">
      <c r="A91" s="51" t="s">
        <v>33</v>
      </c>
      <c r="B91" s="21" t="s">
        <v>34</v>
      </c>
      <c r="C91" s="42"/>
      <c r="D91" s="42"/>
      <c r="E91" s="42"/>
      <c r="F91" s="42"/>
      <c r="G91" s="42"/>
      <c r="H91" s="25"/>
      <c r="I91" s="11"/>
      <c r="J91" s="11"/>
    </row>
    <row r="92" spans="1:10" ht="76.5" hidden="1">
      <c r="A92" s="51" t="s">
        <v>35</v>
      </c>
      <c r="B92" s="21" t="s">
        <v>36</v>
      </c>
      <c r="C92" s="42"/>
      <c r="D92" s="42"/>
      <c r="E92" s="42"/>
      <c r="F92" s="42"/>
      <c r="G92" s="42"/>
      <c r="H92" s="25"/>
      <c r="I92" s="11"/>
      <c r="J92" s="11"/>
    </row>
    <row r="93" spans="1:10" ht="88.5" customHeight="1">
      <c r="A93" s="51" t="s">
        <v>240</v>
      </c>
      <c r="B93" s="41" t="s">
        <v>241</v>
      </c>
      <c r="C93" s="42">
        <f>210+2000+2329+90</f>
        <v>4629</v>
      </c>
      <c r="D93" s="42">
        <v>4627.3</v>
      </c>
      <c r="E93" s="42">
        <f>1000+1508.6</f>
        <v>2508.6</v>
      </c>
      <c r="F93" s="42"/>
      <c r="G93" s="42">
        <v>2000</v>
      </c>
      <c r="H93" s="25">
        <v>2000</v>
      </c>
      <c r="I93" s="11"/>
      <c r="J93" s="11"/>
    </row>
    <row r="94" spans="1:10" ht="38.25" hidden="1">
      <c r="A94" s="51" t="s">
        <v>37</v>
      </c>
      <c r="B94" s="41" t="s">
        <v>38</v>
      </c>
      <c r="C94" s="42"/>
      <c r="D94" s="42"/>
      <c r="E94" s="42"/>
      <c r="F94" s="42"/>
      <c r="G94" s="42"/>
      <c r="H94" s="25"/>
      <c r="I94" s="11"/>
      <c r="J94" s="11"/>
    </row>
    <row r="95" spans="1:10" ht="76.5" hidden="1">
      <c r="A95" s="51" t="s">
        <v>39</v>
      </c>
      <c r="B95" s="41" t="s">
        <v>40</v>
      </c>
      <c r="C95" s="42"/>
      <c r="D95" s="42"/>
      <c r="E95" s="42"/>
      <c r="F95" s="42"/>
      <c r="G95" s="42"/>
      <c r="H95" s="25"/>
      <c r="I95" s="11"/>
      <c r="J95" s="11"/>
    </row>
    <row r="96" spans="1:10" ht="76.5" hidden="1">
      <c r="A96" s="51" t="s">
        <v>41</v>
      </c>
      <c r="B96" s="41" t="s">
        <v>42</v>
      </c>
      <c r="C96" s="42"/>
      <c r="D96" s="42"/>
      <c r="E96" s="42"/>
      <c r="F96" s="42"/>
      <c r="G96" s="42"/>
      <c r="H96" s="25"/>
      <c r="I96" s="11"/>
      <c r="J96" s="11"/>
    </row>
    <row r="97" spans="1:10" ht="76.5" hidden="1">
      <c r="A97" s="51" t="s">
        <v>242</v>
      </c>
      <c r="B97" s="41" t="s">
        <v>243</v>
      </c>
      <c r="C97" s="42"/>
      <c r="D97" s="42"/>
      <c r="E97" s="42"/>
      <c r="F97" s="42"/>
      <c r="G97" s="42"/>
      <c r="H97" s="25"/>
      <c r="I97" s="11"/>
      <c r="J97" s="11"/>
    </row>
    <row r="98" spans="1:10" ht="39.75" customHeight="1">
      <c r="A98" s="51" t="s">
        <v>146</v>
      </c>
      <c r="B98" s="41" t="s">
        <v>271</v>
      </c>
      <c r="C98" s="42">
        <f>C99</f>
        <v>46.4</v>
      </c>
      <c r="D98" s="42">
        <f>D99</f>
        <v>69.2</v>
      </c>
      <c r="E98" s="42">
        <f>E99+E101</f>
        <v>2520.4</v>
      </c>
      <c r="F98" s="42">
        <f>F99+F101</f>
        <v>0</v>
      </c>
      <c r="G98" s="42">
        <f>G99+G101</f>
        <v>100</v>
      </c>
      <c r="H98" s="25">
        <f>H99+H101</f>
        <v>100</v>
      </c>
      <c r="I98" s="11"/>
      <c r="J98" s="11"/>
    </row>
    <row r="99" spans="1:10" ht="37.5" customHeight="1">
      <c r="A99" s="51" t="s">
        <v>147</v>
      </c>
      <c r="B99" s="41" t="s">
        <v>214</v>
      </c>
      <c r="C99" s="42">
        <f>C100</f>
        <v>46.4</v>
      </c>
      <c r="D99" s="42">
        <f>D100</f>
        <v>69.2</v>
      </c>
      <c r="E99" s="42">
        <f>E100</f>
        <v>2520.4</v>
      </c>
      <c r="F99" s="42">
        <f>F100</f>
        <v>0</v>
      </c>
      <c r="G99" s="42">
        <f>G100</f>
        <v>100</v>
      </c>
      <c r="H99" s="25">
        <f>H100</f>
        <v>100</v>
      </c>
      <c r="I99" s="11"/>
      <c r="J99" s="11"/>
    </row>
    <row r="100" spans="1:10" ht="50.25" customHeight="1">
      <c r="A100" s="51" t="s">
        <v>244</v>
      </c>
      <c r="B100" s="41" t="s">
        <v>245</v>
      </c>
      <c r="C100" s="42">
        <f>23+23.4</f>
        <v>46.4</v>
      </c>
      <c r="D100" s="42">
        <v>69.2</v>
      </c>
      <c r="E100" s="42">
        <f>100+1000+163+1257.4</f>
        <v>2520.4</v>
      </c>
      <c r="F100" s="42"/>
      <c r="G100" s="42">
        <v>100</v>
      </c>
      <c r="H100" s="25">
        <v>100</v>
      </c>
      <c r="I100" s="11"/>
      <c r="J100" s="11"/>
    </row>
    <row r="101" spans="1:10" ht="50.25" customHeight="1" hidden="1">
      <c r="A101" s="51" t="s">
        <v>248</v>
      </c>
      <c r="B101" s="41" t="s">
        <v>249</v>
      </c>
      <c r="C101" s="42">
        <f>C102</f>
        <v>74.6</v>
      </c>
      <c r="D101" s="42"/>
      <c r="E101" s="42">
        <f>E102</f>
        <v>0</v>
      </c>
      <c r="F101" s="42"/>
      <c r="G101" s="42"/>
      <c r="H101" s="25"/>
      <c r="I101" s="11"/>
      <c r="J101" s="11"/>
    </row>
    <row r="102" spans="1:10" ht="51" customHeight="1" hidden="1">
      <c r="A102" s="51" t="s">
        <v>246</v>
      </c>
      <c r="B102" s="41" t="s">
        <v>247</v>
      </c>
      <c r="C102" s="42">
        <f>98-23.4</f>
        <v>74.6</v>
      </c>
      <c r="D102" s="42"/>
      <c r="E102" s="42"/>
      <c r="F102" s="42"/>
      <c r="G102" s="42"/>
      <c r="H102" s="25"/>
      <c r="I102" s="11"/>
      <c r="J102" s="11"/>
    </row>
    <row r="103" spans="1:10" ht="20.25" customHeight="1">
      <c r="A103" s="43" t="s">
        <v>104</v>
      </c>
      <c r="B103" s="44" t="s">
        <v>105</v>
      </c>
      <c r="C103" s="34">
        <f>C104+C107+C108+C115+C121+C122+C126+C129+C131+C132</f>
        <v>2846.7</v>
      </c>
      <c r="D103" s="34">
        <f>D104+D107+D108+D115+D121+D122+D126+D129+D131+D132</f>
        <v>2337.2</v>
      </c>
      <c r="E103" s="34">
        <f>E104+E107+E108+E115+E121+E122+E126+E129+E131+E132+E111</f>
        <v>17283.9</v>
      </c>
      <c r="F103" s="34">
        <f>F104+F107+F108+F115+F121+F122+F126+F129+F131+F132+F111</f>
        <v>0</v>
      </c>
      <c r="G103" s="34">
        <f>G104+G107+G108+G115+G121+G122+G126+G129+G131+G132+G111</f>
        <v>6877.6</v>
      </c>
      <c r="H103" s="23">
        <f>H104+H107+H108+H115+H121+H122+H126+H129+H131+H132+H111</f>
        <v>2461.199999999999</v>
      </c>
      <c r="I103" s="11"/>
      <c r="J103" s="11"/>
    </row>
    <row r="104" spans="1:10" ht="36" customHeight="1">
      <c r="A104" s="33" t="s">
        <v>106</v>
      </c>
      <c r="B104" s="21" t="s">
        <v>107</v>
      </c>
      <c r="C104" s="42">
        <f aca="true" t="shared" si="26" ref="C104:H104">C105+C106</f>
        <v>75.6</v>
      </c>
      <c r="D104" s="42">
        <f t="shared" si="26"/>
        <v>75.3</v>
      </c>
      <c r="E104" s="42">
        <f t="shared" si="26"/>
        <v>44</v>
      </c>
      <c r="F104" s="42">
        <f t="shared" si="26"/>
        <v>0</v>
      </c>
      <c r="G104" s="42">
        <f t="shared" si="26"/>
        <v>90</v>
      </c>
      <c r="H104" s="25">
        <f t="shared" si="26"/>
        <v>93.1</v>
      </c>
      <c r="I104" s="11"/>
      <c r="J104" s="11"/>
    </row>
    <row r="105" spans="1:10" ht="73.5" customHeight="1">
      <c r="A105" s="33" t="s">
        <v>156</v>
      </c>
      <c r="B105" s="21" t="s">
        <v>347</v>
      </c>
      <c r="C105" s="14">
        <f>38.6+3+12.5+14.1+1.8</f>
        <v>70</v>
      </c>
      <c r="D105" s="14">
        <v>72</v>
      </c>
      <c r="E105" s="15">
        <f>30+13</f>
        <v>43</v>
      </c>
      <c r="F105" s="15"/>
      <c r="G105" s="14">
        <v>89</v>
      </c>
      <c r="H105" s="24">
        <v>89</v>
      </c>
      <c r="I105" s="11"/>
      <c r="J105" s="11"/>
    </row>
    <row r="106" spans="1:10" ht="62.25" customHeight="1">
      <c r="A106" s="33" t="s">
        <v>72</v>
      </c>
      <c r="B106" s="21" t="s">
        <v>73</v>
      </c>
      <c r="C106" s="14">
        <v>5.6</v>
      </c>
      <c r="D106" s="14">
        <v>3.3</v>
      </c>
      <c r="E106" s="15">
        <f>0.5+0.5</f>
        <v>1</v>
      </c>
      <c r="F106" s="15"/>
      <c r="G106" s="14">
        <v>1</v>
      </c>
      <c r="H106" s="24">
        <f>1+1+1+1.1</f>
        <v>4.1</v>
      </c>
      <c r="I106" s="11"/>
      <c r="J106" s="11"/>
    </row>
    <row r="107" spans="1:10" ht="63.75" customHeight="1">
      <c r="A107" s="33" t="s">
        <v>157</v>
      </c>
      <c r="B107" s="21" t="s">
        <v>78</v>
      </c>
      <c r="C107" s="42">
        <f>10+5+16+14+10+10+10</f>
        <v>75</v>
      </c>
      <c r="D107" s="42">
        <v>75</v>
      </c>
      <c r="E107" s="42">
        <v>70</v>
      </c>
      <c r="F107" s="42"/>
      <c r="G107" s="42">
        <v>70</v>
      </c>
      <c r="H107" s="25">
        <v>70</v>
      </c>
      <c r="I107" s="11"/>
      <c r="J107" s="11"/>
    </row>
    <row r="108" spans="1:10" ht="65.25" customHeight="1">
      <c r="A108" s="33" t="s">
        <v>121</v>
      </c>
      <c r="B108" s="21" t="s">
        <v>122</v>
      </c>
      <c r="C108" s="24">
        <f aca="true" t="shared" si="27" ref="C108:H108">C109+C110</f>
        <v>160</v>
      </c>
      <c r="D108" s="24">
        <f t="shared" si="27"/>
        <v>160</v>
      </c>
      <c r="E108" s="42">
        <f t="shared" si="27"/>
        <v>105</v>
      </c>
      <c r="F108" s="42">
        <f t="shared" si="27"/>
        <v>0</v>
      </c>
      <c r="G108" s="42">
        <f t="shared" si="27"/>
        <v>30</v>
      </c>
      <c r="H108" s="25">
        <f t="shared" si="27"/>
        <v>83.5</v>
      </c>
      <c r="I108" s="11"/>
      <c r="J108" s="11"/>
    </row>
    <row r="109" spans="1:10" ht="63.75" customHeight="1">
      <c r="A109" s="33" t="s">
        <v>64</v>
      </c>
      <c r="B109" s="21" t="s">
        <v>66</v>
      </c>
      <c r="C109" s="14">
        <f>30+130</f>
        <v>160</v>
      </c>
      <c r="D109" s="14">
        <v>160</v>
      </c>
      <c r="E109" s="15">
        <f>10+75</f>
        <v>85</v>
      </c>
      <c r="F109" s="15"/>
      <c r="G109" s="14">
        <v>10</v>
      </c>
      <c r="H109" s="24">
        <f>10+30+20.1+3.4</f>
        <v>63.5</v>
      </c>
      <c r="I109" s="11"/>
      <c r="J109" s="11"/>
    </row>
    <row r="110" spans="1:10" ht="52.5" customHeight="1">
      <c r="A110" s="33" t="s">
        <v>65</v>
      </c>
      <c r="B110" s="21" t="s">
        <v>67</v>
      </c>
      <c r="C110" s="14">
        <f>40-40</f>
        <v>0</v>
      </c>
      <c r="D110" s="14"/>
      <c r="E110" s="15">
        <v>20</v>
      </c>
      <c r="F110" s="15"/>
      <c r="G110" s="14">
        <v>20</v>
      </c>
      <c r="H110" s="24">
        <v>20</v>
      </c>
      <c r="I110" s="11"/>
      <c r="J110" s="11"/>
    </row>
    <row r="111" spans="1:10" ht="39.75" customHeight="1">
      <c r="A111" s="33" t="s">
        <v>43</v>
      </c>
      <c r="B111" s="21" t="s">
        <v>44</v>
      </c>
      <c r="C111" s="14"/>
      <c r="D111" s="14"/>
      <c r="E111" s="15">
        <f>E112</f>
        <v>4.9</v>
      </c>
      <c r="F111" s="15">
        <f>F112</f>
        <v>0</v>
      </c>
      <c r="G111" s="15">
        <f>G112</f>
        <v>5</v>
      </c>
      <c r="H111" s="25">
        <f>H112</f>
        <v>5</v>
      </c>
      <c r="I111" s="11"/>
      <c r="J111" s="11"/>
    </row>
    <row r="112" spans="1:10" ht="35.25" customHeight="1">
      <c r="A112" s="33" t="s">
        <v>45</v>
      </c>
      <c r="B112" s="21" t="s">
        <v>46</v>
      </c>
      <c r="C112" s="14"/>
      <c r="D112" s="14"/>
      <c r="E112" s="15">
        <v>4.9</v>
      </c>
      <c r="F112" s="15"/>
      <c r="G112" s="14">
        <v>5</v>
      </c>
      <c r="H112" s="24">
        <v>5</v>
      </c>
      <c r="I112" s="11"/>
      <c r="J112" s="11"/>
    </row>
    <row r="113" spans="1:10" ht="52.5" customHeight="1" hidden="1">
      <c r="A113" s="33" t="s">
        <v>281</v>
      </c>
      <c r="B113" s="21" t="s">
        <v>280</v>
      </c>
      <c r="C113" s="14"/>
      <c r="D113" s="14"/>
      <c r="E113" s="15"/>
      <c r="F113" s="15"/>
      <c r="G113" s="14"/>
      <c r="H113" s="24"/>
      <c r="I113" s="11"/>
      <c r="J113" s="11"/>
    </row>
    <row r="114" spans="1:10" ht="52.5" customHeight="1" hidden="1">
      <c r="A114" s="33" t="s">
        <v>260</v>
      </c>
      <c r="B114" s="21" t="s">
        <v>261</v>
      </c>
      <c r="C114" s="14"/>
      <c r="D114" s="14"/>
      <c r="E114" s="15"/>
      <c r="F114" s="15"/>
      <c r="G114" s="14"/>
      <c r="H114" s="24"/>
      <c r="I114" s="11"/>
      <c r="J114" s="11"/>
    </row>
    <row r="115" spans="1:10" ht="108" customHeight="1">
      <c r="A115" s="33" t="s">
        <v>204</v>
      </c>
      <c r="B115" s="21" t="s">
        <v>210</v>
      </c>
      <c r="C115" s="42">
        <f aca="true" t="shared" si="28" ref="C115:H115">C116+C117+C118+C119</f>
        <v>365</v>
      </c>
      <c r="D115" s="42">
        <f t="shared" si="28"/>
        <v>245</v>
      </c>
      <c r="E115" s="42">
        <f t="shared" si="28"/>
        <v>310</v>
      </c>
      <c r="F115" s="42">
        <f t="shared" si="28"/>
        <v>0</v>
      </c>
      <c r="G115" s="42">
        <f t="shared" si="28"/>
        <v>480</v>
      </c>
      <c r="H115" s="25">
        <f t="shared" si="28"/>
        <v>140</v>
      </c>
      <c r="I115" s="11"/>
      <c r="J115" s="11"/>
    </row>
    <row r="116" spans="1:10" ht="41.25" customHeight="1" hidden="1">
      <c r="A116" s="33" t="s">
        <v>158</v>
      </c>
      <c r="B116" s="21" t="s">
        <v>277</v>
      </c>
      <c r="C116" s="14">
        <v>110</v>
      </c>
      <c r="D116" s="14"/>
      <c r="E116" s="15"/>
      <c r="F116" s="15"/>
      <c r="G116" s="14"/>
      <c r="H116" s="24"/>
      <c r="I116" s="11"/>
      <c r="J116" s="11"/>
    </row>
    <row r="117" spans="1:10" ht="37.5" customHeight="1">
      <c r="A117" s="33" t="s">
        <v>208</v>
      </c>
      <c r="B117" s="52" t="s">
        <v>209</v>
      </c>
      <c r="C117" s="14">
        <f>85+15</f>
        <v>100</v>
      </c>
      <c r="D117" s="14">
        <v>100</v>
      </c>
      <c r="E117" s="15">
        <f>200</f>
        <v>200</v>
      </c>
      <c r="F117" s="15"/>
      <c r="G117" s="14">
        <v>250</v>
      </c>
      <c r="H117" s="24">
        <v>10</v>
      </c>
      <c r="I117" s="11"/>
      <c r="J117" s="11"/>
    </row>
    <row r="118" spans="1:10" ht="37.5" customHeight="1">
      <c r="A118" s="33" t="s">
        <v>170</v>
      </c>
      <c r="B118" s="21" t="s">
        <v>171</v>
      </c>
      <c r="C118" s="14">
        <f>35+25+60+5+5+15-5</f>
        <v>140</v>
      </c>
      <c r="D118" s="14">
        <v>145</v>
      </c>
      <c r="E118" s="15">
        <f>30+50+10</f>
        <v>90</v>
      </c>
      <c r="F118" s="15"/>
      <c r="G118" s="14">
        <v>210</v>
      </c>
      <c r="H118" s="24">
        <v>110</v>
      </c>
      <c r="I118" s="11"/>
      <c r="J118" s="11"/>
    </row>
    <row r="119" spans="1:10" ht="39" customHeight="1">
      <c r="A119" s="33" t="s">
        <v>215</v>
      </c>
      <c r="B119" s="21" t="s">
        <v>216</v>
      </c>
      <c r="C119" s="24">
        <f>C120</f>
        <v>15</v>
      </c>
      <c r="D119" s="24"/>
      <c r="E119" s="42">
        <f>E120</f>
        <v>20</v>
      </c>
      <c r="F119" s="42">
        <f>F120</f>
        <v>0</v>
      </c>
      <c r="G119" s="42">
        <f>G120</f>
        <v>20</v>
      </c>
      <c r="H119" s="25">
        <f>H120</f>
        <v>20</v>
      </c>
      <c r="I119" s="11"/>
      <c r="J119" s="11"/>
    </row>
    <row r="120" spans="1:10" ht="50.25" customHeight="1">
      <c r="A120" s="33" t="s">
        <v>258</v>
      </c>
      <c r="B120" s="21" t="s">
        <v>259</v>
      </c>
      <c r="C120" s="14">
        <v>15</v>
      </c>
      <c r="D120" s="14"/>
      <c r="E120" s="15">
        <v>20</v>
      </c>
      <c r="F120" s="15"/>
      <c r="G120" s="14">
        <v>20</v>
      </c>
      <c r="H120" s="24">
        <v>20</v>
      </c>
      <c r="I120" s="11"/>
      <c r="J120" s="11"/>
    </row>
    <row r="121" spans="1:10" ht="60.75" customHeight="1">
      <c r="A121" s="33" t="s">
        <v>123</v>
      </c>
      <c r="B121" s="21" t="s">
        <v>124</v>
      </c>
      <c r="C121" s="42">
        <v>598.5</v>
      </c>
      <c r="D121" s="42">
        <v>263</v>
      </c>
      <c r="E121" s="42">
        <v>350</v>
      </c>
      <c r="F121" s="42"/>
      <c r="G121" s="42">
        <v>370</v>
      </c>
      <c r="H121" s="25">
        <v>180</v>
      </c>
      <c r="I121" s="11"/>
      <c r="J121" s="11"/>
    </row>
    <row r="122" spans="1:10" ht="39" customHeight="1">
      <c r="A122" s="33" t="s">
        <v>109</v>
      </c>
      <c r="B122" s="21" t="s">
        <v>152</v>
      </c>
      <c r="C122" s="14">
        <f>C124+C125</f>
        <v>0.30000000000000004</v>
      </c>
      <c r="D122" s="14">
        <f>D124+D125</f>
        <v>0.3</v>
      </c>
      <c r="E122" s="15">
        <f>E124+E125</f>
        <v>0</v>
      </c>
      <c r="F122" s="15"/>
      <c r="G122" s="14"/>
      <c r="H122" s="24">
        <f>SUM(H123:H125)</f>
        <v>26.7</v>
      </c>
      <c r="I122" s="11"/>
      <c r="J122" s="11"/>
    </row>
    <row r="123" spans="1:10" ht="52.5" customHeight="1" hidden="1">
      <c r="A123" s="33" t="s">
        <v>47</v>
      </c>
      <c r="B123" s="21" t="s">
        <v>48</v>
      </c>
      <c r="C123" s="14"/>
      <c r="D123" s="14"/>
      <c r="E123" s="15"/>
      <c r="F123" s="15"/>
      <c r="G123" s="14"/>
      <c r="H123" s="24"/>
      <c r="I123" s="11"/>
      <c r="J123" s="11"/>
    </row>
    <row r="124" spans="1:10" ht="62.25" customHeight="1" hidden="1">
      <c r="A124" s="33" t="s">
        <v>250</v>
      </c>
      <c r="B124" s="21" t="s">
        <v>251</v>
      </c>
      <c r="C124" s="14">
        <f>1+179-180</f>
        <v>0</v>
      </c>
      <c r="D124" s="14"/>
      <c r="E124" s="15"/>
      <c r="F124" s="15"/>
      <c r="G124" s="14"/>
      <c r="H124" s="24"/>
      <c r="I124" s="11"/>
      <c r="J124" s="11"/>
    </row>
    <row r="125" spans="1:10" ht="38.25" customHeight="1">
      <c r="A125" s="33" t="s">
        <v>150</v>
      </c>
      <c r="B125" s="21" t="s">
        <v>153</v>
      </c>
      <c r="C125" s="14">
        <f>0.2+0.1</f>
        <v>0.30000000000000004</v>
      </c>
      <c r="D125" s="14">
        <v>0.3</v>
      </c>
      <c r="E125" s="15"/>
      <c r="F125" s="15"/>
      <c r="G125" s="14"/>
      <c r="H125" s="24">
        <f>11.7+15</f>
        <v>26.7</v>
      </c>
      <c r="I125" s="11"/>
      <c r="J125" s="11"/>
    </row>
    <row r="126" spans="1:10" ht="64.5" customHeight="1">
      <c r="A126" s="53" t="s">
        <v>207</v>
      </c>
      <c r="B126" s="21" t="s">
        <v>278</v>
      </c>
      <c r="C126" s="14">
        <f>C128</f>
        <v>60</v>
      </c>
      <c r="D126" s="14">
        <f>D128</f>
        <v>60</v>
      </c>
      <c r="E126" s="15">
        <f>E128</f>
        <v>20</v>
      </c>
      <c r="F126" s="15">
        <f>F128</f>
        <v>0</v>
      </c>
      <c r="G126" s="15">
        <f>G128</f>
        <v>20</v>
      </c>
      <c r="H126" s="25">
        <f>H128+H127</f>
        <v>50</v>
      </c>
      <c r="I126" s="11"/>
      <c r="J126" s="11"/>
    </row>
    <row r="127" spans="1:10" ht="65.25" customHeight="1" hidden="1">
      <c r="A127" s="33"/>
      <c r="B127" s="21"/>
      <c r="C127" s="14"/>
      <c r="D127" s="14"/>
      <c r="E127" s="15"/>
      <c r="F127" s="15"/>
      <c r="G127" s="15"/>
      <c r="H127" s="25">
        <v>0</v>
      </c>
      <c r="I127" s="11"/>
      <c r="J127" s="11"/>
    </row>
    <row r="128" spans="1:10" ht="71.25" customHeight="1">
      <c r="A128" s="33" t="s">
        <v>252</v>
      </c>
      <c r="B128" s="21" t="s">
        <v>253</v>
      </c>
      <c r="C128" s="14">
        <f>10+10+5+15+20</f>
        <v>60</v>
      </c>
      <c r="D128" s="14">
        <v>60</v>
      </c>
      <c r="E128" s="15">
        <v>20</v>
      </c>
      <c r="F128" s="15"/>
      <c r="G128" s="14">
        <v>20</v>
      </c>
      <c r="H128" s="24">
        <f>20+30</f>
        <v>50</v>
      </c>
      <c r="I128" s="11"/>
      <c r="J128" s="11"/>
    </row>
    <row r="129" spans="1:10" ht="35.25" customHeight="1">
      <c r="A129" s="33" t="s">
        <v>125</v>
      </c>
      <c r="B129" s="21" t="s">
        <v>126</v>
      </c>
      <c r="C129" s="14">
        <f aca="true" t="shared" si="29" ref="C129:H129">C130</f>
        <v>1007.3</v>
      </c>
      <c r="D129" s="14">
        <f t="shared" si="29"/>
        <v>1065.5</v>
      </c>
      <c r="E129" s="15">
        <f t="shared" si="29"/>
        <v>1090</v>
      </c>
      <c r="F129" s="15">
        <f t="shared" si="29"/>
        <v>0</v>
      </c>
      <c r="G129" s="15">
        <f t="shared" si="29"/>
        <v>200</v>
      </c>
      <c r="H129" s="25">
        <f t="shared" si="29"/>
        <v>200</v>
      </c>
      <c r="I129" s="11"/>
      <c r="J129" s="11"/>
    </row>
    <row r="130" spans="1:10" ht="42" customHeight="1">
      <c r="A130" s="33" t="s">
        <v>254</v>
      </c>
      <c r="B130" s="21" t="s">
        <v>255</v>
      </c>
      <c r="C130" s="14">
        <f>52+400+23+30.5+150+351.8</f>
        <v>1007.3</v>
      </c>
      <c r="D130" s="14">
        <v>1065.5</v>
      </c>
      <c r="E130" s="15">
        <f>200+710+180</f>
        <v>1090</v>
      </c>
      <c r="F130" s="15"/>
      <c r="G130" s="14">
        <v>200</v>
      </c>
      <c r="H130" s="24">
        <v>200</v>
      </c>
      <c r="I130" s="11"/>
      <c r="J130" s="11"/>
    </row>
    <row r="131" spans="1:10" ht="67.5" customHeight="1">
      <c r="A131" s="33" t="s">
        <v>151</v>
      </c>
      <c r="B131" s="21" t="s">
        <v>154</v>
      </c>
      <c r="C131" s="14">
        <f>50+20+10</f>
        <v>80</v>
      </c>
      <c r="D131" s="14">
        <v>69.4</v>
      </c>
      <c r="E131" s="15">
        <f>25+15</f>
        <v>40</v>
      </c>
      <c r="F131" s="15"/>
      <c r="G131" s="14">
        <v>25</v>
      </c>
      <c r="H131" s="26">
        <v>30</v>
      </c>
      <c r="I131" s="11"/>
      <c r="J131" s="11"/>
    </row>
    <row r="132" spans="1:10" ht="35.25" customHeight="1">
      <c r="A132" s="33" t="s">
        <v>108</v>
      </c>
      <c r="B132" s="21" t="s">
        <v>111</v>
      </c>
      <c r="C132" s="47">
        <f aca="true" t="shared" si="30" ref="C132:H132">C133</f>
        <v>425</v>
      </c>
      <c r="D132" s="47">
        <f t="shared" si="30"/>
        <v>323.7</v>
      </c>
      <c r="E132" s="47">
        <f t="shared" si="30"/>
        <v>15250</v>
      </c>
      <c r="F132" s="47">
        <f t="shared" si="30"/>
        <v>0</v>
      </c>
      <c r="G132" s="47">
        <f t="shared" si="30"/>
        <v>5587.6</v>
      </c>
      <c r="H132" s="26">
        <f t="shared" si="30"/>
        <v>1582.8999999999987</v>
      </c>
      <c r="I132" s="11"/>
      <c r="J132" s="11"/>
    </row>
    <row r="133" spans="1:10" ht="48" customHeight="1">
      <c r="A133" s="33" t="s">
        <v>256</v>
      </c>
      <c r="B133" s="21" t="s">
        <v>257</v>
      </c>
      <c r="C133" s="14">
        <f>425+24210.2-1810-31.5+5260-8271-123.5-501.7-7217.7+58-11572.8</f>
        <v>425</v>
      </c>
      <c r="D133" s="14">
        <v>323.7</v>
      </c>
      <c r="E133" s="15">
        <f>250+15000</f>
        <v>15250</v>
      </c>
      <c r="F133" s="15"/>
      <c r="G133" s="14">
        <f>350+5237.6</f>
        <v>5587.6</v>
      </c>
      <c r="H133" s="26">
        <f>630+3800+233.7+4548.7+50.4+986.3-501-8165.2</f>
        <v>1582.8999999999987</v>
      </c>
      <c r="I133" s="11"/>
      <c r="J133" s="11"/>
    </row>
    <row r="134" spans="1:10" ht="22.5" customHeight="1" hidden="1">
      <c r="A134" s="43" t="s">
        <v>74</v>
      </c>
      <c r="B134" s="44" t="s">
        <v>75</v>
      </c>
      <c r="C134" s="34">
        <f>C136</f>
        <v>0</v>
      </c>
      <c r="D134" s="34"/>
      <c r="E134" s="34">
        <f>E136</f>
        <v>0</v>
      </c>
      <c r="F134" s="34"/>
      <c r="G134" s="34"/>
      <c r="H134" s="26"/>
      <c r="I134" s="11"/>
      <c r="J134" s="11"/>
    </row>
    <row r="135" spans="1:10" ht="24" customHeight="1" hidden="1">
      <c r="A135" s="33" t="s">
        <v>176</v>
      </c>
      <c r="B135" s="21" t="s">
        <v>177</v>
      </c>
      <c r="C135" s="42">
        <f>C136</f>
        <v>0</v>
      </c>
      <c r="D135" s="42"/>
      <c r="E135" s="42">
        <f>E136</f>
        <v>0</v>
      </c>
      <c r="F135" s="42"/>
      <c r="G135" s="42"/>
      <c r="H135" s="26"/>
      <c r="I135" s="11"/>
      <c r="J135" s="11"/>
    </row>
    <row r="136" spans="1:10" ht="26.25" customHeight="1" hidden="1">
      <c r="A136" s="33" t="s">
        <v>174</v>
      </c>
      <c r="B136" s="21" t="s">
        <v>175</v>
      </c>
      <c r="C136" s="14">
        <v>0</v>
      </c>
      <c r="D136" s="14"/>
      <c r="E136" s="15"/>
      <c r="F136" s="15"/>
      <c r="G136" s="14"/>
      <c r="H136" s="26"/>
      <c r="I136" s="11"/>
      <c r="J136" s="11"/>
    </row>
    <row r="137" spans="1:10" ht="29.25" customHeight="1">
      <c r="A137" s="31" t="s">
        <v>110</v>
      </c>
      <c r="B137" s="32" t="s">
        <v>112</v>
      </c>
      <c r="C137" s="16" t="e">
        <f aca="true" t="shared" si="31" ref="C137:H137">C138+C249</f>
        <v>#REF!</v>
      </c>
      <c r="D137" s="16" t="e">
        <f t="shared" si="31"/>
        <v>#REF!</v>
      </c>
      <c r="E137" s="16" t="e">
        <f t="shared" si="31"/>
        <v>#REF!</v>
      </c>
      <c r="F137" s="16" t="e">
        <f t="shared" si="31"/>
        <v>#REF!</v>
      </c>
      <c r="G137" s="16" t="e">
        <f t="shared" si="31"/>
        <v>#REF!</v>
      </c>
      <c r="H137" s="27">
        <f t="shared" si="31"/>
        <v>674352.527</v>
      </c>
      <c r="I137" s="11"/>
      <c r="J137" s="11"/>
    </row>
    <row r="138" spans="1:10" ht="37.5" customHeight="1">
      <c r="A138" s="43" t="s">
        <v>113</v>
      </c>
      <c r="B138" s="44" t="s">
        <v>79</v>
      </c>
      <c r="C138" s="16" t="e">
        <f aca="true" t="shared" si="32" ref="C138:H138">C139+C215+C146+C240</f>
        <v>#REF!</v>
      </c>
      <c r="D138" s="16" t="e">
        <f t="shared" si="32"/>
        <v>#REF!</v>
      </c>
      <c r="E138" s="16" t="e">
        <f t="shared" si="32"/>
        <v>#REF!</v>
      </c>
      <c r="F138" s="16" t="e">
        <f t="shared" si="32"/>
        <v>#REF!</v>
      </c>
      <c r="G138" s="16" t="e">
        <f t="shared" si="32"/>
        <v>#REF!</v>
      </c>
      <c r="H138" s="27">
        <f t="shared" si="32"/>
        <v>628466.837</v>
      </c>
      <c r="I138" s="54"/>
      <c r="J138" s="11"/>
    </row>
    <row r="139" spans="1:10" ht="36.75" customHeight="1">
      <c r="A139" s="43" t="s">
        <v>384</v>
      </c>
      <c r="B139" s="44" t="s">
        <v>49</v>
      </c>
      <c r="C139" s="16">
        <f aca="true" t="shared" si="33" ref="C139:H139">C140+C142+C144</f>
        <v>171799.5</v>
      </c>
      <c r="D139" s="16">
        <f t="shared" si="33"/>
        <v>171799.5</v>
      </c>
      <c r="E139" s="16">
        <f t="shared" si="33"/>
        <v>198679</v>
      </c>
      <c r="F139" s="16">
        <f t="shared" si="33"/>
        <v>0</v>
      </c>
      <c r="G139" s="16">
        <f t="shared" si="33"/>
        <v>211171</v>
      </c>
      <c r="H139" s="28">
        <f t="shared" si="33"/>
        <v>236612</v>
      </c>
      <c r="I139" s="11"/>
      <c r="J139" s="11"/>
    </row>
    <row r="140" spans="1:10" ht="24.75" customHeight="1">
      <c r="A140" s="33" t="s">
        <v>383</v>
      </c>
      <c r="B140" s="21" t="s">
        <v>139</v>
      </c>
      <c r="C140" s="47">
        <f aca="true" t="shared" si="34" ref="C140:H140">C141</f>
        <v>156829</v>
      </c>
      <c r="D140" s="47">
        <f t="shared" si="34"/>
        <v>156829</v>
      </c>
      <c r="E140" s="47">
        <f t="shared" si="34"/>
        <v>165520</v>
      </c>
      <c r="F140" s="47">
        <f t="shared" si="34"/>
        <v>0</v>
      </c>
      <c r="G140" s="47">
        <f t="shared" si="34"/>
        <v>189772</v>
      </c>
      <c r="H140" s="26">
        <f t="shared" si="34"/>
        <v>219301</v>
      </c>
      <c r="I140" s="11"/>
      <c r="J140" s="11"/>
    </row>
    <row r="141" spans="1:10" ht="33.75" customHeight="1">
      <c r="A141" s="33" t="s">
        <v>382</v>
      </c>
      <c r="B141" s="21" t="s">
        <v>291</v>
      </c>
      <c r="C141" s="14">
        <f>147894+2446+6489</f>
        <v>156829</v>
      </c>
      <c r="D141" s="14">
        <v>156829</v>
      </c>
      <c r="E141" s="15">
        <f>164068+1452</f>
        <v>165520</v>
      </c>
      <c r="F141" s="15"/>
      <c r="G141" s="14">
        <f>188396+1376</f>
        <v>189772</v>
      </c>
      <c r="H141" s="26">
        <f>218404+897</f>
        <v>219301</v>
      </c>
      <c r="I141" s="11"/>
      <c r="J141" s="11"/>
    </row>
    <row r="142" spans="1:10" ht="34.5" customHeight="1">
      <c r="A142" s="33" t="s">
        <v>381</v>
      </c>
      <c r="B142" s="21" t="s">
        <v>85</v>
      </c>
      <c r="C142" s="47">
        <f aca="true" t="shared" si="35" ref="C142:H142">C143</f>
        <v>12656.5</v>
      </c>
      <c r="D142" s="47">
        <f t="shared" si="35"/>
        <v>12656.5</v>
      </c>
      <c r="E142" s="47">
        <f t="shared" si="35"/>
        <v>33159</v>
      </c>
      <c r="F142" s="47">
        <f t="shared" si="35"/>
        <v>0</v>
      </c>
      <c r="G142" s="47">
        <f t="shared" si="35"/>
        <v>21399</v>
      </c>
      <c r="H142" s="26">
        <f t="shared" si="35"/>
        <v>17311</v>
      </c>
      <c r="I142" s="11"/>
      <c r="J142" s="11"/>
    </row>
    <row r="143" spans="1:10" ht="33" customHeight="1">
      <c r="A143" s="33" t="s">
        <v>380</v>
      </c>
      <c r="B143" s="21" t="s">
        <v>292</v>
      </c>
      <c r="C143" s="14">
        <f>12582-1418+1492.5</f>
        <v>12656.5</v>
      </c>
      <c r="D143" s="14">
        <v>12656.5</v>
      </c>
      <c r="E143" s="15">
        <f>18159+15000</f>
        <v>33159</v>
      </c>
      <c r="F143" s="15"/>
      <c r="G143" s="14">
        <v>21399</v>
      </c>
      <c r="H143" s="26">
        <f>18311-7000+6000</f>
        <v>17311</v>
      </c>
      <c r="I143" s="11"/>
      <c r="J143" s="11"/>
    </row>
    <row r="144" spans="1:10" ht="31.5" customHeight="1" hidden="1">
      <c r="A144" s="33" t="s">
        <v>50</v>
      </c>
      <c r="B144" s="21" t="s">
        <v>5</v>
      </c>
      <c r="C144" s="14">
        <f>C145</f>
        <v>2314</v>
      </c>
      <c r="D144" s="14">
        <f>D145</f>
        <v>2314</v>
      </c>
      <c r="E144" s="15">
        <f>E145</f>
        <v>0</v>
      </c>
      <c r="F144" s="15"/>
      <c r="G144" s="14"/>
      <c r="H144" s="26">
        <f>H145</f>
        <v>0</v>
      </c>
      <c r="I144" s="11"/>
      <c r="J144" s="11"/>
    </row>
    <row r="145" spans="1:10" ht="19.5" customHeight="1" hidden="1">
      <c r="A145" s="33" t="s">
        <v>348</v>
      </c>
      <c r="B145" s="48" t="s">
        <v>4</v>
      </c>
      <c r="C145" s="14">
        <v>2314</v>
      </c>
      <c r="D145" s="14">
        <v>2314</v>
      </c>
      <c r="E145" s="15"/>
      <c r="F145" s="15"/>
      <c r="G145" s="14"/>
      <c r="H145" s="26"/>
      <c r="I145" s="11"/>
      <c r="J145" s="11"/>
    </row>
    <row r="146" spans="1:10" ht="37.5" customHeight="1">
      <c r="A146" s="43" t="s">
        <v>385</v>
      </c>
      <c r="B146" s="44" t="s">
        <v>1</v>
      </c>
      <c r="C146" s="34">
        <f>C168+C147+C153+C151+C155+C149</f>
        <v>99735.4</v>
      </c>
      <c r="D146" s="34">
        <f>D168+D147+D153+D151+D155+D149</f>
        <v>97864.1</v>
      </c>
      <c r="E146" s="34" t="e">
        <f>E168+E147+E153+E151+E155+E149+E158+E162+E157</f>
        <v>#REF!</v>
      </c>
      <c r="F146" s="34" t="e">
        <f>F168+F147+F153+F151+F155+F149+F158+F162+F157</f>
        <v>#REF!</v>
      </c>
      <c r="G146" s="34" t="e">
        <f>G168+G147+G153+G151+G155+G149+G158+G162+G157</f>
        <v>#REF!</v>
      </c>
      <c r="H146" s="27">
        <f>H164+H168+H166+H157</f>
        <v>163685.241</v>
      </c>
      <c r="I146" s="11"/>
      <c r="J146" s="11"/>
    </row>
    <row r="147" spans="1:10" ht="20.25" customHeight="1" hidden="1">
      <c r="A147" s="33" t="s">
        <v>167</v>
      </c>
      <c r="B147" s="21" t="s">
        <v>168</v>
      </c>
      <c r="C147" s="47">
        <f>C148</f>
        <v>0</v>
      </c>
      <c r="D147" s="47"/>
      <c r="E147" s="47">
        <f>E148</f>
        <v>0</v>
      </c>
      <c r="F147" s="47">
        <f>F148</f>
        <v>0</v>
      </c>
      <c r="G147" s="47">
        <f>G148</f>
        <v>0</v>
      </c>
      <c r="H147" s="26">
        <f>H148</f>
        <v>0</v>
      </c>
      <c r="I147" s="11"/>
      <c r="J147" s="11"/>
    </row>
    <row r="148" spans="1:10" ht="90.75" customHeight="1" hidden="1">
      <c r="A148" s="33" t="s">
        <v>293</v>
      </c>
      <c r="B148" s="21" t="s">
        <v>268</v>
      </c>
      <c r="C148" s="47"/>
      <c r="D148" s="47"/>
      <c r="E148" s="47"/>
      <c r="F148" s="47"/>
      <c r="G148" s="47"/>
      <c r="H148" s="26"/>
      <c r="I148" s="11"/>
      <c r="J148" s="11"/>
    </row>
    <row r="149" spans="1:10" ht="46.5" customHeight="1" hidden="1">
      <c r="A149" s="33" t="s">
        <v>289</v>
      </c>
      <c r="B149" s="21" t="s">
        <v>284</v>
      </c>
      <c r="C149" s="47">
        <f>C150</f>
        <v>0</v>
      </c>
      <c r="D149" s="47"/>
      <c r="E149" s="47">
        <f>E150</f>
        <v>0</v>
      </c>
      <c r="F149" s="47">
        <f>F150</f>
        <v>0</v>
      </c>
      <c r="G149" s="47">
        <f>G150</f>
        <v>0</v>
      </c>
      <c r="H149" s="26">
        <f>H150</f>
        <v>0</v>
      </c>
      <c r="I149" s="11"/>
      <c r="J149" s="11"/>
    </row>
    <row r="150" spans="1:10" ht="51" hidden="1">
      <c r="A150" s="33" t="s">
        <v>283</v>
      </c>
      <c r="B150" s="21" t="s">
        <v>308</v>
      </c>
      <c r="C150" s="47"/>
      <c r="D150" s="47"/>
      <c r="E150" s="47"/>
      <c r="F150" s="47"/>
      <c r="G150" s="47"/>
      <c r="H150" s="26"/>
      <c r="I150" s="11"/>
      <c r="J150" s="11"/>
    </row>
    <row r="151" spans="1:10" ht="31.5" customHeight="1" hidden="1">
      <c r="A151" s="33" t="s">
        <v>285</v>
      </c>
      <c r="B151" s="21" t="s">
        <v>287</v>
      </c>
      <c r="C151" s="47">
        <f>C152</f>
        <v>0</v>
      </c>
      <c r="D151" s="47"/>
      <c r="E151" s="47">
        <f>E152</f>
        <v>0</v>
      </c>
      <c r="F151" s="47">
        <f>F152</f>
        <v>0</v>
      </c>
      <c r="G151" s="47">
        <f>G152</f>
        <v>0</v>
      </c>
      <c r="H151" s="26">
        <f>H152</f>
        <v>0</v>
      </c>
      <c r="I151" s="11"/>
      <c r="J151" s="11"/>
    </row>
    <row r="152" spans="1:10" ht="59.25" customHeight="1" hidden="1">
      <c r="A152" s="33" t="s">
        <v>286</v>
      </c>
      <c r="B152" s="21" t="s">
        <v>288</v>
      </c>
      <c r="C152" s="47"/>
      <c r="D152" s="47"/>
      <c r="E152" s="47"/>
      <c r="F152" s="47"/>
      <c r="G152" s="47"/>
      <c r="H152" s="26"/>
      <c r="I152" s="11"/>
      <c r="J152" s="11"/>
    </row>
    <row r="153" spans="1:10" ht="33" customHeight="1" hidden="1">
      <c r="A153" s="33" t="s">
        <v>185</v>
      </c>
      <c r="B153" s="21" t="s">
        <v>184</v>
      </c>
      <c r="C153" s="47">
        <f>C154</f>
        <v>0</v>
      </c>
      <c r="D153" s="47"/>
      <c r="E153" s="47">
        <f>E154</f>
        <v>0</v>
      </c>
      <c r="F153" s="47">
        <f>F154</f>
        <v>0</v>
      </c>
      <c r="G153" s="47">
        <f>G154</f>
        <v>0</v>
      </c>
      <c r="H153" s="26">
        <f>H154</f>
        <v>0</v>
      </c>
      <c r="I153" s="11"/>
      <c r="J153" s="11"/>
    </row>
    <row r="154" spans="1:10" ht="33.75" customHeight="1" hidden="1">
      <c r="A154" s="33" t="s">
        <v>182</v>
      </c>
      <c r="B154" s="21" t="s">
        <v>183</v>
      </c>
      <c r="C154" s="14"/>
      <c r="D154" s="14"/>
      <c r="E154" s="15"/>
      <c r="F154" s="15"/>
      <c r="G154" s="15"/>
      <c r="H154" s="26"/>
      <c r="I154" s="11"/>
      <c r="J154" s="11"/>
    </row>
    <row r="155" spans="1:10" ht="43.5" customHeight="1" hidden="1">
      <c r="A155" s="33" t="s">
        <v>282</v>
      </c>
      <c r="B155" s="21" t="s">
        <v>284</v>
      </c>
      <c r="C155" s="14">
        <f>C156</f>
        <v>0</v>
      </c>
      <c r="D155" s="14"/>
      <c r="E155" s="15">
        <f>E156</f>
        <v>0</v>
      </c>
      <c r="F155" s="15">
        <f>F156</f>
        <v>0</v>
      </c>
      <c r="G155" s="15">
        <f>G156</f>
        <v>0</v>
      </c>
      <c r="H155" s="26">
        <f>H156</f>
        <v>0</v>
      </c>
      <c r="I155" s="11"/>
      <c r="J155" s="11"/>
    </row>
    <row r="156" spans="1:10" ht="42.75" customHeight="1" hidden="1">
      <c r="A156" s="33" t="s">
        <v>283</v>
      </c>
      <c r="B156" s="21" t="s">
        <v>309</v>
      </c>
      <c r="C156" s="14"/>
      <c r="D156" s="14"/>
      <c r="E156" s="15"/>
      <c r="F156" s="15"/>
      <c r="G156" s="15"/>
      <c r="H156" s="26"/>
      <c r="I156" s="11"/>
      <c r="J156" s="11"/>
    </row>
    <row r="157" spans="1:10" ht="33.75" customHeight="1">
      <c r="A157" s="33" t="s">
        <v>408</v>
      </c>
      <c r="B157" s="48" t="s">
        <v>409</v>
      </c>
      <c r="C157" s="14"/>
      <c r="D157" s="14"/>
      <c r="E157" s="15" t="e">
        <f>#REF!</f>
        <v>#REF!</v>
      </c>
      <c r="F157" s="15" t="e">
        <f>#REF!</f>
        <v>#REF!</v>
      </c>
      <c r="G157" s="15" t="e">
        <f>#REF!</f>
        <v>#REF!</v>
      </c>
      <c r="H157" s="26">
        <f>H158</f>
        <v>4719.8</v>
      </c>
      <c r="I157" s="11"/>
      <c r="J157" s="11"/>
    </row>
    <row r="158" spans="1:10" ht="34.5" customHeight="1">
      <c r="A158" s="33" t="s">
        <v>407</v>
      </c>
      <c r="B158" s="48" t="s">
        <v>413</v>
      </c>
      <c r="C158" s="14"/>
      <c r="D158" s="14"/>
      <c r="E158" s="15">
        <f>E159</f>
        <v>3.5</v>
      </c>
      <c r="F158" s="15">
        <f>F159</f>
        <v>0</v>
      </c>
      <c r="G158" s="15">
        <f>G159</f>
        <v>0</v>
      </c>
      <c r="H158" s="26">
        <v>4719.8</v>
      </c>
      <c r="I158" s="11"/>
      <c r="J158" s="11"/>
    </row>
    <row r="159" spans="1:10" ht="92.25" customHeight="1" hidden="1">
      <c r="A159" s="33" t="s">
        <v>336</v>
      </c>
      <c r="B159" s="21" t="s">
        <v>352</v>
      </c>
      <c r="C159" s="14"/>
      <c r="D159" s="14"/>
      <c r="E159" s="15">
        <v>3.5</v>
      </c>
      <c r="F159" s="15"/>
      <c r="G159" s="14"/>
      <c r="H159" s="26"/>
      <c r="I159" s="11"/>
      <c r="J159" s="11"/>
    </row>
    <row r="160" spans="1:10" ht="92.25" customHeight="1" hidden="1">
      <c r="A160" s="33" t="s">
        <v>365</v>
      </c>
      <c r="B160" s="21" t="s">
        <v>367</v>
      </c>
      <c r="C160" s="14"/>
      <c r="D160" s="14"/>
      <c r="E160" s="15"/>
      <c r="F160" s="15"/>
      <c r="G160" s="14"/>
      <c r="H160" s="26">
        <f>H161</f>
        <v>0</v>
      </c>
      <c r="I160" s="11"/>
      <c r="J160" s="11"/>
    </row>
    <row r="161" spans="1:10" ht="92.25" customHeight="1" hidden="1">
      <c r="A161" s="33" t="s">
        <v>364</v>
      </c>
      <c r="B161" s="21" t="s">
        <v>366</v>
      </c>
      <c r="C161" s="14"/>
      <c r="D161" s="14"/>
      <c r="E161" s="15"/>
      <c r="F161" s="15"/>
      <c r="G161" s="14"/>
      <c r="H161" s="26"/>
      <c r="I161" s="11"/>
      <c r="J161" s="11"/>
    </row>
    <row r="162" spans="1:10" ht="92.25" customHeight="1" hidden="1">
      <c r="A162" s="33" t="s">
        <v>339</v>
      </c>
      <c r="B162" s="21" t="s">
        <v>338</v>
      </c>
      <c r="C162" s="14"/>
      <c r="D162" s="14"/>
      <c r="E162" s="15">
        <f>E163</f>
        <v>7216.8</v>
      </c>
      <c r="F162" s="15">
        <f>F163</f>
        <v>0</v>
      </c>
      <c r="G162" s="15">
        <f>G163</f>
        <v>0</v>
      </c>
      <c r="H162" s="26">
        <f>H163</f>
        <v>0</v>
      </c>
      <c r="I162" s="11"/>
      <c r="J162" s="11"/>
    </row>
    <row r="163" spans="1:10" ht="92.25" customHeight="1" hidden="1">
      <c r="A163" s="33" t="s">
        <v>337</v>
      </c>
      <c r="B163" s="21" t="s">
        <v>340</v>
      </c>
      <c r="C163" s="14"/>
      <c r="D163" s="14"/>
      <c r="E163" s="15">
        <f>1754.1+1820.9+3641.8</f>
        <v>7216.8</v>
      </c>
      <c r="F163" s="15"/>
      <c r="G163" s="14"/>
      <c r="H163" s="26"/>
      <c r="I163" s="11"/>
      <c r="J163" s="11"/>
    </row>
    <row r="164" spans="1:10" ht="51.75" customHeight="1">
      <c r="A164" s="33" t="s">
        <v>401</v>
      </c>
      <c r="B164" s="21" t="s">
        <v>338</v>
      </c>
      <c r="C164" s="14"/>
      <c r="D164" s="14"/>
      <c r="E164" s="15"/>
      <c r="F164" s="15"/>
      <c r="G164" s="14"/>
      <c r="H164" s="29">
        <f>H165</f>
        <v>23670.54</v>
      </c>
      <c r="I164" s="11"/>
      <c r="J164" s="11"/>
    </row>
    <row r="165" spans="1:10" ht="57.75" customHeight="1">
      <c r="A165" s="33" t="s">
        <v>400</v>
      </c>
      <c r="B165" s="21" t="s">
        <v>340</v>
      </c>
      <c r="C165" s="14"/>
      <c r="D165" s="14"/>
      <c r="E165" s="15"/>
      <c r="F165" s="15"/>
      <c r="G165" s="14"/>
      <c r="H165" s="29">
        <f>2636.3+21034.24</f>
        <v>23670.54</v>
      </c>
      <c r="I165" s="11"/>
      <c r="J165" s="11"/>
    </row>
    <row r="166" spans="1:10" ht="50.25" customHeight="1">
      <c r="A166" s="33" t="s">
        <v>402</v>
      </c>
      <c r="B166" s="48" t="s">
        <v>404</v>
      </c>
      <c r="C166" s="14"/>
      <c r="D166" s="14"/>
      <c r="E166" s="15"/>
      <c r="F166" s="15"/>
      <c r="G166" s="14"/>
      <c r="H166" s="26">
        <f>H167</f>
        <v>3485.4</v>
      </c>
      <c r="I166" s="11"/>
      <c r="J166" s="11"/>
    </row>
    <row r="167" spans="1:10" ht="63" customHeight="1">
      <c r="A167" s="33" t="s">
        <v>403</v>
      </c>
      <c r="B167" s="48" t="s">
        <v>405</v>
      </c>
      <c r="C167" s="14"/>
      <c r="D167" s="14"/>
      <c r="E167" s="15"/>
      <c r="F167" s="15"/>
      <c r="G167" s="14"/>
      <c r="H167" s="26">
        <f>627.4+2858</f>
        <v>3485.4</v>
      </c>
      <c r="I167" s="11"/>
      <c r="J167" s="11"/>
    </row>
    <row r="168" spans="1:10" ht="24.75" customHeight="1">
      <c r="A168" s="33" t="s">
        <v>386</v>
      </c>
      <c r="B168" s="21" t="s">
        <v>140</v>
      </c>
      <c r="C168" s="47">
        <f aca="true" t="shared" si="36" ref="C168:H168">C169</f>
        <v>99735.4</v>
      </c>
      <c r="D168" s="47">
        <f t="shared" si="36"/>
        <v>97864.1</v>
      </c>
      <c r="E168" s="47">
        <f t="shared" si="36"/>
        <v>99429.6</v>
      </c>
      <c r="F168" s="47">
        <f t="shared" si="36"/>
        <v>0</v>
      </c>
      <c r="G168" s="47">
        <f t="shared" si="36"/>
        <v>71777.4</v>
      </c>
      <c r="H168" s="30">
        <f t="shared" si="36"/>
        <v>131809.50100000002</v>
      </c>
      <c r="I168" s="11"/>
      <c r="J168" s="11"/>
    </row>
    <row r="169" spans="1:10" ht="24.75" customHeight="1">
      <c r="A169" s="33" t="s">
        <v>387</v>
      </c>
      <c r="B169" s="21" t="s">
        <v>0</v>
      </c>
      <c r="C169" s="42">
        <f>SUM(C170:C199)</f>
        <v>99735.4</v>
      </c>
      <c r="D169" s="42">
        <f>SUM(D170:D199)</f>
        <v>97864.1</v>
      </c>
      <c r="E169" s="42">
        <f>SUM(E170:E210)</f>
        <v>99429.6</v>
      </c>
      <c r="F169" s="42">
        <f>SUM(F170:F210)</f>
        <v>0</v>
      </c>
      <c r="G169" s="42">
        <f>SUM(G170:G210)</f>
        <v>71777.4</v>
      </c>
      <c r="H169" s="30">
        <f>SUM(H170:H214)</f>
        <v>131809.50100000002</v>
      </c>
      <c r="I169" s="11"/>
      <c r="J169" s="11"/>
    </row>
    <row r="170" spans="1:10" ht="128.25" customHeight="1" hidden="1">
      <c r="A170" s="20" t="s">
        <v>387</v>
      </c>
      <c r="B170" s="21" t="s">
        <v>317</v>
      </c>
      <c r="C170" s="14"/>
      <c r="D170" s="14"/>
      <c r="E170" s="15">
        <v>7926</v>
      </c>
      <c r="F170" s="15"/>
      <c r="G170" s="14">
        <f>13105</f>
        <v>13105</v>
      </c>
      <c r="H170" s="26"/>
      <c r="I170" s="11"/>
      <c r="J170" s="11"/>
    </row>
    <row r="171" spans="1:10" ht="147.75" customHeight="1" hidden="1">
      <c r="A171" s="20" t="s">
        <v>387</v>
      </c>
      <c r="B171" s="21" t="s">
        <v>294</v>
      </c>
      <c r="C171" s="14">
        <f>48492-3905</f>
        <v>44587</v>
      </c>
      <c r="D171" s="14">
        <v>44587</v>
      </c>
      <c r="E171" s="15">
        <v>52216</v>
      </c>
      <c r="F171" s="15"/>
      <c r="G171" s="14">
        <v>48430</v>
      </c>
      <c r="H171" s="26"/>
      <c r="I171" s="11"/>
      <c r="J171" s="11"/>
    </row>
    <row r="172" spans="1:10" ht="89.25">
      <c r="A172" s="20" t="s">
        <v>387</v>
      </c>
      <c r="B172" s="21" t="s">
        <v>296</v>
      </c>
      <c r="C172" s="14">
        <v>1694.8</v>
      </c>
      <c r="D172" s="14">
        <v>1351.6</v>
      </c>
      <c r="E172" s="15">
        <v>1538.3</v>
      </c>
      <c r="F172" s="15"/>
      <c r="G172" s="14">
        <v>1538.3</v>
      </c>
      <c r="H172" s="26">
        <f>2017.6+1057.1+232.9-437.9</f>
        <v>2869.7</v>
      </c>
      <c r="I172" s="11"/>
      <c r="J172" s="11"/>
    </row>
    <row r="173" spans="1:10" ht="98.25" customHeight="1">
      <c r="A173" s="20" t="s">
        <v>387</v>
      </c>
      <c r="B173" s="21" t="s">
        <v>425</v>
      </c>
      <c r="C173" s="14"/>
      <c r="D173" s="14"/>
      <c r="E173" s="15"/>
      <c r="F173" s="15"/>
      <c r="G173" s="14"/>
      <c r="H173" s="26">
        <v>17818.1</v>
      </c>
      <c r="I173" s="11"/>
      <c r="J173" s="11"/>
    </row>
    <row r="174" spans="1:10" ht="77.25" customHeight="1">
      <c r="A174" s="20" t="s">
        <v>387</v>
      </c>
      <c r="B174" s="21" t="s">
        <v>295</v>
      </c>
      <c r="C174" s="14">
        <v>190.7</v>
      </c>
      <c r="D174" s="14">
        <v>190.7</v>
      </c>
      <c r="E174" s="15">
        <v>131</v>
      </c>
      <c r="F174" s="15"/>
      <c r="G174" s="14">
        <v>164.7</v>
      </c>
      <c r="H174" s="26">
        <v>75.4</v>
      </c>
      <c r="I174" s="11"/>
      <c r="J174" s="11"/>
    </row>
    <row r="175" spans="1:10" ht="116.25" customHeight="1">
      <c r="A175" s="20" t="s">
        <v>387</v>
      </c>
      <c r="B175" s="21" t="s">
        <v>297</v>
      </c>
      <c r="C175" s="14">
        <v>58</v>
      </c>
      <c r="D175" s="14">
        <v>58</v>
      </c>
      <c r="E175" s="15">
        <v>58</v>
      </c>
      <c r="F175" s="15"/>
      <c r="G175" s="14">
        <v>58</v>
      </c>
      <c r="H175" s="26">
        <v>58</v>
      </c>
      <c r="I175" s="11"/>
      <c r="J175" s="11"/>
    </row>
    <row r="176" spans="1:10" ht="168" customHeight="1" hidden="1">
      <c r="A176" s="20" t="s">
        <v>51</v>
      </c>
      <c r="B176" s="21" t="s">
        <v>314</v>
      </c>
      <c r="C176" s="14"/>
      <c r="D176" s="14"/>
      <c r="E176" s="15">
        <v>2706.9</v>
      </c>
      <c r="F176" s="15"/>
      <c r="G176" s="14"/>
      <c r="H176" s="26"/>
      <c r="I176" s="11"/>
      <c r="J176" s="11"/>
    </row>
    <row r="177" spans="1:10" ht="134.25" customHeight="1" hidden="1">
      <c r="A177" s="20" t="s">
        <v>51</v>
      </c>
      <c r="B177" s="21" t="s">
        <v>330</v>
      </c>
      <c r="C177" s="14"/>
      <c r="D177" s="14"/>
      <c r="E177" s="15">
        <v>520</v>
      </c>
      <c r="F177" s="15"/>
      <c r="G177" s="14">
        <v>289.8</v>
      </c>
      <c r="H177" s="26"/>
      <c r="I177" s="11"/>
      <c r="J177" s="11"/>
    </row>
    <row r="178" spans="1:10" ht="133.5" customHeight="1" hidden="1">
      <c r="A178" s="20" t="s">
        <v>51</v>
      </c>
      <c r="B178" s="21" t="s">
        <v>318</v>
      </c>
      <c r="C178" s="14"/>
      <c r="D178" s="14"/>
      <c r="E178" s="15">
        <v>1000</v>
      </c>
      <c r="F178" s="15"/>
      <c r="G178" s="14">
        <v>2969.9</v>
      </c>
      <c r="H178" s="26"/>
      <c r="I178" s="11"/>
      <c r="J178" s="11"/>
    </row>
    <row r="179" spans="1:10" ht="155.25" customHeight="1" hidden="1">
      <c r="A179" s="20" t="s">
        <v>51</v>
      </c>
      <c r="B179" s="21" t="s">
        <v>335</v>
      </c>
      <c r="C179" s="14"/>
      <c r="D179" s="14"/>
      <c r="E179" s="15">
        <v>1801</v>
      </c>
      <c r="F179" s="15"/>
      <c r="G179" s="14"/>
      <c r="H179" s="26"/>
      <c r="I179" s="11"/>
      <c r="J179" s="11"/>
    </row>
    <row r="180" spans="1:10" ht="165.75" customHeight="1" hidden="1">
      <c r="A180" s="20" t="s">
        <v>51</v>
      </c>
      <c r="B180" s="21" t="s">
        <v>334</v>
      </c>
      <c r="C180" s="14"/>
      <c r="D180" s="14"/>
      <c r="E180" s="15">
        <v>317</v>
      </c>
      <c r="F180" s="15"/>
      <c r="G180" s="14"/>
      <c r="H180" s="26"/>
      <c r="I180" s="11"/>
      <c r="J180" s="11"/>
    </row>
    <row r="181" spans="1:10" ht="76.5" customHeight="1" hidden="1">
      <c r="A181" s="20" t="s">
        <v>51</v>
      </c>
      <c r="B181" s="21" t="s">
        <v>268</v>
      </c>
      <c r="C181" s="14">
        <f>1674-324</f>
        <v>1350</v>
      </c>
      <c r="D181" s="14">
        <v>1350</v>
      </c>
      <c r="E181" s="15"/>
      <c r="F181" s="15"/>
      <c r="G181" s="14"/>
      <c r="H181" s="26"/>
      <c r="I181" s="11"/>
      <c r="J181" s="11"/>
    </row>
    <row r="182" spans="1:10" ht="108.75" customHeight="1">
      <c r="A182" s="20" t="s">
        <v>387</v>
      </c>
      <c r="B182" s="21" t="s">
        <v>59</v>
      </c>
      <c r="C182" s="14">
        <f>834.2-380</f>
        <v>454.20000000000005</v>
      </c>
      <c r="D182" s="14">
        <v>115.4</v>
      </c>
      <c r="E182" s="15">
        <v>299.8</v>
      </c>
      <c r="F182" s="15"/>
      <c r="G182" s="14">
        <v>299.8</v>
      </c>
      <c r="H182" s="26">
        <f>299.8+13.8</f>
        <v>313.6</v>
      </c>
      <c r="I182" s="11"/>
      <c r="J182" s="11"/>
    </row>
    <row r="183" spans="1:10" ht="150" customHeight="1" hidden="1">
      <c r="A183" s="20" t="s">
        <v>51</v>
      </c>
      <c r="B183" s="21" t="s">
        <v>319</v>
      </c>
      <c r="C183" s="14">
        <v>14899</v>
      </c>
      <c r="D183" s="14">
        <v>14899</v>
      </c>
      <c r="E183" s="15">
        <f>5324.6-1110.5</f>
        <v>4214.1</v>
      </c>
      <c r="F183" s="15"/>
      <c r="G183" s="14"/>
      <c r="H183" s="26"/>
      <c r="I183" s="11"/>
      <c r="J183" s="11"/>
    </row>
    <row r="184" spans="1:10" ht="111.75" customHeight="1" hidden="1">
      <c r="A184" s="20" t="s">
        <v>51</v>
      </c>
      <c r="B184" s="21" t="s">
        <v>310</v>
      </c>
      <c r="C184" s="14">
        <v>194.1</v>
      </c>
      <c r="D184" s="14">
        <v>194.1</v>
      </c>
      <c r="E184" s="15"/>
      <c r="F184" s="15"/>
      <c r="G184" s="14"/>
      <c r="H184" s="26"/>
      <c r="I184" s="11"/>
      <c r="J184" s="11"/>
    </row>
    <row r="185" spans="1:10" ht="107.25" customHeight="1">
      <c r="A185" s="20" t="s">
        <v>387</v>
      </c>
      <c r="B185" s="21" t="s">
        <v>298</v>
      </c>
      <c r="C185" s="14">
        <v>2066.4</v>
      </c>
      <c r="D185" s="14">
        <v>1685.2</v>
      </c>
      <c r="E185" s="15">
        <v>1588.7</v>
      </c>
      <c r="F185" s="15"/>
      <c r="G185" s="14">
        <v>1588.7</v>
      </c>
      <c r="H185" s="26">
        <f>1589.5+493.7</f>
        <v>2083.2</v>
      </c>
      <c r="I185" s="11"/>
      <c r="J185" s="11"/>
    </row>
    <row r="186" spans="1:10" ht="147" customHeight="1">
      <c r="A186" s="20" t="s">
        <v>387</v>
      </c>
      <c r="B186" s="21" t="s">
        <v>414</v>
      </c>
      <c r="C186" s="14">
        <f>2200-1950-62</f>
        <v>188</v>
      </c>
      <c r="D186" s="14">
        <v>188</v>
      </c>
      <c r="E186" s="15">
        <v>1900</v>
      </c>
      <c r="F186" s="15"/>
      <c r="G186" s="14">
        <v>3274</v>
      </c>
      <c r="H186" s="26">
        <v>950</v>
      </c>
      <c r="I186" s="11"/>
      <c r="J186" s="11"/>
    </row>
    <row r="187" spans="1:10" ht="172.5" customHeight="1">
      <c r="A187" s="20" t="s">
        <v>387</v>
      </c>
      <c r="B187" s="21" t="s">
        <v>320</v>
      </c>
      <c r="C187" s="14">
        <f>60-41.5</f>
        <v>18.5</v>
      </c>
      <c r="D187" s="14">
        <v>18.5</v>
      </c>
      <c r="E187" s="15">
        <f>35-15</f>
        <v>20</v>
      </c>
      <c r="F187" s="15"/>
      <c r="G187" s="14">
        <v>35</v>
      </c>
      <c r="H187" s="26">
        <f>35-10</f>
        <v>25</v>
      </c>
      <c r="I187" s="11"/>
      <c r="J187" s="11"/>
    </row>
    <row r="188" spans="1:10" ht="114" customHeight="1" hidden="1">
      <c r="A188" s="20" t="s">
        <v>51</v>
      </c>
      <c r="B188" s="21" t="s">
        <v>359</v>
      </c>
      <c r="C188" s="14"/>
      <c r="D188" s="14"/>
      <c r="E188" s="15"/>
      <c r="F188" s="15"/>
      <c r="G188" s="14"/>
      <c r="H188" s="26"/>
      <c r="I188" s="11"/>
      <c r="J188" s="11"/>
    </row>
    <row r="189" spans="1:10" ht="123" customHeight="1" hidden="1">
      <c r="A189" s="20" t="s">
        <v>51</v>
      </c>
      <c r="B189" s="21" t="s">
        <v>321</v>
      </c>
      <c r="C189" s="14"/>
      <c r="D189" s="14"/>
      <c r="E189" s="15">
        <f>24.2-24.2</f>
        <v>0</v>
      </c>
      <c r="F189" s="15"/>
      <c r="G189" s="14">
        <v>24.2</v>
      </c>
      <c r="H189" s="26"/>
      <c r="I189" s="11"/>
      <c r="J189" s="11"/>
    </row>
    <row r="190" spans="1:10" ht="135.75" customHeight="1" hidden="1">
      <c r="A190" s="20" t="s">
        <v>51</v>
      </c>
      <c r="B190" s="21" t="s">
        <v>270</v>
      </c>
      <c r="C190" s="14">
        <f>3076.3-3076.3</f>
        <v>0</v>
      </c>
      <c r="D190" s="14"/>
      <c r="E190" s="15">
        <f>3076.3-3076.3</f>
        <v>0</v>
      </c>
      <c r="F190" s="15"/>
      <c r="G190" s="14"/>
      <c r="H190" s="26"/>
      <c r="I190" s="11"/>
      <c r="J190" s="11"/>
    </row>
    <row r="191" spans="1:10" ht="144.75" customHeight="1" hidden="1">
      <c r="A191" s="20" t="s">
        <v>51</v>
      </c>
      <c r="B191" s="21" t="s">
        <v>311</v>
      </c>
      <c r="C191" s="14">
        <f>250-250</f>
        <v>0</v>
      </c>
      <c r="D191" s="14"/>
      <c r="E191" s="15">
        <f>250-250</f>
        <v>0</v>
      </c>
      <c r="F191" s="15"/>
      <c r="G191" s="14"/>
      <c r="H191" s="26"/>
      <c r="I191" s="11"/>
      <c r="J191" s="11"/>
    </row>
    <row r="192" spans="1:10" ht="130.5" customHeight="1" hidden="1">
      <c r="A192" s="20" t="s">
        <v>51</v>
      </c>
      <c r="B192" s="41" t="s">
        <v>3</v>
      </c>
      <c r="C192" s="14">
        <v>145.2</v>
      </c>
      <c r="D192" s="14"/>
      <c r="E192" s="15"/>
      <c r="F192" s="15"/>
      <c r="G192" s="14"/>
      <c r="H192" s="26"/>
      <c r="I192" s="11"/>
      <c r="J192" s="11"/>
    </row>
    <row r="193" spans="1:10" ht="144.75" customHeight="1" hidden="1">
      <c r="A193" s="20" t="s">
        <v>51</v>
      </c>
      <c r="B193" s="41" t="s">
        <v>315</v>
      </c>
      <c r="C193" s="14">
        <f>54-54</f>
        <v>0</v>
      </c>
      <c r="D193" s="14"/>
      <c r="E193" s="15">
        <v>38</v>
      </c>
      <c r="F193" s="15"/>
      <c r="G193" s="14"/>
      <c r="H193" s="26"/>
      <c r="I193" s="11"/>
      <c r="J193" s="11"/>
    </row>
    <row r="194" spans="1:10" ht="105" customHeight="1" hidden="1">
      <c r="A194" s="20" t="s">
        <v>51</v>
      </c>
      <c r="B194" s="21" t="s">
        <v>60</v>
      </c>
      <c r="C194" s="14">
        <f>30000-15000</f>
        <v>15000</v>
      </c>
      <c r="D194" s="14">
        <v>14394</v>
      </c>
      <c r="E194" s="15">
        <f>80421.4-80421.4</f>
        <v>0</v>
      </c>
      <c r="F194" s="15"/>
      <c r="G194" s="14"/>
      <c r="H194" s="26"/>
      <c r="I194" s="11"/>
      <c r="J194" s="11"/>
    </row>
    <row r="195" spans="1:10" ht="132.75" customHeight="1" hidden="1">
      <c r="A195" s="20" t="s">
        <v>51</v>
      </c>
      <c r="B195" s="21" t="s">
        <v>312</v>
      </c>
      <c r="C195" s="14">
        <v>3000</v>
      </c>
      <c r="D195" s="14">
        <v>3000</v>
      </c>
      <c r="E195" s="15"/>
      <c r="F195" s="15"/>
      <c r="G195" s="14"/>
      <c r="H195" s="26"/>
      <c r="I195" s="11"/>
      <c r="J195" s="11"/>
    </row>
    <row r="196" spans="1:10" ht="135" customHeight="1" hidden="1">
      <c r="A196" s="20" t="s">
        <v>51</v>
      </c>
      <c r="B196" s="21" t="s">
        <v>331</v>
      </c>
      <c r="C196" s="14">
        <v>1040</v>
      </c>
      <c r="D196" s="14">
        <v>983.1</v>
      </c>
      <c r="E196" s="15">
        <v>1819.2</v>
      </c>
      <c r="F196" s="15"/>
      <c r="G196" s="14"/>
      <c r="H196" s="26"/>
      <c r="I196" s="11"/>
      <c r="J196" s="11"/>
    </row>
    <row r="197" spans="1:10" ht="89.25" hidden="1">
      <c r="A197" s="20" t="s">
        <v>51</v>
      </c>
      <c r="B197" s="21" t="s">
        <v>322</v>
      </c>
      <c r="C197" s="14"/>
      <c r="D197" s="14"/>
      <c r="E197" s="15">
        <f>6250-6250</f>
        <v>0</v>
      </c>
      <c r="F197" s="15"/>
      <c r="G197" s="14"/>
      <c r="H197" s="26"/>
      <c r="I197" s="11"/>
      <c r="J197" s="11"/>
    </row>
    <row r="198" spans="1:10" ht="197.25" customHeight="1" hidden="1">
      <c r="A198" s="20" t="s">
        <v>51</v>
      </c>
      <c r="B198" s="21" t="s">
        <v>332</v>
      </c>
      <c r="C198" s="14"/>
      <c r="D198" s="14"/>
      <c r="E198" s="15">
        <f>1993.3-1754.1</f>
        <v>239.20000000000005</v>
      </c>
      <c r="F198" s="15"/>
      <c r="G198" s="14"/>
      <c r="H198" s="26">
        <f>1901.5-1730.4-171.1</f>
        <v>0</v>
      </c>
      <c r="I198" s="11" t="s">
        <v>169</v>
      </c>
      <c r="J198" s="11"/>
    </row>
    <row r="199" spans="1:10" ht="163.5" customHeight="1" hidden="1">
      <c r="A199" s="20" t="s">
        <v>51</v>
      </c>
      <c r="B199" s="21" t="s">
        <v>323</v>
      </c>
      <c r="C199" s="14">
        <f>14669.5+180</f>
        <v>14849.5</v>
      </c>
      <c r="D199" s="14">
        <v>14849.5</v>
      </c>
      <c r="E199" s="15">
        <v>20000</v>
      </c>
      <c r="F199" s="15"/>
      <c r="G199" s="14"/>
      <c r="H199" s="26"/>
      <c r="I199" s="11"/>
      <c r="J199" s="11"/>
    </row>
    <row r="200" spans="1:10" ht="159.75" customHeight="1" hidden="1">
      <c r="A200" s="20" t="s">
        <v>387</v>
      </c>
      <c r="B200" s="21" t="s">
        <v>377</v>
      </c>
      <c r="C200" s="14"/>
      <c r="D200" s="14"/>
      <c r="E200" s="15"/>
      <c r="F200" s="15"/>
      <c r="G200" s="14"/>
      <c r="H200" s="26">
        <f>424.8-424.8</f>
        <v>0</v>
      </c>
      <c r="I200" s="11"/>
      <c r="J200" s="11"/>
    </row>
    <row r="201" spans="1:10" ht="86.25" customHeight="1" hidden="1">
      <c r="A201" s="20" t="s">
        <v>51</v>
      </c>
      <c r="B201" s="21" t="s">
        <v>324</v>
      </c>
      <c r="C201" s="14"/>
      <c r="D201" s="14"/>
      <c r="E201" s="15">
        <v>0.5</v>
      </c>
      <c r="F201" s="15"/>
      <c r="G201" s="14"/>
      <c r="H201" s="26">
        <f>0.3-0.3</f>
        <v>0</v>
      </c>
      <c r="I201" s="11"/>
      <c r="J201" s="11"/>
    </row>
    <row r="202" spans="1:10" ht="155.25" customHeight="1" hidden="1">
      <c r="A202" s="20" t="s">
        <v>51</v>
      </c>
      <c r="B202" s="21" t="s">
        <v>353</v>
      </c>
      <c r="C202" s="14"/>
      <c r="D202" s="14"/>
      <c r="E202" s="15">
        <f>334.439+90.761</f>
        <v>425.20000000000005</v>
      </c>
      <c r="F202" s="15"/>
      <c r="G202" s="14"/>
      <c r="H202" s="26"/>
      <c r="I202" s="11"/>
      <c r="J202" s="11"/>
    </row>
    <row r="203" spans="1:10" ht="101.25" customHeight="1" hidden="1">
      <c r="A203" s="20" t="s">
        <v>51</v>
      </c>
      <c r="B203" s="21" t="s">
        <v>354</v>
      </c>
      <c r="C203" s="14"/>
      <c r="D203" s="14"/>
      <c r="E203" s="15">
        <v>240</v>
      </c>
      <c r="F203" s="15"/>
      <c r="G203" s="14"/>
      <c r="H203" s="26"/>
      <c r="I203" s="11"/>
      <c r="J203" s="11"/>
    </row>
    <row r="204" spans="1:10" ht="99.75" customHeight="1" hidden="1">
      <c r="A204" s="20" t="s">
        <v>51</v>
      </c>
      <c r="B204" s="21" t="s">
        <v>355</v>
      </c>
      <c r="C204" s="14"/>
      <c r="D204" s="14"/>
      <c r="E204" s="15">
        <v>120</v>
      </c>
      <c r="F204" s="15"/>
      <c r="G204" s="14"/>
      <c r="H204" s="26"/>
      <c r="I204" s="11"/>
      <c r="J204" s="11"/>
    </row>
    <row r="205" spans="1:10" ht="147.75" customHeight="1" hidden="1">
      <c r="A205" s="20" t="s">
        <v>51</v>
      </c>
      <c r="B205" s="21" t="s">
        <v>325</v>
      </c>
      <c r="C205" s="14"/>
      <c r="D205" s="14"/>
      <c r="E205" s="15">
        <v>152.3</v>
      </c>
      <c r="F205" s="15"/>
      <c r="G205" s="14"/>
      <c r="H205" s="26"/>
      <c r="I205" s="11"/>
      <c r="J205" s="11"/>
    </row>
    <row r="206" spans="1:10" ht="121.5" customHeight="1" hidden="1">
      <c r="A206" s="20" t="s">
        <v>51</v>
      </c>
      <c r="B206" s="21" t="s">
        <v>378</v>
      </c>
      <c r="C206" s="14"/>
      <c r="D206" s="14"/>
      <c r="E206" s="15"/>
      <c r="F206" s="15"/>
      <c r="G206" s="14"/>
      <c r="H206" s="26">
        <f>18300-18300</f>
        <v>0</v>
      </c>
      <c r="I206" s="11"/>
      <c r="J206" s="11"/>
    </row>
    <row r="207" spans="1:10" ht="111" customHeight="1">
      <c r="A207" s="20" t="s">
        <v>387</v>
      </c>
      <c r="B207" s="21" t="s">
        <v>374</v>
      </c>
      <c r="C207" s="14"/>
      <c r="D207" s="14"/>
      <c r="E207" s="15"/>
      <c r="F207" s="15"/>
      <c r="G207" s="14"/>
      <c r="H207" s="30">
        <v>107200.901</v>
      </c>
      <c r="I207" s="11"/>
      <c r="J207" s="11"/>
    </row>
    <row r="208" spans="1:10" ht="166.5" customHeight="1">
      <c r="A208" s="20" t="s">
        <v>387</v>
      </c>
      <c r="B208" s="21" t="s">
        <v>370</v>
      </c>
      <c r="C208" s="14"/>
      <c r="D208" s="14"/>
      <c r="E208" s="15"/>
      <c r="F208" s="15"/>
      <c r="G208" s="14"/>
      <c r="H208" s="26">
        <v>296.4</v>
      </c>
      <c r="I208" s="11"/>
      <c r="J208" s="11"/>
    </row>
    <row r="209" spans="1:10" ht="120.75" customHeight="1" hidden="1">
      <c r="A209" s="20" t="s">
        <v>51</v>
      </c>
      <c r="B209" s="21" t="s">
        <v>372</v>
      </c>
      <c r="C209" s="14"/>
      <c r="D209" s="14"/>
      <c r="E209" s="15"/>
      <c r="F209" s="15"/>
      <c r="G209" s="14"/>
      <c r="H209" s="26">
        <f>1636.4-1636.4</f>
        <v>0</v>
      </c>
      <c r="I209" s="11"/>
      <c r="J209" s="11"/>
    </row>
    <row r="210" spans="1:10" ht="140.25" hidden="1">
      <c r="A210" s="20" t="s">
        <v>51</v>
      </c>
      <c r="B210" s="21" t="s">
        <v>379</v>
      </c>
      <c r="C210" s="14"/>
      <c r="D210" s="14"/>
      <c r="E210" s="15">
        <v>158.4</v>
      </c>
      <c r="F210" s="15"/>
      <c r="G210" s="14"/>
      <c r="H210" s="26"/>
      <c r="I210" s="11"/>
      <c r="J210" s="11"/>
    </row>
    <row r="211" spans="1:10" ht="183" customHeight="1" hidden="1">
      <c r="A211" s="20" t="s">
        <v>387</v>
      </c>
      <c r="B211" s="21" t="s">
        <v>332</v>
      </c>
      <c r="C211" s="14"/>
      <c r="D211" s="14"/>
      <c r="E211" s="15"/>
      <c r="F211" s="15"/>
      <c r="G211" s="14"/>
      <c r="H211" s="26"/>
      <c r="I211" s="11"/>
      <c r="J211" s="11"/>
    </row>
    <row r="212" spans="1:10" ht="110.25" customHeight="1" hidden="1">
      <c r="A212" s="20" t="s">
        <v>387</v>
      </c>
      <c r="B212" s="21" t="s">
        <v>399</v>
      </c>
      <c r="C212" s="14"/>
      <c r="D212" s="14"/>
      <c r="E212" s="15"/>
      <c r="F212" s="15"/>
      <c r="G212" s="14"/>
      <c r="H212" s="26"/>
      <c r="I212" s="11"/>
      <c r="J212" s="11"/>
    </row>
    <row r="213" spans="1:10" ht="76.5" customHeight="1">
      <c r="A213" s="20" t="s">
        <v>387</v>
      </c>
      <c r="B213" s="21" t="s">
        <v>406</v>
      </c>
      <c r="C213" s="14"/>
      <c r="D213" s="14"/>
      <c r="E213" s="15"/>
      <c r="F213" s="15"/>
      <c r="G213" s="14"/>
      <c r="H213" s="26">
        <v>42.7</v>
      </c>
      <c r="I213" s="11"/>
      <c r="J213" s="11"/>
    </row>
    <row r="214" spans="1:10" ht="65.25" customHeight="1">
      <c r="A214" s="20" t="s">
        <v>387</v>
      </c>
      <c r="B214" s="21" t="s">
        <v>421</v>
      </c>
      <c r="C214" s="14"/>
      <c r="D214" s="14"/>
      <c r="E214" s="15"/>
      <c r="F214" s="15"/>
      <c r="G214" s="14"/>
      <c r="H214" s="26">
        <v>76.5</v>
      </c>
      <c r="I214" s="11"/>
      <c r="J214" s="11"/>
    </row>
    <row r="215" spans="1:10" ht="35.25" customHeight="1">
      <c r="A215" s="43" t="s">
        <v>388</v>
      </c>
      <c r="B215" s="44" t="s">
        <v>398</v>
      </c>
      <c r="C215" s="34" t="e">
        <f>C216+#REF!+C236+C238+#REF!</f>
        <v>#REF!</v>
      </c>
      <c r="D215" s="34" t="e">
        <f>D216+#REF!+D236+D238+#REF!</f>
        <v>#REF!</v>
      </c>
      <c r="E215" s="34" t="e">
        <f>E216+#REF!+E236+E238+#REF!</f>
        <v>#REF!</v>
      </c>
      <c r="F215" s="34" t="e">
        <f>F216+#REF!+F236+F238+#REF!</f>
        <v>#REF!</v>
      </c>
      <c r="G215" s="34">
        <f>G216+G236+G238</f>
        <v>200222.4</v>
      </c>
      <c r="H215" s="22">
        <f>H216+H236+H238+H234</f>
        <v>204540.596</v>
      </c>
      <c r="I215" s="11"/>
      <c r="J215" s="11"/>
    </row>
    <row r="216" spans="1:10" ht="38.25" customHeight="1">
      <c r="A216" s="33" t="s">
        <v>389</v>
      </c>
      <c r="B216" s="21" t="s">
        <v>80</v>
      </c>
      <c r="C216" s="15">
        <f aca="true" t="shared" si="37" ref="C216:H216">C217</f>
        <v>194729</v>
      </c>
      <c r="D216" s="15">
        <f t="shared" si="37"/>
        <v>192006.90000000002</v>
      </c>
      <c r="E216" s="15">
        <f t="shared" si="37"/>
        <v>187782.19999999998</v>
      </c>
      <c r="F216" s="15">
        <f t="shared" si="37"/>
        <v>0</v>
      </c>
      <c r="G216" s="15">
        <f t="shared" si="37"/>
        <v>199184.9</v>
      </c>
      <c r="H216" s="30">
        <f t="shared" si="37"/>
        <v>203345.296</v>
      </c>
      <c r="I216" s="11"/>
      <c r="J216" s="11"/>
    </row>
    <row r="217" spans="1:10" ht="39" customHeight="1">
      <c r="A217" s="33" t="s">
        <v>390</v>
      </c>
      <c r="B217" s="21" t="s">
        <v>307</v>
      </c>
      <c r="C217" s="42">
        <f aca="true" t="shared" si="38" ref="C217:H217">SUM(C218:C233)</f>
        <v>194729</v>
      </c>
      <c r="D217" s="42">
        <f t="shared" si="38"/>
        <v>192006.90000000002</v>
      </c>
      <c r="E217" s="42">
        <f t="shared" si="38"/>
        <v>187782.19999999998</v>
      </c>
      <c r="F217" s="42">
        <f t="shared" si="38"/>
        <v>0</v>
      </c>
      <c r="G217" s="42">
        <f t="shared" si="38"/>
        <v>199184.9</v>
      </c>
      <c r="H217" s="30">
        <f t="shared" si="38"/>
        <v>203345.296</v>
      </c>
      <c r="I217" s="11"/>
      <c r="J217" s="11"/>
    </row>
    <row r="218" spans="1:10" ht="120.75" customHeight="1">
      <c r="A218" s="33" t="s">
        <v>390</v>
      </c>
      <c r="B218" s="21" t="s">
        <v>300</v>
      </c>
      <c r="C218" s="14">
        <v>1246.1</v>
      </c>
      <c r="D218" s="14">
        <v>1243</v>
      </c>
      <c r="E218" s="15">
        <v>1249.5</v>
      </c>
      <c r="F218" s="15"/>
      <c r="G218" s="14">
        <v>1249.5</v>
      </c>
      <c r="H218" s="26">
        <v>1267.1</v>
      </c>
      <c r="I218" s="11"/>
      <c r="J218" s="11"/>
    </row>
    <row r="219" spans="1:10" ht="48.75" customHeight="1">
      <c r="A219" s="33" t="s">
        <v>390</v>
      </c>
      <c r="B219" s="21" t="s">
        <v>316</v>
      </c>
      <c r="C219" s="14"/>
      <c r="D219" s="14"/>
      <c r="E219" s="15">
        <v>2080</v>
      </c>
      <c r="F219" s="15"/>
      <c r="G219" s="14"/>
      <c r="H219" s="26">
        <f>976-732</f>
        <v>244</v>
      </c>
      <c r="I219" s="11"/>
      <c r="J219" s="11"/>
    </row>
    <row r="220" spans="1:10" ht="63" customHeight="1">
      <c r="A220" s="33" t="s">
        <v>390</v>
      </c>
      <c r="B220" s="21" t="s">
        <v>422</v>
      </c>
      <c r="C220" s="14"/>
      <c r="D220" s="14"/>
      <c r="E220" s="15"/>
      <c r="F220" s="15"/>
      <c r="G220" s="14"/>
      <c r="H220" s="26">
        <v>947.4</v>
      </c>
      <c r="I220" s="11"/>
      <c r="J220" s="11"/>
    </row>
    <row r="221" spans="1:10" ht="121.5" customHeight="1">
      <c r="A221" s="33" t="s">
        <v>390</v>
      </c>
      <c r="B221" s="21" t="s">
        <v>301</v>
      </c>
      <c r="C221" s="14">
        <f>2609-347.4</f>
        <v>2261.6</v>
      </c>
      <c r="D221" s="14">
        <v>1940.6</v>
      </c>
      <c r="E221" s="15">
        <v>1975.8</v>
      </c>
      <c r="F221" s="15"/>
      <c r="G221" s="14">
        <v>1975.8</v>
      </c>
      <c r="H221" s="26">
        <f>1935.4-524-98.3</f>
        <v>1313.1000000000001</v>
      </c>
      <c r="I221" s="11"/>
      <c r="J221" s="11"/>
    </row>
    <row r="222" spans="1:10" ht="110.25" customHeight="1">
      <c r="A222" s="33" t="s">
        <v>390</v>
      </c>
      <c r="B222" s="21" t="s">
        <v>304</v>
      </c>
      <c r="C222" s="14">
        <f>1348.3-10.3</f>
        <v>1338</v>
      </c>
      <c r="D222" s="14">
        <v>1242.5</v>
      </c>
      <c r="E222" s="15">
        <v>1286.1</v>
      </c>
      <c r="F222" s="15"/>
      <c r="G222" s="14">
        <v>1336.1</v>
      </c>
      <c r="H222" s="26">
        <v>1378.3</v>
      </c>
      <c r="I222" s="11"/>
      <c r="J222" s="11"/>
    </row>
    <row r="223" spans="1:10" ht="139.5" customHeight="1">
      <c r="A223" s="33" t="s">
        <v>390</v>
      </c>
      <c r="B223" s="21" t="s">
        <v>313</v>
      </c>
      <c r="C223" s="14">
        <f>7565.7-777</f>
        <v>6788.7</v>
      </c>
      <c r="D223" s="14">
        <v>6788.6</v>
      </c>
      <c r="E223" s="15">
        <v>6988.7</v>
      </c>
      <c r="F223" s="15"/>
      <c r="G223" s="14">
        <v>6988.7</v>
      </c>
      <c r="H223" s="26">
        <f>7729.3-817.9</f>
        <v>6911.400000000001</v>
      </c>
      <c r="I223" s="11"/>
      <c r="J223" s="11"/>
    </row>
    <row r="224" spans="1:10" ht="107.25" customHeight="1">
      <c r="A224" s="33" t="s">
        <v>390</v>
      </c>
      <c r="B224" s="21" t="s">
        <v>302</v>
      </c>
      <c r="C224" s="14">
        <f>1752.9+457.3</f>
        <v>2210.2000000000003</v>
      </c>
      <c r="D224" s="14">
        <v>2197.5</v>
      </c>
      <c r="E224" s="15">
        <v>1752.9</v>
      </c>
      <c r="F224" s="15"/>
      <c r="G224" s="14">
        <v>1752.9</v>
      </c>
      <c r="H224" s="26">
        <v>2596</v>
      </c>
      <c r="I224" s="11"/>
      <c r="J224" s="11"/>
    </row>
    <row r="225" spans="1:10" ht="126" customHeight="1" hidden="1">
      <c r="A225" s="33" t="s">
        <v>56</v>
      </c>
      <c r="B225" s="21" t="s">
        <v>326</v>
      </c>
      <c r="C225" s="14">
        <f>165.3-149.3</f>
        <v>16</v>
      </c>
      <c r="D225" s="14">
        <v>16</v>
      </c>
      <c r="E225" s="15"/>
      <c r="F225" s="15"/>
      <c r="G225" s="14"/>
      <c r="H225" s="26"/>
      <c r="I225" s="11"/>
      <c r="J225" s="11"/>
    </row>
    <row r="226" spans="1:10" ht="114.75" customHeight="1" hidden="1">
      <c r="A226" s="33" t="s">
        <v>56</v>
      </c>
      <c r="B226" s="55" t="s">
        <v>303</v>
      </c>
      <c r="C226" s="14">
        <f>2495.2-0.2-860.2</f>
        <v>1634.8</v>
      </c>
      <c r="D226" s="14">
        <v>1634.8</v>
      </c>
      <c r="E226" s="15"/>
      <c r="F226" s="15"/>
      <c r="G226" s="14"/>
      <c r="H226" s="26"/>
      <c r="I226" s="11"/>
      <c r="J226" s="11"/>
    </row>
    <row r="227" spans="1:10" ht="110.25" customHeight="1">
      <c r="A227" s="33" t="s">
        <v>390</v>
      </c>
      <c r="B227" s="21" t="s">
        <v>305</v>
      </c>
      <c r="C227" s="14">
        <f>2360-120</f>
        <v>2240</v>
      </c>
      <c r="D227" s="14">
        <v>2240</v>
      </c>
      <c r="E227" s="15">
        <v>2360</v>
      </c>
      <c r="F227" s="15"/>
      <c r="G227" s="14">
        <v>2360</v>
      </c>
      <c r="H227" s="26">
        <v>2562.5</v>
      </c>
      <c r="I227" s="11"/>
      <c r="J227" s="11"/>
    </row>
    <row r="228" spans="1:10" ht="114" customHeight="1">
      <c r="A228" s="33" t="s">
        <v>390</v>
      </c>
      <c r="B228" s="21" t="s">
        <v>327</v>
      </c>
      <c r="C228" s="14">
        <v>1114.6</v>
      </c>
      <c r="D228" s="14">
        <v>528.9</v>
      </c>
      <c r="E228" s="15">
        <v>1111.8</v>
      </c>
      <c r="F228" s="15"/>
      <c r="G228" s="14">
        <v>1111.8</v>
      </c>
      <c r="H228" s="26">
        <v>1204.3</v>
      </c>
      <c r="I228" s="11"/>
      <c r="J228" s="11"/>
    </row>
    <row r="229" spans="1:10" ht="147.75" customHeight="1">
      <c r="A229" s="33" t="s">
        <v>390</v>
      </c>
      <c r="B229" s="21" t="s">
        <v>333</v>
      </c>
      <c r="C229" s="14">
        <f>77663.5-16200-4600</f>
        <v>56863.5</v>
      </c>
      <c r="D229" s="14">
        <v>55297.8</v>
      </c>
      <c r="E229" s="15">
        <f>59185.1-3698</f>
        <v>55487.1</v>
      </c>
      <c r="F229" s="15"/>
      <c r="G229" s="14">
        <v>77294.1</v>
      </c>
      <c r="H229" s="30">
        <f>81422.7-3750.8-15567.528</f>
        <v>62104.371999999996</v>
      </c>
      <c r="I229" s="11"/>
      <c r="J229" s="11"/>
    </row>
    <row r="230" spans="1:10" ht="117" customHeight="1">
      <c r="A230" s="33" t="s">
        <v>390</v>
      </c>
      <c r="B230" s="21" t="s">
        <v>328</v>
      </c>
      <c r="C230" s="14">
        <f>121212.8-2696.7</f>
        <v>118516.1</v>
      </c>
      <c r="D230" s="14">
        <v>118516.1</v>
      </c>
      <c r="E230" s="15">
        <v>112451.2</v>
      </c>
      <c r="F230" s="15"/>
      <c r="G230" s="14">
        <v>104076.9</v>
      </c>
      <c r="H230" s="30">
        <f>119726.4-507.5+1884.1+674.724</f>
        <v>121777.724</v>
      </c>
      <c r="I230" s="11"/>
      <c r="J230" s="11"/>
    </row>
    <row r="231" spans="1:10" ht="108" customHeight="1" hidden="1">
      <c r="A231" s="33" t="s">
        <v>390</v>
      </c>
      <c r="B231" s="21" t="s">
        <v>371</v>
      </c>
      <c r="C231" s="14"/>
      <c r="D231" s="14"/>
      <c r="E231" s="15"/>
      <c r="F231" s="15"/>
      <c r="G231" s="14"/>
      <c r="H231" s="26">
        <f>22.6-22.6</f>
        <v>0</v>
      </c>
      <c r="I231" s="11"/>
      <c r="J231" s="11"/>
    </row>
    <row r="232" spans="1:10" ht="132.75" customHeight="1" hidden="1">
      <c r="A232" s="33" t="s">
        <v>56</v>
      </c>
      <c r="B232" s="21" t="s">
        <v>373</v>
      </c>
      <c r="C232" s="14"/>
      <c r="D232" s="14"/>
      <c r="E232" s="15"/>
      <c r="F232" s="15"/>
      <c r="G232" s="14"/>
      <c r="H232" s="26"/>
      <c r="I232" s="11"/>
      <c r="J232" s="11"/>
    </row>
    <row r="233" spans="1:10" ht="76.5" customHeight="1">
      <c r="A233" s="33" t="s">
        <v>390</v>
      </c>
      <c r="B233" s="21" t="s">
        <v>306</v>
      </c>
      <c r="C233" s="14">
        <f>1094+405.4-1000</f>
        <v>499.4000000000001</v>
      </c>
      <c r="D233" s="14">
        <v>361.1</v>
      </c>
      <c r="E233" s="15">
        <v>1039.1</v>
      </c>
      <c r="F233" s="15"/>
      <c r="G233" s="14">
        <v>1039.1</v>
      </c>
      <c r="H233" s="26">
        <v>1039.1</v>
      </c>
      <c r="I233" s="11"/>
      <c r="J233" s="11"/>
    </row>
    <row r="234" spans="1:10" ht="70.5" customHeight="1" hidden="1">
      <c r="A234" s="33" t="s">
        <v>391</v>
      </c>
      <c r="B234" s="21" t="s">
        <v>368</v>
      </c>
      <c r="C234" s="14"/>
      <c r="D234" s="14"/>
      <c r="E234" s="15"/>
      <c r="F234" s="15"/>
      <c r="G234" s="14"/>
      <c r="H234" s="26">
        <f>H235</f>
        <v>0</v>
      </c>
      <c r="I234" s="11"/>
      <c r="J234" s="11"/>
    </row>
    <row r="235" spans="1:10" ht="60" customHeight="1" hidden="1">
      <c r="A235" s="33" t="s">
        <v>392</v>
      </c>
      <c r="B235" s="21" t="s">
        <v>369</v>
      </c>
      <c r="C235" s="14"/>
      <c r="D235" s="14"/>
      <c r="E235" s="15"/>
      <c r="F235" s="15"/>
      <c r="G235" s="14"/>
      <c r="H235" s="26"/>
      <c r="I235" s="11"/>
      <c r="J235" s="11"/>
    </row>
    <row r="236" spans="1:10" ht="64.5" customHeight="1" hidden="1">
      <c r="A236" s="33" t="s">
        <v>52</v>
      </c>
      <c r="B236" s="21" t="s">
        <v>53</v>
      </c>
      <c r="C236" s="47">
        <f>C237</f>
        <v>64</v>
      </c>
      <c r="D236" s="47">
        <f>D237</f>
        <v>14.6</v>
      </c>
      <c r="E236" s="47">
        <f>E237</f>
        <v>0</v>
      </c>
      <c r="F236" s="47">
        <f>F237</f>
        <v>0</v>
      </c>
      <c r="G236" s="47"/>
      <c r="H236" s="26">
        <f>H237</f>
        <v>0</v>
      </c>
      <c r="I236" s="11"/>
      <c r="J236" s="11"/>
    </row>
    <row r="237" spans="1:10" ht="68.25" customHeight="1" hidden="1">
      <c r="A237" s="33" t="s">
        <v>54</v>
      </c>
      <c r="B237" s="21" t="s">
        <v>55</v>
      </c>
      <c r="C237" s="14">
        <v>64</v>
      </c>
      <c r="D237" s="14">
        <v>14.6</v>
      </c>
      <c r="E237" s="15"/>
      <c r="F237" s="15"/>
      <c r="G237" s="14"/>
      <c r="H237" s="26"/>
      <c r="I237" s="11"/>
      <c r="J237" s="11"/>
    </row>
    <row r="238" spans="1:10" ht="36.75" customHeight="1">
      <c r="A238" s="33" t="s">
        <v>393</v>
      </c>
      <c r="B238" s="21" t="s">
        <v>141</v>
      </c>
      <c r="C238" s="47">
        <f aca="true" t="shared" si="39" ref="C238:H238">C239</f>
        <v>853.7</v>
      </c>
      <c r="D238" s="47">
        <f t="shared" si="39"/>
        <v>853.7</v>
      </c>
      <c r="E238" s="47">
        <f t="shared" si="39"/>
        <v>1018.2</v>
      </c>
      <c r="F238" s="47">
        <f t="shared" si="39"/>
        <v>0</v>
      </c>
      <c r="G238" s="47">
        <f t="shared" si="39"/>
        <v>1037.5</v>
      </c>
      <c r="H238" s="25">
        <f t="shared" si="39"/>
        <v>1195.3</v>
      </c>
      <c r="I238" s="11"/>
      <c r="J238" s="11"/>
    </row>
    <row r="239" spans="1:10" ht="29.25" customHeight="1">
      <c r="A239" s="33" t="s">
        <v>394</v>
      </c>
      <c r="B239" s="21" t="s">
        <v>299</v>
      </c>
      <c r="C239" s="14">
        <v>853.7</v>
      </c>
      <c r="D239" s="14">
        <v>853.7</v>
      </c>
      <c r="E239" s="15">
        <v>1018.2</v>
      </c>
      <c r="F239" s="15"/>
      <c r="G239" s="14">
        <v>1037.5</v>
      </c>
      <c r="H239" s="26">
        <v>1195.3</v>
      </c>
      <c r="I239" s="11"/>
      <c r="J239" s="11"/>
    </row>
    <row r="240" spans="1:10" ht="28.5" customHeight="1">
      <c r="A240" s="31" t="s">
        <v>397</v>
      </c>
      <c r="B240" s="32" t="s">
        <v>57</v>
      </c>
      <c r="C240" s="16" t="e">
        <f>#REF!+C243+C241</f>
        <v>#REF!</v>
      </c>
      <c r="D240" s="16" t="e">
        <f>#REF!+D243+D241</f>
        <v>#REF!</v>
      </c>
      <c r="E240" s="16" t="e">
        <f>#REF!+E243+E241</f>
        <v>#REF!</v>
      </c>
      <c r="F240" s="16" t="e">
        <f>#REF!+F243+F241</f>
        <v>#REF!</v>
      </c>
      <c r="G240" s="16" t="e">
        <f>#REF!+G243+G241</f>
        <v>#REF!</v>
      </c>
      <c r="H240" s="28">
        <f>H243+H241</f>
        <v>23629</v>
      </c>
      <c r="I240" s="11"/>
      <c r="J240" s="11"/>
    </row>
    <row r="241" spans="1:10" ht="39" customHeight="1">
      <c r="A241" s="43" t="s">
        <v>415</v>
      </c>
      <c r="B241" s="44" t="s">
        <v>416</v>
      </c>
      <c r="C241" s="16">
        <f aca="true" t="shared" si="40" ref="C241:H241">C242</f>
        <v>13428.1</v>
      </c>
      <c r="D241" s="16">
        <f t="shared" si="40"/>
        <v>13428.1</v>
      </c>
      <c r="E241" s="16">
        <f t="shared" si="40"/>
        <v>0</v>
      </c>
      <c r="F241" s="16">
        <f t="shared" si="40"/>
        <v>0</v>
      </c>
      <c r="G241" s="16">
        <f t="shared" si="40"/>
        <v>0</v>
      </c>
      <c r="H241" s="28">
        <f t="shared" si="40"/>
        <v>10000</v>
      </c>
      <c r="I241" s="11"/>
      <c r="J241" s="11"/>
    </row>
    <row r="242" spans="1:10" ht="44.25" customHeight="1">
      <c r="A242" s="33" t="s">
        <v>420</v>
      </c>
      <c r="B242" s="21" t="s">
        <v>417</v>
      </c>
      <c r="C242" s="47">
        <f>928.1+12500</f>
        <v>13428.1</v>
      </c>
      <c r="D242" s="47">
        <f>928.1+12500</f>
        <v>13428.1</v>
      </c>
      <c r="E242" s="47"/>
      <c r="F242" s="47"/>
      <c r="G242" s="47"/>
      <c r="H242" s="26">
        <v>10000</v>
      </c>
      <c r="I242" s="11"/>
      <c r="J242" s="11"/>
    </row>
    <row r="243" spans="1:10" ht="36" customHeight="1">
      <c r="A243" s="43" t="s">
        <v>396</v>
      </c>
      <c r="B243" s="44" t="s">
        <v>166</v>
      </c>
      <c r="C243" s="34">
        <f aca="true" t="shared" si="41" ref="C243:H243">C244</f>
        <v>16881</v>
      </c>
      <c r="D243" s="34">
        <f t="shared" si="41"/>
        <v>16240</v>
      </c>
      <c r="E243" s="34">
        <f t="shared" si="41"/>
        <v>15625.1</v>
      </c>
      <c r="F243" s="34">
        <f t="shared" si="41"/>
        <v>0</v>
      </c>
      <c r="G243" s="34">
        <f t="shared" si="41"/>
        <v>10625.1</v>
      </c>
      <c r="H243" s="28">
        <f t="shared" si="41"/>
        <v>13628.999999999998</v>
      </c>
      <c r="I243" s="11"/>
      <c r="J243" s="11"/>
    </row>
    <row r="244" spans="1:10" ht="42" customHeight="1">
      <c r="A244" s="33" t="s">
        <v>395</v>
      </c>
      <c r="B244" s="21" t="s">
        <v>2</v>
      </c>
      <c r="C244" s="42">
        <f aca="true" t="shared" si="42" ref="C244:H244">C245+C246+C247+C248</f>
        <v>16881</v>
      </c>
      <c r="D244" s="42">
        <f t="shared" si="42"/>
        <v>16240</v>
      </c>
      <c r="E244" s="42">
        <f t="shared" si="42"/>
        <v>15625.1</v>
      </c>
      <c r="F244" s="42">
        <f t="shared" si="42"/>
        <v>0</v>
      </c>
      <c r="G244" s="42">
        <f t="shared" si="42"/>
        <v>10625.1</v>
      </c>
      <c r="H244" s="26">
        <f t="shared" si="42"/>
        <v>13628.999999999998</v>
      </c>
      <c r="I244" s="11"/>
      <c r="J244" s="11"/>
    </row>
    <row r="245" spans="1:10" ht="121.5" customHeight="1">
      <c r="A245" s="33" t="s">
        <v>395</v>
      </c>
      <c r="B245" s="21" t="s">
        <v>329</v>
      </c>
      <c r="C245" s="14">
        <v>9706.3</v>
      </c>
      <c r="D245" s="14">
        <v>9706.3</v>
      </c>
      <c r="E245" s="15">
        <v>9203.5</v>
      </c>
      <c r="F245" s="15"/>
      <c r="G245" s="14">
        <v>9203.5</v>
      </c>
      <c r="H245" s="26">
        <f>12785.3-1244.6-1110.7</f>
        <v>10429.999999999998</v>
      </c>
      <c r="I245" s="11"/>
      <c r="J245" s="11"/>
    </row>
    <row r="246" spans="1:10" ht="126.75" customHeight="1">
      <c r="A246" s="33" t="s">
        <v>395</v>
      </c>
      <c r="B246" s="21" t="s">
        <v>424</v>
      </c>
      <c r="C246" s="14">
        <v>1617.7</v>
      </c>
      <c r="D246" s="14">
        <v>1477.7</v>
      </c>
      <c r="E246" s="15">
        <v>1421.6</v>
      </c>
      <c r="F246" s="15"/>
      <c r="G246" s="14">
        <v>1421.6</v>
      </c>
      <c r="H246" s="26">
        <f>2067.7-11.9</f>
        <v>2055.7999999999997</v>
      </c>
      <c r="I246" s="11"/>
      <c r="J246" s="11"/>
    </row>
    <row r="247" spans="1:10" ht="114.75" hidden="1">
      <c r="A247" s="33" t="s">
        <v>58</v>
      </c>
      <c r="B247" s="21" t="s">
        <v>269</v>
      </c>
      <c r="C247" s="14">
        <v>557</v>
      </c>
      <c r="D247" s="14">
        <v>56</v>
      </c>
      <c r="E247" s="15"/>
      <c r="F247" s="15"/>
      <c r="G247" s="14"/>
      <c r="H247" s="17"/>
      <c r="I247" s="11"/>
      <c r="J247" s="11"/>
    </row>
    <row r="248" spans="1:10" ht="56.25" customHeight="1">
      <c r="A248" s="33" t="s">
        <v>58</v>
      </c>
      <c r="B248" s="21" t="s">
        <v>423</v>
      </c>
      <c r="C248" s="14">
        <v>5000</v>
      </c>
      <c r="D248" s="14">
        <v>5000</v>
      </c>
      <c r="E248" s="15">
        <v>5000</v>
      </c>
      <c r="F248" s="15"/>
      <c r="G248" s="14"/>
      <c r="H248" s="17">
        <v>1143.2</v>
      </c>
      <c r="I248" s="11"/>
      <c r="J248" s="11"/>
    </row>
    <row r="249" spans="1:10" ht="24.75" customHeight="1">
      <c r="A249" s="56" t="s">
        <v>341</v>
      </c>
      <c r="B249" s="57" t="s">
        <v>343</v>
      </c>
      <c r="C249" s="58"/>
      <c r="D249" s="59">
        <f aca="true" t="shared" si="43" ref="D249:G250">D250</f>
        <v>-104</v>
      </c>
      <c r="E249" s="59">
        <f t="shared" si="43"/>
        <v>102921.4</v>
      </c>
      <c r="F249" s="59">
        <f t="shared" si="43"/>
        <v>0</v>
      </c>
      <c r="G249" s="59">
        <f t="shared" si="43"/>
        <v>0</v>
      </c>
      <c r="H249" s="18">
        <f>H250</f>
        <v>45885.69</v>
      </c>
      <c r="I249" s="11"/>
      <c r="J249" s="11"/>
    </row>
    <row r="250" spans="1:10" ht="30.75" customHeight="1">
      <c r="A250" s="60" t="s">
        <v>411</v>
      </c>
      <c r="B250" s="52" t="s">
        <v>342</v>
      </c>
      <c r="C250" s="61"/>
      <c r="D250" s="26">
        <f t="shared" si="43"/>
        <v>-104</v>
      </c>
      <c r="E250" s="26">
        <f t="shared" si="43"/>
        <v>102921.4</v>
      </c>
      <c r="F250" s="26">
        <f t="shared" si="43"/>
        <v>0</v>
      </c>
      <c r="G250" s="26">
        <f t="shared" si="43"/>
        <v>0</v>
      </c>
      <c r="H250" s="19">
        <f>SUM(H251:H253)</f>
        <v>45885.69</v>
      </c>
      <c r="I250" s="11"/>
      <c r="J250" s="11"/>
    </row>
    <row r="251" spans="1:10" ht="51" customHeight="1">
      <c r="A251" s="49" t="s">
        <v>410</v>
      </c>
      <c r="B251" s="62" t="s">
        <v>412</v>
      </c>
      <c r="C251" s="61"/>
      <c r="D251" s="17">
        <v>-104</v>
      </c>
      <c r="E251" s="26">
        <f>12000+80421.4+10500</f>
        <v>102921.4</v>
      </c>
      <c r="F251" s="26"/>
      <c r="G251" s="63"/>
      <c r="H251" s="19">
        <v>22885.69</v>
      </c>
      <c r="I251" s="11"/>
      <c r="J251" s="11"/>
    </row>
    <row r="252" spans="1:10" ht="66.75" customHeight="1">
      <c r="A252" s="49" t="s">
        <v>410</v>
      </c>
      <c r="B252" s="62" t="s">
        <v>418</v>
      </c>
      <c r="C252" s="64"/>
      <c r="D252" s="64"/>
      <c r="E252" s="64"/>
      <c r="F252" s="64"/>
      <c r="G252" s="64"/>
      <c r="H252" s="17">
        <v>15000</v>
      </c>
      <c r="I252" s="11"/>
      <c r="J252" s="11"/>
    </row>
    <row r="253" spans="1:10" ht="60.75" customHeight="1">
      <c r="A253" s="49" t="s">
        <v>410</v>
      </c>
      <c r="B253" s="62" t="s">
        <v>419</v>
      </c>
      <c r="C253" s="64"/>
      <c r="D253" s="64"/>
      <c r="E253" s="64"/>
      <c r="F253" s="64"/>
      <c r="G253" s="64"/>
      <c r="H253" s="17">
        <v>8000</v>
      </c>
      <c r="I253" s="11"/>
      <c r="J253" s="11"/>
    </row>
    <row r="254" spans="1:10" ht="15">
      <c r="A254" s="65"/>
      <c r="B254" s="66"/>
      <c r="C254" s="66"/>
      <c r="D254" s="66"/>
      <c r="E254" s="66"/>
      <c r="F254" s="66"/>
      <c r="G254" s="66"/>
      <c r="H254" s="11" t="s">
        <v>169</v>
      </c>
      <c r="I254" s="11"/>
      <c r="J254" s="11"/>
    </row>
    <row r="255" spans="1:7" ht="15">
      <c r="A255" s="3"/>
      <c r="B255" s="2"/>
      <c r="C255" s="2"/>
      <c r="D255" s="2"/>
      <c r="E255" s="2"/>
      <c r="F255" s="2"/>
      <c r="G255" s="2"/>
    </row>
    <row r="256" spans="1:7" ht="15">
      <c r="A256" s="4"/>
      <c r="B256" s="2"/>
      <c r="C256" s="2"/>
      <c r="D256" s="2"/>
      <c r="E256" s="2"/>
      <c r="F256" s="2"/>
      <c r="G256" s="2"/>
    </row>
    <row r="257" ht="15">
      <c r="A257" s="4"/>
    </row>
    <row r="258" ht="15">
      <c r="A258" s="4"/>
    </row>
    <row r="259" ht="15">
      <c r="A259" s="4"/>
    </row>
    <row r="260" ht="15">
      <c r="A260" s="4"/>
    </row>
    <row r="261" ht="15">
      <c r="A261" s="4"/>
    </row>
    <row r="262" ht="15">
      <c r="A262" s="4"/>
    </row>
    <row r="263" ht="15">
      <c r="A263" s="1"/>
    </row>
    <row r="264" ht="15">
      <c r="A264" s="1"/>
    </row>
    <row r="265" ht="15">
      <c r="A265" s="1"/>
    </row>
    <row r="266" ht="15">
      <c r="A266" s="1"/>
    </row>
    <row r="267" ht="15">
      <c r="A267" s="1"/>
    </row>
    <row r="268" ht="15">
      <c r="A268" s="1"/>
    </row>
    <row r="269" ht="15">
      <c r="A269" s="1"/>
    </row>
    <row r="270" ht="15">
      <c r="A270" s="1"/>
    </row>
    <row r="271" ht="15">
      <c r="A271" s="1"/>
    </row>
    <row r="272" ht="15">
      <c r="A272" s="1"/>
    </row>
    <row r="273" ht="15">
      <c r="A273" s="1"/>
    </row>
    <row r="274" ht="15">
      <c r="A274" s="1"/>
    </row>
    <row r="275" ht="15">
      <c r="A275" s="1"/>
    </row>
    <row r="276" ht="15">
      <c r="A276" s="1"/>
    </row>
    <row r="277" ht="15">
      <c r="A277" s="1"/>
    </row>
    <row r="278" ht="15">
      <c r="A278" s="1"/>
    </row>
    <row r="279" ht="15">
      <c r="A279" s="1"/>
    </row>
    <row r="280" ht="15">
      <c r="A280" s="1"/>
    </row>
    <row r="281" ht="15">
      <c r="A281" s="1"/>
    </row>
    <row r="282" ht="15">
      <c r="A282" s="1"/>
    </row>
    <row r="283" ht="15">
      <c r="A283" s="1"/>
    </row>
    <row r="284" ht="15">
      <c r="A284" s="1"/>
    </row>
    <row r="285" ht="15">
      <c r="A285" s="1"/>
    </row>
    <row r="286" ht="15">
      <c r="A286" s="1"/>
    </row>
    <row r="287" ht="15">
      <c r="A287" s="1"/>
    </row>
    <row r="288" ht="15">
      <c r="A288" s="1"/>
    </row>
    <row r="289" ht="15">
      <c r="A289" s="1"/>
    </row>
    <row r="290" ht="15">
      <c r="A290" s="1"/>
    </row>
    <row r="291" ht="15">
      <c r="A291" s="1"/>
    </row>
    <row r="292" ht="15">
      <c r="A292" s="1"/>
    </row>
    <row r="293" ht="15">
      <c r="A293" s="1"/>
    </row>
    <row r="294" ht="15">
      <c r="A294" s="1"/>
    </row>
    <row r="295" ht="15">
      <c r="A295" s="1"/>
    </row>
    <row r="296" ht="15">
      <c r="A296" s="1"/>
    </row>
    <row r="297" ht="15">
      <c r="A297" s="1"/>
    </row>
    <row r="298" ht="15">
      <c r="A298" s="1"/>
    </row>
    <row r="299" ht="15">
      <c r="A299" s="1"/>
    </row>
    <row r="300" ht="15">
      <c r="A300" s="1"/>
    </row>
    <row r="301" ht="15">
      <c r="A301" s="1"/>
    </row>
    <row r="302" ht="15">
      <c r="A302" s="1"/>
    </row>
    <row r="303" ht="15">
      <c r="A303" s="1"/>
    </row>
    <row r="304" ht="15">
      <c r="A304" s="1"/>
    </row>
    <row r="305" ht="15">
      <c r="A305" s="1"/>
    </row>
    <row r="306" ht="15">
      <c r="A306" s="1"/>
    </row>
    <row r="307" ht="15">
      <c r="A307" s="1"/>
    </row>
    <row r="308" ht="15">
      <c r="A308" s="1"/>
    </row>
    <row r="309" ht="15">
      <c r="A309" s="1"/>
    </row>
    <row r="310" ht="15">
      <c r="A310" s="1"/>
    </row>
    <row r="311" ht="15">
      <c r="A311" s="1"/>
    </row>
    <row r="312" ht="15">
      <c r="A312" s="1"/>
    </row>
    <row r="313" ht="15">
      <c r="A313" s="1"/>
    </row>
    <row r="314" ht="15">
      <c r="A314" s="1"/>
    </row>
    <row r="315" ht="15">
      <c r="A315" s="1"/>
    </row>
    <row r="316" ht="15">
      <c r="A316" s="1"/>
    </row>
    <row r="317" ht="15">
      <c r="A317" s="1"/>
    </row>
    <row r="318" ht="15">
      <c r="A318" s="1"/>
    </row>
    <row r="319" ht="15">
      <c r="A319" s="1"/>
    </row>
    <row r="320" ht="15">
      <c r="A320" s="1"/>
    </row>
    <row r="321" ht="15">
      <c r="A321" s="1"/>
    </row>
    <row r="322" ht="15">
      <c r="A322" s="1"/>
    </row>
    <row r="323" ht="15">
      <c r="A323" s="1"/>
    </row>
    <row r="324" ht="15">
      <c r="A324" s="1"/>
    </row>
    <row r="325" ht="15">
      <c r="A325" s="1"/>
    </row>
    <row r="326" ht="15">
      <c r="A326" s="1"/>
    </row>
    <row r="327" ht="15">
      <c r="A327" s="1"/>
    </row>
    <row r="328" ht="15">
      <c r="A328" s="1"/>
    </row>
    <row r="329" ht="15">
      <c r="A329" s="1"/>
    </row>
    <row r="330" ht="15">
      <c r="A330" s="1"/>
    </row>
    <row r="331" ht="15">
      <c r="A331" s="1"/>
    </row>
    <row r="332" ht="15">
      <c r="A332" s="1"/>
    </row>
    <row r="333" ht="15">
      <c r="A333" s="1"/>
    </row>
    <row r="334" ht="15">
      <c r="A334" s="1"/>
    </row>
    <row r="335" ht="15">
      <c r="A335" s="1"/>
    </row>
    <row r="336" ht="15">
      <c r="A336" s="1"/>
    </row>
    <row r="337" ht="15">
      <c r="A337" s="1"/>
    </row>
    <row r="338" ht="15">
      <c r="A338" s="1"/>
    </row>
    <row r="339" ht="15">
      <c r="A339" s="1"/>
    </row>
    <row r="340" ht="15">
      <c r="A340" s="1"/>
    </row>
    <row r="341" ht="15">
      <c r="A341" s="1"/>
    </row>
    <row r="342" ht="15">
      <c r="A342" s="1"/>
    </row>
    <row r="343" ht="15">
      <c r="A343" s="1"/>
    </row>
    <row r="344" ht="15">
      <c r="A344" s="1"/>
    </row>
    <row r="345" ht="15">
      <c r="A345" s="1"/>
    </row>
    <row r="346" ht="15">
      <c r="A346" s="1"/>
    </row>
    <row r="347" ht="15">
      <c r="A347" s="1"/>
    </row>
    <row r="348" ht="15">
      <c r="A348" s="1"/>
    </row>
    <row r="349" ht="15">
      <c r="A349" s="1"/>
    </row>
    <row r="350" ht="15">
      <c r="A350" s="1"/>
    </row>
    <row r="351" ht="15">
      <c r="A351" s="1"/>
    </row>
    <row r="352" ht="15">
      <c r="A352" s="1"/>
    </row>
    <row r="353" ht="15">
      <c r="A353" s="1"/>
    </row>
    <row r="354" ht="15">
      <c r="A354" s="1"/>
    </row>
    <row r="355" ht="15">
      <c r="A355" s="1"/>
    </row>
    <row r="356" ht="15">
      <c r="A356" s="1"/>
    </row>
    <row r="357" ht="15">
      <c r="A357" s="1"/>
    </row>
    <row r="358" ht="15">
      <c r="A358" s="1"/>
    </row>
    <row r="359" ht="15">
      <c r="A359" s="1"/>
    </row>
    <row r="360" ht="15">
      <c r="A360" s="1"/>
    </row>
    <row r="361" ht="15">
      <c r="A361" s="1"/>
    </row>
    <row r="362" ht="15">
      <c r="A362" s="1"/>
    </row>
    <row r="363" ht="15">
      <c r="A363" s="1"/>
    </row>
    <row r="364" ht="15">
      <c r="A364" s="1"/>
    </row>
    <row r="365" ht="15">
      <c r="A365" s="1"/>
    </row>
    <row r="366" ht="15">
      <c r="A366" s="1"/>
    </row>
    <row r="367" ht="15">
      <c r="A367" s="1"/>
    </row>
    <row r="368" ht="15">
      <c r="A368" s="1"/>
    </row>
    <row r="369" ht="15">
      <c r="A369" s="1"/>
    </row>
    <row r="370" ht="15">
      <c r="A370" s="1"/>
    </row>
    <row r="371" ht="15">
      <c r="A371" s="1"/>
    </row>
    <row r="372" ht="15">
      <c r="A372" s="1"/>
    </row>
    <row r="373" ht="15">
      <c r="A373" s="1"/>
    </row>
    <row r="374" ht="15">
      <c r="A374" s="1"/>
    </row>
    <row r="375" ht="15">
      <c r="A375" s="1"/>
    </row>
    <row r="376" ht="15">
      <c r="A376" s="1"/>
    </row>
    <row r="377" ht="15">
      <c r="A377" s="1"/>
    </row>
    <row r="378" ht="15">
      <c r="A378" s="1"/>
    </row>
    <row r="379" ht="15">
      <c r="A379" s="1"/>
    </row>
    <row r="380" ht="15">
      <c r="A380" s="1"/>
    </row>
    <row r="381" ht="15">
      <c r="A381" s="1"/>
    </row>
    <row r="382" ht="15">
      <c r="A382" s="1"/>
    </row>
    <row r="383" ht="15">
      <c r="A383" s="1"/>
    </row>
    <row r="384" ht="15">
      <c r="A384" s="1"/>
    </row>
    <row r="385" ht="15">
      <c r="A385" s="1"/>
    </row>
    <row r="386" ht="15">
      <c r="A386" s="1"/>
    </row>
    <row r="387" ht="15">
      <c r="A387" s="1"/>
    </row>
    <row r="388" ht="15">
      <c r="A388" s="1"/>
    </row>
    <row r="389" ht="15">
      <c r="A389" s="1"/>
    </row>
    <row r="390" ht="15">
      <c r="A390" s="1"/>
    </row>
    <row r="391" ht="15">
      <c r="A391" s="1"/>
    </row>
    <row r="392" ht="15">
      <c r="A392" s="1"/>
    </row>
    <row r="393" ht="15">
      <c r="A393" s="1"/>
    </row>
    <row r="394" ht="15">
      <c r="A394" s="1"/>
    </row>
    <row r="395" ht="15">
      <c r="A395" s="1"/>
    </row>
    <row r="396" ht="15">
      <c r="A396" s="1"/>
    </row>
    <row r="397" ht="15">
      <c r="A397" s="1"/>
    </row>
    <row r="398" ht="15">
      <c r="A398" s="1"/>
    </row>
    <row r="399" ht="15">
      <c r="A399" s="1"/>
    </row>
    <row r="400" ht="15">
      <c r="A400" s="1"/>
    </row>
    <row r="401" ht="15">
      <c r="A401" s="1"/>
    </row>
    <row r="402" ht="15">
      <c r="A402" s="1"/>
    </row>
    <row r="403" ht="15">
      <c r="A403" s="1"/>
    </row>
    <row r="404" ht="15">
      <c r="A404" s="1"/>
    </row>
    <row r="405" ht="15">
      <c r="A405" s="1"/>
    </row>
    <row r="406" ht="15">
      <c r="A406" s="1"/>
    </row>
    <row r="407" ht="15">
      <c r="A407" s="1"/>
    </row>
    <row r="408" ht="15">
      <c r="A408" s="1"/>
    </row>
    <row r="409" ht="15">
      <c r="A409" s="1"/>
    </row>
    <row r="410" ht="15">
      <c r="A410" s="1"/>
    </row>
    <row r="411" ht="15">
      <c r="A411" s="1"/>
    </row>
    <row r="412" ht="15">
      <c r="A412" s="1"/>
    </row>
    <row r="413" ht="15">
      <c r="A413" s="1"/>
    </row>
    <row r="414" ht="15">
      <c r="A414" s="1"/>
    </row>
    <row r="415" ht="15">
      <c r="A415" s="1"/>
    </row>
    <row r="416" ht="15">
      <c r="A416" s="1"/>
    </row>
    <row r="417" ht="15">
      <c r="A417" s="1"/>
    </row>
    <row r="418" ht="15">
      <c r="A418" s="1"/>
    </row>
    <row r="419" ht="15">
      <c r="A419" s="1"/>
    </row>
    <row r="420" ht="15">
      <c r="A420" s="1"/>
    </row>
    <row r="421" ht="15">
      <c r="A421" s="1"/>
    </row>
    <row r="422" ht="15">
      <c r="A422" s="1"/>
    </row>
    <row r="423" ht="15">
      <c r="A423" s="1"/>
    </row>
    <row r="424" ht="15">
      <c r="A424" s="1"/>
    </row>
    <row r="425" ht="15">
      <c r="A425" s="1"/>
    </row>
    <row r="426" ht="15">
      <c r="A426" s="1"/>
    </row>
    <row r="427" ht="15">
      <c r="A427" s="1"/>
    </row>
    <row r="428" ht="15">
      <c r="A428" s="1"/>
    </row>
    <row r="429" ht="15">
      <c r="A429" s="1"/>
    </row>
    <row r="430" ht="15">
      <c r="A430" s="1"/>
    </row>
    <row r="431" ht="15">
      <c r="A431" s="1"/>
    </row>
    <row r="432" ht="15">
      <c r="A432" s="1"/>
    </row>
    <row r="433" ht="15">
      <c r="A433" s="1"/>
    </row>
    <row r="434" ht="15">
      <c r="A434" s="1"/>
    </row>
    <row r="435" ht="15">
      <c r="A435" s="1"/>
    </row>
    <row r="436" ht="15">
      <c r="A436" s="1"/>
    </row>
    <row r="437" ht="15">
      <c r="A437" s="1"/>
    </row>
    <row r="438" ht="15">
      <c r="A438" s="1"/>
    </row>
    <row r="439" ht="15">
      <c r="A439" s="1"/>
    </row>
    <row r="440" ht="15">
      <c r="A440" s="1"/>
    </row>
    <row r="441" ht="15">
      <c r="A441" s="1"/>
    </row>
    <row r="442" ht="15">
      <c r="A442" s="1"/>
    </row>
    <row r="443" ht="15">
      <c r="A443" s="1"/>
    </row>
    <row r="444" ht="15">
      <c r="A444" s="1"/>
    </row>
    <row r="445" ht="15">
      <c r="A445" s="1"/>
    </row>
    <row r="446" ht="15">
      <c r="A446" s="1"/>
    </row>
    <row r="447" ht="15">
      <c r="A447" s="1"/>
    </row>
    <row r="448" ht="15">
      <c r="A448" s="1"/>
    </row>
    <row r="449" ht="15">
      <c r="A449" s="1"/>
    </row>
    <row r="450" ht="15">
      <c r="A450" s="1"/>
    </row>
    <row r="451" ht="15">
      <c r="A451" s="1"/>
    </row>
    <row r="452" ht="15">
      <c r="A452" s="1"/>
    </row>
    <row r="453" ht="15">
      <c r="A453" s="1"/>
    </row>
    <row r="454" ht="15">
      <c r="A454" s="1"/>
    </row>
    <row r="455" ht="15">
      <c r="A455" s="1"/>
    </row>
    <row r="456" ht="15">
      <c r="A456" s="1"/>
    </row>
    <row r="457" ht="15">
      <c r="A457" s="1"/>
    </row>
    <row r="458" ht="15">
      <c r="A458" s="1"/>
    </row>
    <row r="459" ht="15">
      <c r="A459" s="1"/>
    </row>
    <row r="460" ht="15">
      <c r="A460" s="1"/>
    </row>
    <row r="461" ht="15">
      <c r="A461" s="1"/>
    </row>
    <row r="462" ht="15">
      <c r="A462" s="1"/>
    </row>
    <row r="463" ht="15">
      <c r="A463" s="1"/>
    </row>
    <row r="464" ht="15">
      <c r="A464" s="1"/>
    </row>
    <row r="465" ht="15">
      <c r="A465" s="1"/>
    </row>
    <row r="466" ht="15">
      <c r="A466" s="1"/>
    </row>
    <row r="467" ht="15">
      <c r="A467" s="1"/>
    </row>
    <row r="468" ht="15">
      <c r="A468" s="1"/>
    </row>
    <row r="469" ht="15">
      <c r="A469" s="1"/>
    </row>
    <row r="470" ht="15">
      <c r="A470" s="1"/>
    </row>
    <row r="471" ht="15">
      <c r="A471" s="1"/>
    </row>
    <row r="472" ht="15">
      <c r="A472" s="1"/>
    </row>
    <row r="473" ht="15">
      <c r="A473" s="1"/>
    </row>
    <row r="474" ht="15">
      <c r="A474" s="1"/>
    </row>
    <row r="475" ht="15">
      <c r="A475" s="1"/>
    </row>
    <row r="476" ht="15">
      <c r="A476" s="1"/>
    </row>
    <row r="477" ht="15">
      <c r="A477" s="1"/>
    </row>
    <row r="478" ht="15">
      <c r="A478" s="1"/>
    </row>
    <row r="479" ht="15">
      <c r="A479" s="1"/>
    </row>
    <row r="480" ht="15">
      <c r="A480" s="1"/>
    </row>
    <row r="481" ht="15">
      <c r="A481" s="1"/>
    </row>
    <row r="482" ht="15">
      <c r="A482" s="1"/>
    </row>
    <row r="483" ht="15">
      <c r="A483" s="1"/>
    </row>
    <row r="484" ht="15">
      <c r="A484" s="1"/>
    </row>
    <row r="485" ht="15">
      <c r="A485" s="1"/>
    </row>
    <row r="486" ht="15">
      <c r="A486" s="1"/>
    </row>
    <row r="487" ht="15">
      <c r="A487" s="1"/>
    </row>
    <row r="488" ht="15">
      <c r="A488" s="1"/>
    </row>
  </sheetData>
  <sheetProtection/>
  <mergeCells count="8">
    <mergeCell ref="B6:E6"/>
    <mergeCell ref="A7:H7"/>
    <mergeCell ref="A8:H8"/>
    <mergeCell ref="A9:H9"/>
    <mergeCell ref="B1:H1"/>
    <mergeCell ref="B2:H2"/>
    <mergeCell ref="B4:H4"/>
    <mergeCell ref="B5:H5"/>
  </mergeCells>
  <printOptions/>
  <pageMargins left="0.5905511811023623" right="0.3937007874015748" top="0.7874015748031497" bottom="0.7874015748031497" header="0.5118110236220472" footer="0.5118110236220472"/>
  <pageSetup fitToHeight="0" fitToWidth="1" horizontalDpi="600" verticalDpi="600" orientation="portrait" paperSize="9" scale="97"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SuprunovaNV</dc:creator>
  <cp:keywords/>
  <dc:description/>
  <cp:lastModifiedBy>Секретарь</cp:lastModifiedBy>
  <cp:lastPrinted>2019-10-11T00:39:44Z</cp:lastPrinted>
  <dcterms:created xsi:type="dcterms:W3CDTF">2006-12-21T04:02:23Z</dcterms:created>
  <dcterms:modified xsi:type="dcterms:W3CDTF">2019-10-11T00:40:03Z</dcterms:modified>
  <cp:category/>
  <cp:version/>
  <cp:contentType/>
  <cp:contentStatus/>
</cp:coreProperties>
</file>