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bsh_spec03\Desktop\СДЕЛАТЬ\Разумова\"/>
    </mc:Choice>
  </mc:AlternateContent>
  <bookViews>
    <workbookView xWindow="0" yWindow="0" windowWidth="28800" windowHeight="12435"/>
  </bookViews>
  <sheets>
    <sheet name="ЛИМИТЫ" sheetId="1" r:id="rId1"/>
    <sheet name="ТАРИФЫ" sheetId="2" r:id="rId2"/>
    <sheet name="Лист4" sheetId="6" r:id="rId3"/>
  </sheets>
  <definedNames>
    <definedName name="_xlnm._FilterDatabase" localSheetId="0" hidden="1">ЛИМИТЫ!$A$8:$O$149</definedName>
    <definedName name="_xlnm.Print_Titles" localSheetId="0">ЛИМИТЫ!$5:$8</definedName>
  </definedNames>
  <calcPr calcId="152511"/>
</workbook>
</file>

<file path=xl/calcChain.xml><?xml version="1.0" encoding="utf-8"?>
<calcChain xmlns="http://schemas.openxmlformats.org/spreadsheetml/2006/main">
  <c r="F24" i="2" l="1"/>
  <c r="E24" i="2"/>
  <c r="G24" i="2" s="1"/>
  <c r="F23" i="2"/>
  <c r="E23" i="2"/>
  <c r="G23" i="2" s="1"/>
  <c r="F22" i="2"/>
  <c r="E22" i="2"/>
  <c r="G22" i="2" s="1"/>
  <c r="F21" i="2"/>
  <c r="E21" i="2"/>
  <c r="G21" i="2" s="1"/>
  <c r="F20" i="2"/>
  <c r="E20" i="2"/>
  <c r="G20" i="2" s="1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D24" i="1" l="1"/>
  <c r="F24" i="1"/>
  <c r="H24" i="1"/>
  <c r="J24" i="1"/>
  <c r="D25" i="1"/>
  <c r="F25" i="1"/>
  <c r="H25" i="1"/>
  <c r="J25" i="1"/>
  <c r="B25" i="1"/>
  <c r="B24" i="1"/>
  <c r="D11" i="1" l="1"/>
  <c r="F11" i="1"/>
  <c r="H11" i="1"/>
  <c r="J11" i="1"/>
  <c r="D12" i="1"/>
  <c r="F12" i="1"/>
  <c r="H12" i="1"/>
  <c r="J12" i="1"/>
  <c r="B12" i="1"/>
  <c r="B11" i="1"/>
  <c r="N32" i="1"/>
  <c r="K32" i="1"/>
  <c r="I32" i="1"/>
  <c r="G32" i="1"/>
  <c r="E32" i="1"/>
  <c r="C32" i="1"/>
  <c r="N31" i="1"/>
  <c r="K31" i="1"/>
  <c r="I31" i="1"/>
  <c r="G31" i="1"/>
  <c r="G30" i="1" s="1"/>
  <c r="E31" i="1"/>
  <c r="E30" i="1" s="1"/>
  <c r="C31" i="1"/>
  <c r="J30" i="1"/>
  <c r="H30" i="1"/>
  <c r="F30" i="1"/>
  <c r="D30" i="1"/>
  <c r="B30" i="1"/>
  <c r="K30" i="1" l="1"/>
  <c r="L31" i="1"/>
  <c r="I30" i="1"/>
  <c r="L32" i="1"/>
  <c r="C30" i="1"/>
  <c r="F56" i="6"/>
  <c r="D56" i="6"/>
  <c r="C56" i="6"/>
  <c r="C53" i="6"/>
  <c r="C52" i="6"/>
  <c r="F52" i="6" s="1"/>
  <c r="L30" i="1" l="1"/>
  <c r="I52" i="6"/>
  <c r="I143" i="1" l="1"/>
  <c r="I137" i="1"/>
  <c r="I133" i="1"/>
  <c r="I127" i="1"/>
  <c r="I103" i="1"/>
  <c r="I93" i="1"/>
  <c r="I86" i="1"/>
  <c r="I74" i="1"/>
  <c r="I71" i="1"/>
  <c r="I65" i="1"/>
  <c r="I58" i="1"/>
  <c r="I55" i="1"/>
  <c r="I52" i="1"/>
  <c r="I49" i="1"/>
  <c r="I37" i="1"/>
  <c r="I28" i="1"/>
  <c r="I21" i="1"/>
  <c r="I18" i="1"/>
  <c r="I15" i="1"/>
  <c r="I11" i="1" s="1"/>
  <c r="I34" i="1"/>
  <c r="E130" i="1"/>
  <c r="E131" i="1"/>
  <c r="E113" i="1"/>
  <c r="E112" i="1"/>
  <c r="J131" i="1"/>
  <c r="N131" i="1" s="1"/>
  <c r="J130" i="1"/>
  <c r="K130" i="1" s="1"/>
  <c r="J113" i="1"/>
  <c r="N113" i="1" s="1"/>
  <c r="J112" i="1"/>
  <c r="N112" i="1" s="1"/>
  <c r="J81" i="1"/>
  <c r="J80" i="1"/>
  <c r="N80" i="1" s="1"/>
  <c r="J110" i="1"/>
  <c r="K110" i="1" s="1"/>
  <c r="J109" i="1"/>
  <c r="K109" i="1" s="1"/>
  <c r="J84" i="1"/>
  <c r="N84" i="1" s="1"/>
  <c r="J83" i="1"/>
  <c r="K83" i="1" s="1"/>
  <c r="J47" i="1"/>
  <c r="K47" i="1" s="1"/>
  <c r="J46" i="1"/>
  <c r="K46" i="1" s="1"/>
  <c r="K84" i="1"/>
  <c r="I110" i="1"/>
  <c r="I109" i="1"/>
  <c r="I84" i="1"/>
  <c r="I83" i="1"/>
  <c r="E110" i="1"/>
  <c r="E109" i="1"/>
  <c r="E84" i="1"/>
  <c r="E83" i="1"/>
  <c r="C110" i="1"/>
  <c r="C109" i="1"/>
  <c r="C84" i="1"/>
  <c r="C83" i="1"/>
  <c r="I47" i="1"/>
  <c r="I46" i="1"/>
  <c r="G47" i="1"/>
  <c r="G46" i="1"/>
  <c r="E47" i="1"/>
  <c r="E46" i="1"/>
  <c r="C47" i="1"/>
  <c r="C46" i="1"/>
  <c r="N138" i="1"/>
  <c r="N137" i="1"/>
  <c r="N134" i="1"/>
  <c r="N133" i="1"/>
  <c r="N130" i="1"/>
  <c r="N128" i="1"/>
  <c r="N127" i="1"/>
  <c r="N104" i="1"/>
  <c r="N103" i="1"/>
  <c r="N94" i="1"/>
  <c r="N93" i="1"/>
  <c r="N87" i="1"/>
  <c r="N86" i="1"/>
  <c r="N81" i="1"/>
  <c r="J107" i="1"/>
  <c r="N107" i="1" s="1"/>
  <c r="J106" i="1"/>
  <c r="N106" i="1" s="1"/>
  <c r="J97" i="1"/>
  <c r="N97" i="1" s="1"/>
  <c r="J96" i="1"/>
  <c r="K96" i="1" s="1"/>
  <c r="J78" i="1"/>
  <c r="N78" i="1" s="1"/>
  <c r="J77" i="1"/>
  <c r="N77" i="1" s="1"/>
  <c r="J69" i="1"/>
  <c r="K69" i="1" s="1"/>
  <c r="J68" i="1"/>
  <c r="N68" i="1" s="1"/>
  <c r="J41" i="1"/>
  <c r="K41" i="1" s="1"/>
  <c r="K77" i="1"/>
  <c r="I107" i="1"/>
  <c r="I106" i="1"/>
  <c r="I97" i="1"/>
  <c r="I96" i="1"/>
  <c r="I78" i="1"/>
  <c r="I77" i="1"/>
  <c r="I69" i="1"/>
  <c r="I68" i="1"/>
  <c r="G107" i="1"/>
  <c r="G106" i="1"/>
  <c r="G97" i="1"/>
  <c r="G96" i="1"/>
  <c r="G78" i="1"/>
  <c r="G77" i="1"/>
  <c r="G69" i="1"/>
  <c r="G68" i="1"/>
  <c r="E107" i="1"/>
  <c r="E106" i="1"/>
  <c r="E97" i="1"/>
  <c r="E96" i="1"/>
  <c r="E78" i="1"/>
  <c r="E77" i="1"/>
  <c r="E69" i="1"/>
  <c r="E68" i="1"/>
  <c r="C107" i="1"/>
  <c r="C106" i="1"/>
  <c r="C97" i="1"/>
  <c r="C96" i="1"/>
  <c r="C78" i="1"/>
  <c r="C77" i="1"/>
  <c r="C69" i="1"/>
  <c r="C68" i="1"/>
  <c r="K40" i="1"/>
  <c r="I41" i="1"/>
  <c r="I40" i="1"/>
  <c r="E41" i="1"/>
  <c r="E40" i="1"/>
  <c r="C41" i="1"/>
  <c r="C40" i="1"/>
  <c r="N44" i="1"/>
  <c r="N43" i="1"/>
  <c r="N40" i="1"/>
  <c r="I44" i="1"/>
  <c r="I43" i="1"/>
  <c r="G44" i="1"/>
  <c r="G43" i="1"/>
  <c r="E44" i="1"/>
  <c r="E43" i="1"/>
  <c r="C44" i="1"/>
  <c r="C43" i="1"/>
  <c r="N50" i="1"/>
  <c r="N49" i="1"/>
  <c r="N38" i="1"/>
  <c r="N37" i="1"/>
  <c r="N29" i="1"/>
  <c r="N28" i="1"/>
  <c r="N22" i="1"/>
  <c r="N21" i="1"/>
  <c r="N19" i="1"/>
  <c r="N18" i="1"/>
  <c r="N16" i="1"/>
  <c r="N15" i="1"/>
  <c r="J144" i="1"/>
  <c r="N144" i="1" s="1"/>
  <c r="J143" i="1"/>
  <c r="N143" i="1" s="1"/>
  <c r="N75" i="1"/>
  <c r="N74" i="1"/>
  <c r="N72" i="1"/>
  <c r="N71" i="1"/>
  <c r="N66" i="1"/>
  <c r="N65" i="1"/>
  <c r="N59" i="1"/>
  <c r="N58" i="1"/>
  <c r="N56" i="1"/>
  <c r="N55" i="1"/>
  <c r="N53" i="1"/>
  <c r="N52" i="1"/>
  <c r="I94" i="1"/>
  <c r="I87" i="1"/>
  <c r="I75" i="1"/>
  <c r="I72" i="1"/>
  <c r="I66" i="1"/>
  <c r="G138" i="1"/>
  <c r="G137" i="1"/>
  <c r="G134" i="1"/>
  <c r="G133" i="1"/>
  <c r="G128" i="1"/>
  <c r="G127" i="1"/>
  <c r="G104" i="1"/>
  <c r="G103" i="1"/>
  <c r="G94" i="1"/>
  <c r="G93" i="1"/>
  <c r="G87" i="1"/>
  <c r="G86" i="1"/>
  <c r="G75" i="1"/>
  <c r="G74" i="1"/>
  <c r="G72" i="1"/>
  <c r="G71" i="1"/>
  <c r="G66" i="1"/>
  <c r="G65" i="1"/>
  <c r="G59" i="1"/>
  <c r="G58" i="1"/>
  <c r="G56" i="1"/>
  <c r="G55" i="1"/>
  <c r="G53" i="1"/>
  <c r="G52" i="1"/>
  <c r="G50" i="1"/>
  <c r="G49" i="1"/>
  <c r="G38" i="1"/>
  <c r="G37" i="1"/>
  <c r="G29" i="1"/>
  <c r="G28" i="1"/>
  <c r="G22" i="1"/>
  <c r="G21" i="1"/>
  <c r="G19" i="1"/>
  <c r="G18" i="1"/>
  <c r="G16" i="1"/>
  <c r="G15" i="1"/>
  <c r="G11" i="1" s="1"/>
  <c r="G35" i="1"/>
  <c r="G34" i="1"/>
  <c r="E138" i="1"/>
  <c r="E137" i="1"/>
  <c r="E134" i="1"/>
  <c r="E133" i="1"/>
  <c r="E128" i="1"/>
  <c r="E127" i="1"/>
  <c r="E104" i="1"/>
  <c r="E103" i="1"/>
  <c r="E94" i="1"/>
  <c r="E93" i="1"/>
  <c r="E87" i="1"/>
  <c r="E86" i="1"/>
  <c r="E75" i="1"/>
  <c r="E74" i="1"/>
  <c r="E72" i="1"/>
  <c r="E71" i="1"/>
  <c r="E66" i="1"/>
  <c r="E65" i="1"/>
  <c r="E59" i="1"/>
  <c r="E58" i="1"/>
  <c r="E56" i="1"/>
  <c r="E55" i="1"/>
  <c r="E53" i="1"/>
  <c r="E52" i="1"/>
  <c r="E50" i="1"/>
  <c r="E49" i="1"/>
  <c r="E38" i="1"/>
  <c r="E37" i="1"/>
  <c r="E29" i="1"/>
  <c r="E28" i="1"/>
  <c r="E22" i="1"/>
  <c r="E21" i="1"/>
  <c r="E19" i="1"/>
  <c r="E18" i="1"/>
  <c r="E16" i="1"/>
  <c r="E12" i="1" s="1"/>
  <c r="E15" i="1"/>
  <c r="E35" i="1"/>
  <c r="E34" i="1"/>
  <c r="C38" i="1"/>
  <c r="C37" i="1"/>
  <c r="C29" i="1"/>
  <c r="C28" i="1"/>
  <c r="C59" i="1"/>
  <c r="C58" i="1"/>
  <c r="C56" i="1"/>
  <c r="C55" i="1"/>
  <c r="C53" i="1"/>
  <c r="C52" i="1"/>
  <c r="C50" i="1"/>
  <c r="C49" i="1"/>
  <c r="C66" i="1"/>
  <c r="C65" i="1"/>
  <c r="C75" i="1"/>
  <c r="C74" i="1"/>
  <c r="C72" i="1"/>
  <c r="C71" i="1"/>
  <c r="C87" i="1"/>
  <c r="C86" i="1"/>
  <c r="C94" i="1"/>
  <c r="C93" i="1"/>
  <c r="C144" i="1"/>
  <c r="C143" i="1"/>
  <c r="C138" i="1"/>
  <c r="C137" i="1"/>
  <c r="C134" i="1"/>
  <c r="C133" i="1"/>
  <c r="C128" i="1"/>
  <c r="C127" i="1"/>
  <c r="C104" i="1"/>
  <c r="C103" i="1"/>
  <c r="K131" i="1"/>
  <c r="I131" i="1"/>
  <c r="I130" i="1"/>
  <c r="I113" i="1"/>
  <c r="I112" i="1"/>
  <c r="G131" i="1"/>
  <c r="G130" i="1"/>
  <c r="G113" i="1"/>
  <c r="G112" i="1"/>
  <c r="C131" i="1"/>
  <c r="C130" i="1"/>
  <c r="C113" i="1"/>
  <c r="C112" i="1"/>
  <c r="K81" i="1"/>
  <c r="I81" i="1"/>
  <c r="I80" i="1"/>
  <c r="G81" i="1"/>
  <c r="G80" i="1"/>
  <c r="H89" i="1"/>
  <c r="E81" i="1"/>
  <c r="E80" i="1"/>
  <c r="C81" i="1"/>
  <c r="C80" i="1"/>
  <c r="C145" i="1"/>
  <c r="C146" i="1"/>
  <c r="O19" i="6"/>
  <c r="O22" i="6"/>
  <c r="C19" i="6"/>
  <c r="C28" i="6" s="1"/>
  <c r="C22" i="6"/>
  <c r="O4" i="6"/>
  <c r="O8" i="6"/>
  <c r="R25" i="6"/>
  <c r="R10" i="6"/>
  <c r="F25" i="6"/>
  <c r="C7" i="6"/>
  <c r="C4" i="6" s="1"/>
  <c r="R28" i="6"/>
  <c r="O28" i="6"/>
  <c r="S27" i="6"/>
  <c r="R27" i="6"/>
  <c r="O27" i="6"/>
  <c r="R13" i="6"/>
  <c r="O13" i="6"/>
  <c r="S12" i="6"/>
  <c r="R12" i="6"/>
  <c r="R14" i="6" s="1"/>
  <c r="O12" i="6"/>
  <c r="F28" i="6"/>
  <c r="F27" i="6"/>
  <c r="G27" i="6"/>
  <c r="G12" i="6"/>
  <c r="F13" i="6"/>
  <c r="E35" i="6" s="1"/>
  <c r="C47" i="6" s="1"/>
  <c r="F10" i="6"/>
  <c r="F12" i="6"/>
  <c r="F14" i="6" s="1"/>
  <c r="H90" i="1"/>
  <c r="F90" i="1"/>
  <c r="D90" i="1"/>
  <c r="F89" i="1"/>
  <c r="D89" i="1"/>
  <c r="B90" i="1"/>
  <c r="B89" i="1"/>
  <c r="G110" i="1"/>
  <c r="G109" i="1"/>
  <c r="G84" i="1"/>
  <c r="G83" i="1"/>
  <c r="K138" i="1"/>
  <c r="K137" i="1"/>
  <c r="K134" i="1"/>
  <c r="K133" i="1"/>
  <c r="K104" i="1"/>
  <c r="K103" i="1"/>
  <c r="K94" i="1"/>
  <c r="K93" i="1"/>
  <c r="K128" i="1"/>
  <c r="K127" i="1"/>
  <c r="K87" i="1"/>
  <c r="K86" i="1"/>
  <c r="K75" i="1"/>
  <c r="K74" i="1"/>
  <c r="K72" i="1"/>
  <c r="K71" i="1"/>
  <c r="K66" i="1"/>
  <c r="K65" i="1"/>
  <c r="K59" i="1"/>
  <c r="K58" i="1"/>
  <c r="K56" i="1"/>
  <c r="K55" i="1"/>
  <c r="K53" i="1"/>
  <c r="K52" i="1"/>
  <c r="K50" i="1"/>
  <c r="K49" i="1"/>
  <c r="K38" i="1"/>
  <c r="K37" i="1"/>
  <c r="K29" i="1"/>
  <c r="K28" i="1"/>
  <c r="K24" i="1" s="1"/>
  <c r="I19" i="1"/>
  <c r="K19" i="1"/>
  <c r="I138" i="1"/>
  <c r="I134" i="1"/>
  <c r="I104" i="1"/>
  <c r="I128" i="1"/>
  <c r="I59" i="1"/>
  <c r="I56" i="1"/>
  <c r="I53" i="1"/>
  <c r="I50" i="1"/>
  <c r="I38" i="1"/>
  <c r="I29" i="1"/>
  <c r="G144" i="1"/>
  <c r="G143" i="1"/>
  <c r="E144" i="1"/>
  <c r="E143" i="1"/>
  <c r="C22" i="1"/>
  <c r="C21" i="1"/>
  <c r="G41" i="1"/>
  <c r="G40" i="1"/>
  <c r="K44" i="1"/>
  <c r="K43" i="1"/>
  <c r="K22" i="1"/>
  <c r="K21" i="1"/>
  <c r="K18" i="1"/>
  <c r="K16" i="1"/>
  <c r="K12" i="1" s="1"/>
  <c r="K15" i="1"/>
  <c r="K11" i="1" s="1"/>
  <c r="K35" i="1"/>
  <c r="K34" i="1"/>
  <c r="I22" i="1"/>
  <c r="I16" i="1"/>
  <c r="I12" i="1" s="1"/>
  <c r="I35" i="1"/>
  <c r="E11" i="1" l="1"/>
  <c r="G24" i="1"/>
  <c r="I24" i="1"/>
  <c r="G25" i="1"/>
  <c r="K25" i="1"/>
  <c r="E24" i="1"/>
  <c r="I25" i="1"/>
  <c r="E25" i="1"/>
  <c r="G12" i="1"/>
  <c r="D47" i="6"/>
  <c r="F47" i="6"/>
  <c r="C13" i="6"/>
  <c r="C35" i="6" s="1"/>
  <c r="C42" i="6" s="1"/>
  <c r="C12" i="6"/>
  <c r="F29" i="6"/>
  <c r="C27" i="6"/>
  <c r="C29" i="6" s="1"/>
  <c r="E34" i="6"/>
  <c r="K144" i="1"/>
  <c r="K80" i="1"/>
  <c r="K112" i="1"/>
  <c r="K107" i="1"/>
  <c r="K113" i="1"/>
  <c r="N47" i="1"/>
  <c r="N110" i="1"/>
  <c r="K78" i="1"/>
  <c r="K68" i="1"/>
  <c r="N96" i="1"/>
  <c r="N46" i="1"/>
  <c r="N109" i="1"/>
  <c r="N83" i="1"/>
  <c r="J89" i="1"/>
  <c r="N89" i="1" s="1"/>
  <c r="K106" i="1"/>
  <c r="N69" i="1"/>
  <c r="K97" i="1"/>
  <c r="J90" i="1"/>
  <c r="N90" i="1" s="1"/>
  <c r="N41" i="1"/>
  <c r="R29" i="6"/>
  <c r="O29" i="6"/>
  <c r="O14" i="6"/>
  <c r="K20" i="1"/>
  <c r="L84" i="1"/>
  <c r="L83" i="1"/>
  <c r="C34" i="6" l="1"/>
  <c r="C14" i="6"/>
  <c r="C46" i="6"/>
  <c r="E36" i="6"/>
  <c r="D42" i="6"/>
  <c r="F42" i="6"/>
  <c r="G47" i="6"/>
  <c r="I47" i="6"/>
  <c r="J47" i="6" s="1"/>
  <c r="G42" i="6" l="1"/>
  <c r="I42" i="6"/>
  <c r="J42" i="6" s="1"/>
  <c r="C41" i="6"/>
  <c r="C36" i="6"/>
  <c r="D46" i="6"/>
  <c r="E46" i="6" s="1"/>
  <c r="F46" i="6"/>
  <c r="B142" i="1"/>
  <c r="B140" i="1" s="1"/>
  <c r="D142" i="1"/>
  <c r="D140" i="1" s="1"/>
  <c r="F142" i="1"/>
  <c r="F140" i="1" s="1"/>
  <c r="H142" i="1"/>
  <c r="H140" i="1" s="1"/>
  <c r="J142" i="1"/>
  <c r="J140" i="1" s="1"/>
  <c r="J124" i="1"/>
  <c r="J120" i="1" s="1"/>
  <c r="J100" i="1"/>
  <c r="J116" i="1" s="1"/>
  <c r="J123" i="1"/>
  <c r="J119" i="1" s="1"/>
  <c r="J99" i="1"/>
  <c r="N25" i="1"/>
  <c r="H124" i="1"/>
  <c r="H100" i="1"/>
  <c r="N24" i="1"/>
  <c r="H123" i="1"/>
  <c r="H119" i="1" s="1"/>
  <c r="H99" i="1"/>
  <c r="F124" i="1"/>
  <c r="F120" i="1" s="1"/>
  <c r="F100" i="1"/>
  <c r="F116" i="1" s="1"/>
  <c r="F123" i="1"/>
  <c r="F119" i="1" s="1"/>
  <c r="F99" i="1"/>
  <c r="F115" i="1" s="1"/>
  <c r="D124" i="1"/>
  <c r="D120" i="1" s="1"/>
  <c r="D100" i="1"/>
  <c r="D116" i="1" s="1"/>
  <c r="D123" i="1"/>
  <c r="D119" i="1" s="1"/>
  <c r="D99" i="1"/>
  <c r="D115" i="1" s="1"/>
  <c r="B124" i="1"/>
  <c r="B120" i="1" s="1"/>
  <c r="B100" i="1"/>
  <c r="B116" i="1" s="1"/>
  <c r="B123" i="1"/>
  <c r="B99" i="1"/>
  <c r="J132" i="1"/>
  <c r="H132" i="1"/>
  <c r="F132" i="1"/>
  <c r="D132" i="1"/>
  <c r="B132" i="1"/>
  <c r="K90" i="1"/>
  <c r="I90" i="1"/>
  <c r="I144" i="1"/>
  <c r="G89" i="1"/>
  <c r="J57" i="1"/>
  <c r="H57" i="1"/>
  <c r="F57" i="1"/>
  <c r="D57" i="1"/>
  <c r="B57" i="1"/>
  <c r="J54" i="1"/>
  <c r="H54" i="1"/>
  <c r="F54" i="1"/>
  <c r="D54" i="1"/>
  <c r="B54" i="1"/>
  <c r="J27" i="1"/>
  <c r="H27" i="1"/>
  <c r="F27" i="1"/>
  <c r="D27" i="1"/>
  <c r="B27" i="1"/>
  <c r="J51" i="1"/>
  <c r="H51" i="1"/>
  <c r="F51" i="1"/>
  <c r="D51" i="1"/>
  <c r="B51" i="1"/>
  <c r="J20" i="1"/>
  <c r="H20" i="1"/>
  <c r="F20" i="1"/>
  <c r="D20" i="1"/>
  <c r="B20" i="1"/>
  <c r="J14" i="1"/>
  <c r="H14" i="1"/>
  <c r="F14" i="1"/>
  <c r="D14" i="1"/>
  <c r="B14" i="1"/>
  <c r="J33" i="1"/>
  <c r="H33" i="1"/>
  <c r="F33" i="1"/>
  <c r="D33" i="1"/>
  <c r="B33" i="1"/>
  <c r="J136" i="1"/>
  <c r="H136" i="1"/>
  <c r="F136" i="1"/>
  <c r="D136" i="1"/>
  <c r="B136" i="1"/>
  <c r="J111" i="1"/>
  <c r="H111" i="1"/>
  <c r="F111" i="1"/>
  <c r="D111" i="1"/>
  <c r="B111" i="1"/>
  <c r="J108" i="1"/>
  <c r="H108" i="1"/>
  <c r="F108" i="1"/>
  <c r="D108" i="1"/>
  <c r="B108" i="1"/>
  <c r="J105" i="1"/>
  <c r="H105" i="1"/>
  <c r="F105" i="1"/>
  <c r="D105" i="1"/>
  <c r="B105" i="1"/>
  <c r="J102" i="1"/>
  <c r="H102" i="1"/>
  <c r="F102" i="1"/>
  <c r="D102" i="1"/>
  <c r="B102" i="1"/>
  <c r="J95" i="1"/>
  <c r="H95" i="1"/>
  <c r="F95" i="1"/>
  <c r="D95" i="1"/>
  <c r="B95" i="1"/>
  <c r="J92" i="1"/>
  <c r="H92" i="1"/>
  <c r="F92" i="1"/>
  <c r="D92" i="1"/>
  <c r="B92" i="1"/>
  <c r="J129" i="1"/>
  <c r="H129" i="1"/>
  <c r="F129" i="1"/>
  <c r="D129" i="1"/>
  <c r="B129" i="1"/>
  <c r="J126" i="1"/>
  <c r="H126" i="1"/>
  <c r="F126" i="1"/>
  <c r="D126" i="1"/>
  <c r="B126" i="1"/>
  <c r="J85" i="1"/>
  <c r="H85" i="1"/>
  <c r="F85" i="1"/>
  <c r="D85" i="1"/>
  <c r="B85" i="1"/>
  <c r="J82" i="1"/>
  <c r="H82" i="1"/>
  <c r="F82" i="1"/>
  <c r="D82" i="1"/>
  <c r="B82" i="1"/>
  <c r="J79" i="1"/>
  <c r="H79" i="1"/>
  <c r="F79" i="1"/>
  <c r="D79" i="1"/>
  <c r="B79" i="1"/>
  <c r="J76" i="1"/>
  <c r="H76" i="1"/>
  <c r="F76" i="1"/>
  <c r="D76" i="1"/>
  <c r="B76" i="1"/>
  <c r="J73" i="1"/>
  <c r="H73" i="1"/>
  <c r="F73" i="1"/>
  <c r="D73" i="1"/>
  <c r="B73" i="1"/>
  <c r="J70" i="1"/>
  <c r="H70" i="1"/>
  <c r="F70" i="1"/>
  <c r="D70" i="1"/>
  <c r="B70" i="1"/>
  <c r="J67" i="1"/>
  <c r="H67" i="1"/>
  <c r="F67" i="1"/>
  <c r="D67" i="1"/>
  <c r="B67" i="1"/>
  <c r="J64" i="1"/>
  <c r="H64" i="1"/>
  <c r="F64" i="1"/>
  <c r="D64" i="1"/>
  <c r="B64" i="1"/>
  <c r="J48" i="1"/>
  <c r="H48" i="1"/>
  <c r="F48" i="1"/>
  <c r="D48" i="1"/>
  <c r="B48" i="1"/>
  <c r="J45" i="1"/>
  <c r="H45" i="1"/>
  <c r="F45" i="1"/>
  <c r="D45" i="1"/>
  <c r="B45" i="1"/>
  <c r="J42" i="1"/>
  <c r="H42" i="1"/>
  <c r="F42" i="1"/>
  <c r="D42" i="1"/>
  <c r="B42" i="1"/>
  <c r="J39" i="1"/>
  <c r="H39" i="1"/>
  <c r="F39" i="1"/>
  <c r="D39" i="1"/>
  <c r="B39" i="1"/>
  <c r="J36" i="1"/>
  <c r="H36" i="1"/>
  <c r="F36" i="1"/>
  <c r="D36" i="1"/>
  <c r="B36" i="1"/>
  <c r="J17" i="1"/>
  <c r="H17" i="1"/>
  <c r="F17" i="1"/>
  <c r="D17" i="1"/>
  <c r="B17" i="1"/>
  <c r="B119" i="1" l="1"/>
  <c r="B118" i="1" s="1"/>
  <c r="G46" i="6"/>
  <c r="H46" i="6" s="1"/>
  <c r="I46" i="6"/>
  <c r="J46" i="6" s="1"/>
  <c r="K46" i="6" s="1"/>
  <c r="D41" i="6"/>
  <c r="E41" i="6" s="1"/>
  <c r="F41" i="6"/>
  <c r="N123" i="1"/>
  <c r="H115" i="1"/>
  <c r="N99" i="1"/>
  <c r="H116" i="1"/>
  <c r="N116" i="1" s="1"/>
  <c r="N100" i="1"/>
  <c r="H120" i="1"/>
  <c r="N120" i="1" s="1"/>
  <c r="N124" i="1"/>
  <c r="D23" i="1"/>
  <c r="D114" i="1"/>
  <c r="D88" i="1"/>
  <c r="D118" i="1"/>
  <c r="F118" i="1"/>
  <c r="J118" i="1"/>
  <c r="B88" i="1"/>
  <c r="B122" i="1"/>
  <c r="H10" i="1"/>
  <c r="F23" i="1"/>
  <c r="D98" i="1"/>
  <c r="F98" i="1"/>
  <c r="J122" i="1"/>
  <c r="J23" i="1"/>
  <c r="J98" i="1"/>
  <c r="B98" i="1"/>
  <c r="B61" i="1"/>
  <c r="B10" i="1"/>
  <c r="H122" i="1"/>
  <c r="K42" i="1"/>
  <c r="J88" i="1"/>
  <c r="I42" i="1"/>
  <c r="F10" i="1"/>
  <c r="F62" i="1"/>
  <c r="F149" i="1" s="1"/>
  <c r="H88" i="1"/>
  <c r="F114" i="1"/>
  <c r="B115" i="1"/>
  <c r="B114" i="1" s="1"/>
  <c r="B62" i="1"/>
  <c r="B149" i="1" s="1"/>
  <c r="F61" i="1"/>
  <c r="J115" i="1"/>
  <c r="J114" i="1" s="1"/>
  <c r="F122" i="1"/>
  <c r="D122" i="1"/>
  <c r="J10" i="1"/>
  <c r="H98" i="1"/>
  <c r="F88" i="1"/>
  <c r="J61" i="1"/>
  <c r="H62" i="1"/>
  <c r="D62" i="1"/>
  <c r="D149" i="1" s="1"/>
  <c r="B23" i="1"/>
  <c r="H23" i="1"/>
  <c r="H61" i="1"/>
  <c r="J62" i="1"/>
  <c r="D10" i="1"/>
  <c r="D61" i="1"/>
  <c r="E33" i="1"/>
  <c r="E90" i="1"/>
  <c r="L146" i="1"/>
  <c r="G39" i="1"/>
  <c r="I142" i="1"/>
  <c r="I140" i="1" s="1"/>
  <c r="C15" i="1"/>
  <c r="C11" i="1" s="1"/>
  <c r="C18" i="1"/>
  <c r="C34" i="1"/>
  <c r="C24" i="1" s="1"/>
  <c r="L145" i="1"/>
  <c r="K105" i="1"/>
  <c r="K85" i="1"/>
  <c r="I17" i="1"/>
  <c r="G95" i="1"/>
  <c r="G45" i="1"/>
  <c r="E20" i="1"/>
  <c r="G42" i="1"/>
  <c r="K143" i="1"/>
  <c r="K142" i="1" s="1"/>
  <c r="K140" i="1" s="1"/>
  <c r="E17" i="1"/>
  <c r="G17" i="1"/>
  <c r="E89" i="1"/>
  <c r="I108" i="1"/>
  <c r="I76" i="1"/>
  <c r="I105" i="1"/>
  <c r="K45" i="1"/>
  <c r="K67" i="1"/>
  <c r="K76" i="1"/>
  <c r="L144" i="1"/>
  <c r="C35" i="1"/>
  <c r="C25" i="1" s="1"/>
  <c r="C19" i="1"/>
  <c r="C90" i="1"/>
  <c r="C16" i="1"/>
  <c r="C12" i="1" l="1"/>
  <c r="G41" i="6"/>
  <c r="H41" i="6" s="1"/>
  <c r="L41" i="6" s="1"/>
  <c r="I41" i="6"/>
  <c r="J41" i="6" s="1"/>
  <c r="K41" i="6" s="1"/>
  <c r="L46" i="6"/>
  <c r="H149" i="1"/>
  <c r="N115" i="1"/>
  <c r="H114" i="1"/>
  <c r="H118" i="1"/>
  <c r="N119" i="1"/>
  <c r="B148" i="1"/>
  <c r="B147" i="1" s="1"/>
  <c r="H60" i="1"/>
  <c r="C89" i="1"/>
  <c r="I79" i="1"/>
  <c r="I89" i="1"/>
  <c r="G79" i="1"/>
  <c r="G90" i="1"/>
  <c r="K79" i="1"/>
  <c r="K89" i="1"/>
  <c r="J148" i="1"/>
  <c r="F60" i="1"/>
  <c r="E79" i="1"/>
  <c r="E111" i="1"/>
  <c r="G129" i="1"/>
  <c r="G124" i="1"/>
  <c r="G120" i="1" s="1"/>
  <c r="I36" i="1"/>
  <c r="E129" i="1"/>
  <c r="F148" i="1"/>
  <c r="F147" i="1" s="1"/>
  <c r="I85" i="1"/>
  <c r="I95" i="1"/>
  <c r="D60" i="1"/>
  <c r="K51" i="1"/>
  <c r="I124" i="1"/>
  <c r="I120" i="1" s="1"/>
  <c r="B60" i="1"/>
  <c r="I73" i="1"/>
  <c r="H148" i="1"/>
  <c r="K95" i="1"/>
  <c r="J149" i="1"/>
  <c r="J60" i="1"/>
  <c r="D148" i="1"/>
  <c r="D147" i="1" s="1"/>
  <c r="K108" i="1"/>
  <c r="I39" i="1"/>
  <c r="L19" i="1"/>
  <c r="I51" i="1"/>
  <c r="L81" i="1"/>
  <c r="E70" i="1"/>
  <c r="G142" i="1"/>
  <c r="G140" i="1" s="1"/>
  <c r="E142" i="1"/>
  <c r="E140" i="1" s="1"/>
  <c r="L53" i="1"/>
  <c r="G132" i="1"/>
  <c r="K82" i="1"/>
  <c r="K54" i="1"/>
  <c r="I67" i="1"/>
  <c r="I82" i="1"/>
  <c r="L69" i="1"/>
  <c r="G111" i="1"/>
  <c r="E73" i="1"/>
  <c r="E14" i="1"/>
  <c r="E51" i="1"/>
  <c r="L38" i="1"/>
  <c r="L35" i="1"/>
  <c r="L75" i="1"/>
  <c r="G70" i="1"/>
  <c r="E132" i="1"/>
  <c r="E136" i="1"/>
  <c r="G51" i="1"/>
  <c r="E48" i="1"/>
  <c r="G20" i="1"/>
  <c r="G33" i="1"/>
  <c r="E57" i="1"/>
  <c r="G54" i="1"/>
  <c r="E85" i="1"/>
  <c r="I129" i="1"/>
  <c r="G14" i="1"/>
  <c r="E54" i="1"/>
  <c r="L16" i="1"/>
  <c r="L50" i="1"/>
  <c r="G73" i="1"/>
  <c r="E108" i="1"/>
  <c r="K100" i="1"/>
  <c r="K116" i="1" s="1"/>
  <c r="K73" i="1"/>
  <c r="K17" i="1"/>
  <c r="I136" i="1"/>
  <c r="E105" i="1"/>
  <c r="G82" i="1"/>
  <c r="K39" i="1"/>
  <c r="L86" i="1"/>
  <c r="C85" i="1"/>
  <c r="C100" i="1"/>
  <c r="C116" i="1" s="1"/>
  <c r="L104" i="1"/>
  <c r="L66" i="1"/>
  <c r="G136" i="1"/>
  <c r="E36" i="1"/>
  <c r="L107" i="1"/>
  <c r="L137" i="1"/>
  <c r="C136" i="1"/>
  <c r="G67" i="1"/>
  <c r="L72" i="1"/>
  <c r="L56" i="1"/>
  <c r="L138" i="1"/>
  <c r="I45" i="1"/>
  <c r="G36" i="1"/>
  <c r="E27" i="1"/>
  <c r="G92" i="1"/>
  <c r="G85" i="1"/>
  <c r="E99" i="1"/>
  <c r="E115" i="1" s="1"/>
  <c r="E102" i="1"/>
  <c r="E64" i="1"/>
  <c r="I48" i="1"/>
  <c r="L41" i="1"/>
  <c r="E76" i="1"/>
  <c r="I99" i="1"/>
  <c r="I115" i="1" s="1"/>
  <c r="I102" i="1"/>
  <c r="E100" i="1"/>
  <c r="E116" i="1" s="1"/>
  <c r="C42" i="1"/>
  <c r="L44" i="1"/>
  <c r="L65" i="1"/>
  <c r="C64" i="1"/>
  <c r="C99" i="1"/>
  <c r="C115" i="1" s="1"/>
  <c r="L103" i="1"/>
  <c r="C102" i="1"/>
  <c r="C17" i="1"/>
  <c r="L18" i="1"/>
  <c r="C14" i="1"/>
  <c r="L15" i="1"/>
  <c r="L80" i="1"/>
  <c r="C79" i="1"/>
  <c r="K129" i="1"/>
  <c r="K123" i="1"/>
  <c r="K119" i="1" s="1"/>
  <c r="K126" i="1"/>
  <c r="K33" i="1"/>
  <c r="K36" i="1"/>
  <c r="K27" i="1"/>
  <c r="I27" i="1"/>
  <c r="I92" i="1"/>
  <c r="I20" i="1"/>
  <c r="G76" i="1"/>
  <c r="E82" i="1"/>
  <c r="I70" i="1"/>
  <c r="E124" i="1"/>
  <c r="E120" i="1" s="1"/>
  <c r="L74" i="1"/>
  <c r="L94" i="1"/>
  <c r="L22" i="1"/>
  <c r="L87" i="1"/>
  <c r="G99" i="1"/>
  <c r="G102" i="1"/>
  <c r="G123" i="1"/>
  <c r="G119" i="1" s="1"/>
  <c r="G126" i="1"/>
  <c r="C108" i="1"/>
  <c r="L109" i="1"/>
  <c r="C54" i="1"/>
  <c r="L55" i="1"/>
  <c r="L71" i="1"/>
  <c r="C70" i="1"/>
  <c r="L133" i="1"/>
  <c r="C132" i="1"/>
  <c r="C142" i="1"/>
  <c r="L143" i="1"/>
  <c r="K64" i="1"/>
  <c r="K99" i="1"/>
  <c r="K115" i="1" s="1"/>
  <c r="K102" i="1"/>
  <c r="K14" i="1"/>
  <c r="I14" i="1"/>
  <c r="I123" i="1"/>
  <c r="I119" i="1" s="1"/>
  <c r="I126" i="1"/>
  <c r="I33" i="1"/>
  <c r="L43" i="1"/>
  <c r="E42" i="1"/>
  <c r="G100" i="1"/>
  <c r="G116" i="1" s="1"/>
  <c r="C76" i="1"/>
  <c r="L77" i="1"/>
  <c r="C39" i="1"/>
  <c r="L40" i="1"/>
  <c r="G64" i="1"/>
  <c r="G27" i="1"/>
  <c r="L78" i="1"/>
  <c r="C82" i="1"/>
  <c r="L97" i="1"/>
  <c r="C105" i="1"/>
  <c r="L106" i="1"/>
  <c r="L47" i="1"/>
  <c r="I100" i="1"/>
  <c r="I116" i="1" s="1"/>
  <c r="C92" i="1"/>
  <c r="L93" i="1"/>
  <c r="C20" i="1"/>
  <c r="L21" i="1"/>
  <c r="C48" i="1"/>
  <c r="L49" i="1"/>
  <c r="C57" i="1"/>
  <c r="L58" i="1"/>
  <c r="C111" i="1"/>
  <c r="L112" i="1"/>
  <c r="K70" i="1"/>
  <c r="K132" i="1"/>
  <c r="I111" i="1"/>
  <c r="I132" i="1"/>
  <c r="I64" i="1"/>
  <c r="E95" i="1"/>
  <c r="E39" i="1"/>
  <c r="E45" i="1"/>
  <c r="E123" i="1"/>
  <c r="E119" i="1" s="1"/>
  <c r="E126" i="1"/>
  <c r="K136" i="1"/>
  <c r="L113" i="1"/>
  <c r="K124" i="1"/>
  <c r="K120" i="1" s="1"/>
  <c r="C95" i="1"/>
  <c r="L96" i="1"/>
  <c r="E92" i="1"/>
  <c r="C124" i="1"/>
  <c r="C120" i="1" s="1"/>
  <c r="L128" i="1"/>
  <c r="G48" i="1"/>
  <c r="L52" i="1"/>
  <c r="C51" i="1"/>
  <c r="L134" i="1"/>
  <c r="L46" i="1"/>
  <c r="C45" i="1"/>
  <c r="L131" i="1"/>
  <c r="C123" i="1"/>
  <c r="C126" i="1"/>
  <c r="L127" i="1"/>
  <c r="C33" i="1"/>
  <c r="L34" i="1"/>
  <c r="C36" i="1"/>
  <c r="L37" i="1"/>
  <c r="C27" i="1"/>
  <c r="L28" i="1"/>
  <c r="C129" i="1"/>
  <c r="L130" i="1"/>
  <c r="K111" i="1"/>
  <c r="K92" i="1"/>
  <c r="K48" i="1"/>
  <c r="K57" i="1"/>
  <c r="I57" i="1"/>
  <c r="I54" i="1"/>
  <c r="E67" i="1"/>
  <c r="G105" i="1"/>
  <c r="G108" i="1"/>
  <c r="G57" i="1"/>
  <c r="L59" i="1"/>
  <c r="L110" i="1"/>
  <c r="C67" i="1"/>
  <c r="L68" i="1"/>
  <c r="L29" i="1"/>
  <c r="C73" i="1"/>
  <c r="C119" i="1" l="1"/>
  <c r="C118" i="1" s="1"/>
  <c r="E52" i="6"/>
  <c r="F53" i="6"/>
  <c r="I118" i="1"/>
  <c r="K118" i="1"/>
  <c r="H147" i="1"/>
  <c r="L79" i="1"/>
  <c r="G122" i="1"/>
  <c r="G118" i="1"/>
  <c r="J147" i="1"/>
  <c r="E118" i="1"/>
  <c r="L90" i="1"/>
  <c r="L89" i="1"/>
  <c r="I122" i="1"/>
  <c r="L17" i="1"/>
  <c r="E62" i="1"/>
  <c r="E149" i="1" s="1"/>
  <c r="K62" i="1"/>
  <c r="K149" i="1" s="1"/>
  <c r="K98" i="1"/>
  <c r="K23" i="1"/>
  <c r="L73" i="1"/>
  <c r="L20" i="1"/>
  <c r="I88" i="1"/>
  <c r="I23" i="1"/>
  <c r="L95" i="1"/>
  <c r="L51" i="1"/>
  <c r="L124" i="1"/>
  <c r="L120" i="1" s="1"/>
  <c r="G23" i="1"/>
  <c r="G62" i="1"/>
  <c r="G149" i="1" s="1"/>
  <c r="L129" i="1"/>
  <c r="L76" i="1"/>
  <c r="L67" i="1"/>
  <c r="L27" i="1"/>
  <c r="L33" i="1"/>
  <c r="L25" i="1"/>
  <c r="L92" i="1"/>
  <c r="E114" i="1"/>
  <c r="G61" i="1"/>
  <c r="G10" i="1"/>
  <c r="L57" i="1"/>
  <c r="K61" i="1"/>
  <c r="K10" i="1"/>
  <c r="L116" i="1"/>
  <c r="I98" i="1"/>
  <c r="K114" i="1"/>
  <c r="L36" i="1"/>
  <c r="L126" i="1"/>
  <c r="L45" i="1"/>
  <c r="I62" i="1"/>
  <c r="I149" i="1" s="1"/>
  <c r="E122" i="1"/>
  <c r="L82" i="1"/>
  <c r="G88" i="1"/>
  <c r="C140" i="1"/>
  <c r="L140" i="1" s="1"/>
  <c r="L142" i="1"/>
  <c r="L108" i="1"/>
  <c r="L64" i="1"/>
  <c r="L42" i="1"/>
  <c r="E98" i="1"/>
  <c r="L111" i="1"/>
  <c r="L48" i="1"/>
  <c r="C114" i="1"/>
  <c r="I61" i="1"/>
  <c r="I10" i="1"/>
  <c r="L132" i="1"/>
  <c r="I114" i="1"/>
  <c r="K122" i="1"/>
  <c r="L102" i="1"/>
  <c r="E23" i="1"/>
  <c r="C62" i="1"/>
  <c r="L12" i="1"/>
  <c r="L136" i="1"/>
  <c r="L100" i="1"/>
  <c r="C23" i="1"/>
  <c r="L24" i="1"/>
  <c r="L105" i="1"/>
  <c r="E61" i="1"/>
  <c r="E10" i="1"/>
  <c r="L39" i="1"/>
  <c r="K88" i="1"/>
  <c r="L54" i="1"/>
  <c r="C61" i="1"/>
  <c r="C10" i="1"/>
  <c r="L11" i="1"/>
  <c r="L14" i="1"/>
  <c r="E88" i="1"/>
  <c r="L85" i="1"/>
  <c r="L123" i="1"/>
  <c r="L119" i="1" s="1"/>
  <c r="C122" i="1"/>
  <c r="L70" i="1"/>
  <c r="G98" i="1"/>
  <c r="L99" i="1"/>
  <c r="C98" i="1"/>
  <c r="G115" i="1"/>
  <c r="G114" i="1" s="1"/>
  <c r="C88" i="1"/>
  <c r="H52" i="6" l="1"/>
  <c r="I53" i="6"/>
  <c r="K52" i="6" s="1"/>
  <c r="L118" i="1"/>
  <c r="L88" i="1"/>
  <c r="L114" i="1"/>
  <c r="L98" i="1"/>
  <c r="L10" i="1"/>
  <c r="L115" i="1"/>
  <c r="G148" i="1"/>
  <c r="G147" i="1" s="1"/>
  <c r="G60" i="1"/>
  <c r="E148" i="1"/>
  <c r="E147" i="1" s="1"/>
  <c r="E60" i="1"/>
  <c r="I148" i="1"/>
  <c r="I147" i="1" s="1"/>
  <c r="I60" i="1"/>
  <c r="L122" i="1"/>
  <c r="C148" i="1"/>
  <c r="L61" i="1"/>
  <c r="C60" i="1"/>
  <c r="L23" i="1"/>
  <c r="C149" i="1"/>
  <c r="L149" i="1" s="1"/>
  <c r="L62" i="1"/>
  <c r="K148" i="1"/>
  <c r="K147" i="1" s="1"/>
  <c r="K60" i="1"/>
  <c r="L52" i="6" l="1"/>
  <c r="L60" i="1"/>
  <c r="C147" i="1"/>
  <c r="L147" i="1" s="1"/>
  <c r="L148" i="1"/>
</calcChain>
</file>

<file path=xl/sharedStrings.xml><?xml version="1.0" encoding="utf-8"?>
<sst xmlns="http://schemas.openxmlformats.org/spreadsheetml/2006/main" count="435" uniqueCount="129">
  <si>
    <t>Наименование объектов</t>
  </si>
  <si>
    <t>Электроэнергия</t>
  </si>
  <si>
    <t>Отопление</t>
  </si>
  <si>
    <t xml:space="preserve">ГВС                 </t>
  </si>
  <si>
    <t>Холодная вода</t>
  </si>
  <si>
    <t>Водоотведение</t>
  </si>
  <si>
    <t>Гкал.</t>
  </si>
  <si>
    <t>тыс.</t>
  </si>
  <si>
    <t>руб.</t>
  </si>
  <si>
    <t>куб. м.</t>
  </si>
  <si>
    <t>МУНИЦИПАЛЬНОЕ УПРАВЛЕНИЕ</t>
  </si>
  <si>
    <t>«Администрация Хасынского городского округа»</t>
  </si>
  <si>
    <t>I полугодие</t>
  </si>
  <si>
    <t>II полугодие</t>
  </si>
  <si>
    <t>ВСЕГО:</t>
  </si>
  <si>
    <t>ОБРАЗОВАНИЕ</t>
  </si>
  <si>
    <t>МБОУ «Средняя общеобразовательная школа № 2» п. Палатка</t>
  </si>
  <si>
    <t>МБОУ «Средняя общеобразовательная школа» п. Стекольный</t>
  </si>
  <si>
    <t>МБОУ «Средняя общеобразовательная школа» п. Талая</t>
  </si>
  <si>
    <t>в том числе:</t>
  </si>
  <si>
    <t>КУЛЬТУРА</t>
  </si>
  <si>
    <t>МБУК «Дом культуры Хасынского городского округа»</t>
  </si>
  <si>
    <t>СРЕДСТВА МАССОВОЙ ИНФОРМАЦИИ</t>
  </si>
  <si>
    <t>ПРОЧИЕ</t>
  </si>
  <si>
    <t>п. Стекольный</t>
  </si>
  <si>
    <t>п. Атка</t>
  </si>
  <si>
    <t>п. Талая</t>
  </si>
  <si>
    <t>МБУК «Хасынская централизованная библиотечная система»</t>
  </si>
  <si>
    <t>Итого, тыс. руб.</t>
  </si>
  <si>
    <t>кВт/час</t>
  </si>
  <si>
    <t>п. Палатка</t>
  </si>
  <si>
    <t>1 полугодие</t>
  </si>
  <si>
    <t>ВСЕГО ПО ОКРУГУ:</t>
  </si>
  <si>
    <t>№ п/п</t>
  </si>
  <si>
    <t>Наименование показателя</t>
  </si>
  <si>
    <t>Населенный пункт</t>
  </si>
  <si>
    <t>1.</t>
  </si>
  <si>
    <t>Тепловая энергия</t>
  </si>
  <si>
    <t>с. Хасын</t>
  </si>
  <si>
    <t>1 полугодие (без НДС)</t>
  </si>
  <si>
    <t>2 полугодие (без НДС)</t>
  </si>
  <si>
    <t>1 полугодие (с НДС)</t>
  </si>
  <si>
    <t>2 полугодие (с НДС)</t>
  </si>
  <si>
    <t>2.</t>
  </si>
  <si>
    <t>Водоснабжение (Холодная вода)</t>
  </si>
  <si>
    <t>3.</t>
  </si>
  <si>
    <t>Водоотведение (Вывоз ЖБО)</t>
  </si>
  <si>
    <t>4.</t>
  </si>
  <si>
    <t>Электроснабжение (ДЭС)</t>
  </si>
  <si>
    <t>Кабинет № 25                (Опека и попечительство)</t>
  </si>
  <si>
    <t>Кабинет № 26          (Комиссия по делам несовершеннолетних)</t>
  </si>
  <si>
    <t>МКУ "Управление по обеспечению деятельности органов местного самоуправления Хасынского городского округа"</t>
  </si>
  <si>
    <t>тыс.      руб.</t>
  </si>
  <si>
    <t>«БАНЯ»                               (ул. Пионерская, д. 24,            п. Палатка)</t>
  </si>
  <si>
    <t>«Отдел ЗАГС»                             (ул. Космонавтов, д. 11,          п. Палатка)</t>
  </si>
  <si>
    <t>Здание РКЦ                                         (ул. Юбилейная, д. 16,                                    п. Палатка)</t>
  </si>
  <si>
    <t>Здание Администрации Хасынского городского округа + Гараж                                        (ул. Ленина, д. 76,                                    п. Палатка)</t>
  </si>
  <si>
    <t>Комитет жизнеобеспечения территории Администрации Хасынского городского округа                                 (уличное освещение)</t>
  </si>
  <si>
    <t>п. Палатка, с. Хасын,                     п. Стекольный</t>
  </si>
  <si>
    <t>Библиотека-филиал              п. Стекольный</t>
  </si>
  <si>
    <t>Библиотека-филиал              п. Талая</t>
  </si>
  <si>
    <t>МБОУДО "Хасынская детско-юношеская спортивная школа                        п. Палатка"</t>
  </si>
  <si>
    <t>МБДОУ детский сад «Светлячок»                          п. Стекольный</t>
  </si>
  <si>
    <t>«Комитет образования, культуры, спорта и молодёжной политики администрации Хасынского городского округа» (Централизованная бухгалтерия: ул. Ленина,             д. 74, п. Палатка)</t>
  </si>
  <si>
    <t>«Нежилые помещения                 по ул. Центральная, д. 24,                          п. Палатка»</t>
  </si>
  <si>
    <t>«Территориальный отдел                  в п. Стекольный»                    (ул. Советская, д. 5)</t>
  </si>
  <si>
    <t>«Территориальный отдел                    в п. Атка»                                  (ул. Пролетарская, д. 2-4)</t>
  </si>
  <si>
    <t>«Территориальный отдел                    в п. Талая»                                                    (ул. Зеленая, д. 6)</t>
  </si>
  <si>
    <t>МБОУ «Средняя общеобразовательная школа № 1» п. Палатка                          + Гараж</t>
  </si>
  <si>
    <t>Объект МБОУДО «ДЮСШ                                в с. Хасын»</t>
  </si>
  <si>
    <t>МБУК «Дом культуры                              пос. Стекольный»</t>
  </si>
  <si>
    <t>Центральная библиотека                        п. Палатка</t>
  </si>
  <si>
    <t>МАУ Редакция газеты                                  «Заря Севера»                                                 + Гараж</t>
  </si>
  <si>
    <t>Пункт выдачи в с. Хасын</t>
  </si>
  <si>
    <t>СПОРТ</t>
  </si>
  <si>
    <t>ГАРАЖИ                                  (п. Палатка:                            ул. Юбилейная, 21, 25,                  ул. Почтовая, 2, ул.Школьная,5, ул. Юбилейная, 16,ул. Ленина,74)</t>
  </si>
  <si>
    <t>Прогнозируемые лимиты потребления энергоресурсов и коммунальных услуг учреждениями, финансируемыми из бюджета</t>
  </si>
  <si>
    <t>МКУ ФОК "Плавательный бассейн  "Арбат"</t>
  </si>
  <si>
    <t>прибавить фонтаны</t>
  </si>
  <si>
    <t>Тарифы на 2020 год</t>
  </si>
  <si>
    <t>МБУДО «Хасынский Центр детского творчества»</t>
  </si>
  <si>
    <t>фонтан "Скульптурный"</t>
  </si>
  <si>
    <t>эл. энергия</t>
  </si>
  <si>
    <t>количество дней</t>
  </si>
  <si>
    <t>май</t>
  </si>
  <si>
    <t>июнь</t>
  </si>
  <si>
    <t>июль</t>
  </si>
  <si>
    <t>август</t>
  </si>
  <si>
    <t>сентябрь</t>
  </si>
  <si>
    <t>м3</t>
  </si>
  <si>
    <t>Всего расход</t>
  </si>
  <si>
    <t>2 полугодие</t>
  </si>
  <si>
    <t>квт/час</t>
  </si>
  <si>
    <t>водопада 2 ед.</t>
  </si>
  <si>
    <t>среднесуточное потребление</t>
  </si>
  <si>
    <t>раз в 45 дней воду сливают, моют</t>
  </si>
  <si>
    <t>октябрь</t>
  </si>
  <si>
    <t>фонтан "Ажурный"</t>
  </si>
  <si>
    <t>фонтан "Вдохновение"</t>
  </si>
  <si>
    <t>Церковь</t>
  </si>
  <si>
    <t>Фонтан-водопад</t>
  </si>
  <si>
    <t>в час</t>
  </si>
  <si>
    <t>сутки</t>
  </si>
  <si>
    <t>Всего</t>
  </si>
  <si>
    <t>эл. энерг.</t>
  </si>
  <si>
    <t>вода холодная</t>
  </si>
  <si>
    <t>кВт</t>
  </si>
  <si>
    <t>палатка</t>
  </si>
  <si>
    <t>Атка</t>
  </si>
  <si>
    <t>Стекольный</t>
  </si>
  <si>
    <t>Талая</t>
  </si>
  <si>
    <t>Хасын</t>
  </si>
  <si>
    <t>МБУДО «Детский сад №1» п. Палатка</t>
  </si>
  <si>
    <t>МБДОУ «Детский сад»         с. Хасын</t>
  </si>
  <si>
    <t>эл.энергия</t>
  </si>
  <si>
    <t>тыс. кВт</t>
  </si>
  <si>
    <t>тыс. руб.</t>
  </si>
  <si>
    <t>2020-2022</t>
  </si>
  <si>
    <t>Итого</t>
  </si>
  <si>
    <t>хол. Вода</t>
  </si>
  <si>
    <t>водоотведение</t>
  </si>
  <si>
    <t>дни</t>
  </si>
  <si>
    <t>тариф</t>
  </si>
  <si>
    <t>2019 г.</t>
  </si>
  <si>
    <t>август, сентябрь, октябрь</t>
  </si>
  <si>
    <t xml:space="preserve">Кабинет № 18 </t>
  </si>
  <si>
    <t xml:space="preserve">Кабинет № 24     </t>
  </si>
  <si>
    <t>муниципального образования "Хасынский городской округ" на 2021 год</t>
  </si>
  <si>
    <r>
      <t xml:space="preserve">МБОУДО </t>
    </r>
    <r>
      <rPr>
        <sz val="11.5"/>
        <rFont val="Times New Roman"/>
        <family val="1"/>
        <charset val="204"/>
      </rPr>
      <t>"</t>
    </r>
    <r>
      <rPr>
        <b/>
        <sz val="11.5"/>
        <rFont val="Times New Roman"/>
        <family val="1"/>
        <charset val="204"/>
      </rPr>
      <t>Хасынская детско-юношеская спортивная школа"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</si>
</sst>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5" borderId="0" applyNumberFormat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11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8" fillId="3" borderId="11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15" fillId="4" borderId="2" xfId="0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15" fillId="4" borderId="2" xfId="0" applyNumberFormat="1" applyFont="1" applyFill="1" applyBorder="1" applyAlignment="1">
      <alignment horizontal="center" vertical="center"/>
    </xf>
    <xf numFmtId="0" fontId="14" fillId="0" borderId="0" xfId="0" applyFont="1"/>
    <xf numFmtId="4" fontId="16" fillId="4" borderId="8" xfId="0" applyNumberFormat="1" applyFont="1" applyFill="1" applyBorder="1" applyAlignment="1">
      <alignment horizontal="center" vertical="center"/>
    </xf>
    <xf numFmtId="4" fontId="15" fillId="4" borderId="8" xfId="0" applyNumberFormat="1" applyFont="1" applyFill="1" applyBorder="1" applyAlignment="1">
      <alignment horizontal="center" vertical="center"/>
    </xf>
    <xf numFmtId="0" fontId="18" fillId="5" borderId="0" xfId="1"/>
    <xf numFmtId="0" fontId="0" fillId="0" borderId="0" xfId="0" applyAlignment="1">
      <alignment horizontal="center"/>
    </xf>
    <xf numFmtId="0" fontId="19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9" fillId="0" borderId="0" xfId="0" applyNumberFormat="1" applyFont="1"/>
    <xf numFmtId="164" fontId="20" fillId="6" borderId="1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4" fontId="0" fillId="0" borderId="2" xfId="0" applyNumberForma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21" fillId="3" borderId="11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22" fillId="3" borderId="6" xfId="0" applyNumberFormat="1" applyFont="1" applyFill="1" applyBorder="1" applyAlignment="1">
      <alignment horizontal="center" vertical="center" wrapText="1"/>
    </xf>
    <xf numFmtId="164" fontId="23" fillId="3" borderId="11" xfId="0" applyNumberFormat="1" applyFont="1" applyFill="1" applyBorder="1" applyAlignment="1">
      <alignment horizontal="center" vertical="center" wrapText="1"/>
    </xf>
    <xf numFmtId="164" fontId="22" fillId="3" borderId="5" xfId="0" applyNumberFormat="1" applyFont="1" applyFill="1" applyBorder="1" applyAlignment="1">
      <alignment horizontal="center" vertical="center" wrapText="1"/>
    </xf>
    <xf numFmtId="164" fontId="24" fillId="3" borderId="11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164" fontId="24" fillId="3" borderId="6" xfId="0" applyNumberFormat="1" applyFont="1" applyFill="1" applyBorder="1" applyAlignment="1">
      <alignment horizontal="center" vertical="center" wrapText="1"/>
    </xf>
    <xf numFmtId="164" fontId="24" fillId="3" borderId="7" xfId="0" applyNumberFormat="1" applyFont="1" applyFill="1" applyBorder="1" applyAlignment="1">
      <alignment horizontal="center" vertical="center" wrapText="1"/>
    </xf>
    <xf numFmtId="164" fontId="21" fillId="3" borderId="7" xfId="0" applyNumberFormat="1" applyFont="1" applyFill="1" applyBorder="1" applyAlignment="1">
      <alignment horizontal="center" vertical="center" wrapText="1"/>
    </xf>
    <xf numFmtId="164" fontId="21" fillId="3" borderId="15" xfId="0" applyNumberFormat="1" applyFont="1" applyFill="1" applyBorder="1" applyAlignment="1">
      <alignment horizontal="center" vertical="center" wrapText="1"/>
    </xf>
    <xf numFmtId="164" fontId="21" fillId="3" borderId="12" xfId="0" applyNumberFormat="1" applyFont="1" applyFill="1" applyBorder="1" applyAlignment="1">
      <alignment horizontal="center" vertical="center" wrapText="1"/>
    </xf>
    <xf numFmtId="164" fontId="24" fillId="3" borderId="7" xfId="0" applyNumberFormat="1" applyFont="1" applyFill="1" applyBorder="1" applyAlignment="1">
      <alignment horizontal="center" vertical="center" wrapText="1"/>
    </xf>
    <xf numFmtId="164" fontId="24" fillId="3" borderId="15" xfId="0" applyNumberFormat="1" applyFont="1" applyFill="1" applyBorder="1" applyAlignment="1">
      <alignment horizontal="center" vertical="center" wrapText="1"/>
    </xf>
    <xf numFmtId="164" fontId="24" fillId="3" borderId="12" xfId="0" applyNumberFormat="1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25" fillId="3" borderId="15" xfId="0" applyNumberFormat="1" applyFont="1" applyFill="1" applyBorder="1" applyAlignment="1">
      <alignment horizontal="center" vertical="center" wrapText="1"/>
    </xf>
    <xf numFmtId="164" fontId="25" fillId="3" borderId="12" xfId="0" applyNumberFormat="1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>
      <alignment horizontal="center" vertical="center" wrapText="1"/>
    </xf>
    <xf numFmtId="164" fontId="22" fillId="3" borderId="11" xfId="0" applyNumberFormat="1" applyFont="1" applyFill="1" applyBorder="1" applyAlignment="1">
      <alignment horizontal="center" vertical="center" wrapText="1"/>
    </xf>
    <xf numFmtId="164" fontId="13" fillId="3" borderId="12" xfId="0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Fill="1"/>
    <xf numFmtId="164" fontId="20" fillId="0" borderId="12" xfId="0" applyNumberFormat="1" applyFont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abSelected="1" zoomScale="124" zoomScaleNormal="124" workbookViewId="0">
      <pane xSplit="1" ySplit="8" topLeftCell="B156" activePane="bottomRight" state="frozen"/>
      <selection pane="topRight" activeCell="B1" sqref="B1"/>
      <selection pane="bottomLeft" activeCell="A6" sqref="A6"/>
      <selection pane="bottomRight" activeCell="V130" sqref="V129:V130"/>
    </sheetView>
  </sheetViews>
  <sheetFormatPr defaultRowHeight="15" x14ac:dyDescent="0.25"/>
  <cols>
    <col min="1" max="1" width="28.140625" customWidth="1"/>
    <col min="2" max="2" width="11.5703125" customWidth="1"/>
    <col min="3" max="3" width="11.85546875" customWidth="1"/>
    <col min="4" max="4" width="11.28515625" customWidth="1"/>
    <col min="5" max="5" width="11.42578125" customWidth="1"/>
    <col min="6" max="6" width="9.85546875" customWidth="1"/>
    <col min="7" max="8" width="11.28515625" customWidth="1"/>
    <col min="9" max="9" width="13" customWidth="1"/>
    <col min="10" max="10" width="12.5703125" customWidth="1"/>
    <col min="11" max="11" width="13.85546875" customWidth="1"/>
    <col min="12" max="12" width="13.42578125" customWidth="1"/>
    <col min="13" max="13" width="26.5703125" hidden="1" customWidth="1"/>
    <col min="14" max="19" width="0" hidden="1" customWidth="1"/>
  </cols>
  <sheetData>
    <row r="1" spans="1:15" ht="15.75" customHeight="1" x14ac:dyDescent="0.25">
      <c r="A1" s="20"/>
      <c r="B1" s="20"/>
      <c r="C1" s="20"/>
      <c r="D1" s="20"/>
      <c r="E1" s="20"/>
      <c r="F1" s="20"/>
      <c r="G1" s="20"/>
      <c r="H1" s="61"/>
      <c r="I1" s="61"/>
      <c r="J1" s="61"/>
      <c r="K1" s="61"/>
      <c r="L1" s="61"/>
    </row>
    <row r="2" spans="1:15" ht="15.75" customHeight="1" x14ac:dyDescent="0.25">
      <c r="A2" s="71" t="s">
        <v>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5" ht="15.75" customHeight="1" x14ac:dyDescent="0.25">
      <c r="A3" s="71" t="s">
        <v>127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5" ht="15" customHeight="1" thickBot="1" x14ac:dyDescent="0.3">
      <c r="A4" s="20"/>
      <c r="B4" s="20"/>
      <c r="C4" s="20"/>
      <c r="D4" s="20"/>
      <c r="E4" s="20"/>
      <c r="F4" s="20"/>
      <c r="G4" s="20"/>
      <c r="H4" s="61"/>
      <c r="I4" s="61"/>
      <c r="J4" s="61"/>
      <c r="K4" s="61"/>
      <c r="L4" s="61"/>
      <c r="N4" s="2"/>
    </row>
    <row r="5" spans="1:15" ht="15" customHeight="1" thickBot="1" x14ac:dyDescent="0.3">
      <c r="A5" s="67" t="s">
        <v>0</v>
      </c>
      <c r="B5" s="64" t="s">
        <v>1</v>
      </c>
      <c r="C5" s="65"/>
      <c r="D5" s="64" t="s">
        <v>2</v>
      </c>
      <c r="E5" s="66"/>
      <c r="F5" s="64" t="s">
        <v>3</v>
      </c>
      <c r="G5" s="66"/>
      <c r="H5" s="64" t="s">
        <v>4</v>
      </c>
      <c r="I5" s="66"/>
      <c r="J5" s="64" t="s">
        <v>5</v>
      </c>
      <c r="K5" s="66"/>
      <c r="L5" s="67" t="s">
        <v>28</v>
      </c>
      <c r="N5" s="2"/>
    </row>
    <row r="6" spans="1:15" ht="15" customHeight="1" x14ac:dyDescent="0.25">
      <c r="A6" s="75"/>
      <c r="B6" s="24" t="s">
        <v>7</v>
      </c>
      <c r="C6" s="62" t="s">
        <v>52</v>
      </c>
      <c r="D6" s="67" t="s">
        <v>6</v>
      </c>
      <c r="E6" s="15" t="s">
        <v>7</v>
      </c>
      <c r="F6" s="67" t="s">
        <v>6</v>
      </c>
      <c r="G6" s="15" t="s">
        <v>7</v>
      </c>
      <c r="H6" s="67" t="s">
        <v>9</v>
      </c>
      <c r="I6" s="15" t="s">
        <v>7</v>
      </c>
      <c r="J6" s="67" t="s">
        <v>9</v>
      </c>
      <c r="K6" s="15" t="s">
        <v>7</v>
      </c>
      <c r="L6" s="69"/>
      <c r="N6" s="2"/>
    </row>
    <row r="7" spans="1:15" ht="15" customHeight="1" thickBot="1" x14ac:dyDescent="0.3">
      <c r="A7" s="68"/>
      <c r="B7" s="25" t="s">
        <v>29</v>
      </c>
      <c r="C7" s="63"/>
      <c r="D7" s="68"/>
      <c r="E7" s="16" t="s">
        <v>8</v>
      </c>
      <c r="F7" s="68"/>
      <c r="G7" s="16" t="s">
        <v>8</v>
      </c>
      <c r="H7" s="68"/>
      <c r="I7" s="16" t="s">
        <v>8</v>
      </c>
      <c r="J7" s="68"/>
      <c r="K7" s="16" t="s">
        <v>8</v>
      </c>
      <c r="L7" s="70"/>
      <c r="N7" s="2"/>
    </row>
    <row r="8" spans="1:15" ht="15" customHeight="1" thickBot="1" x14ac:dyDescent="0.3">
      <c r="A8" s="17">
        <v>1</v>
      </c>
      <c r="B8" s="17">
        <v>2</v>
      </c>
      <c r="C8" s="18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N8" s="2"/>
    </row>
    <row r="9" spans="1:15" ht="28.5" customHeight="1" thickBot="1" x14ac:dyDescent="0.3">
      <c r="A9" s="76" t="s">
        <v>10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8"/>
    </row>
    <row r="10" spans="1:15" ht="45" customHeight="1" thickBot="1" x14ac:dyDescent="0.3">
      <c r="A10" s="103" t="s">
        <v>11</v>
      </c>
      <c r="B10" s="104">
        <f>SUM(B11:B12)</f>
        <v>0</v>
      </c>
      <c r="C10" s="105">
        <f>SUM(C11:C12)</f>
        <v>0</v>
      </c>
      <c r="D10" s="104">
        <f t="shared" ref="D10:K10" si="0">SUM(D11:D12)</f>
        <v>11.1</v>
      </c>
      <c r="E10" s="104">
        <f t="shared" si="0"/>
        <v>68.400000000000006</v>
      </c>
      <c r="F10" s="104">
        <f t="shared" si="0"/>
        <v>0.4</v>
      </c>
      <c r="G10" s="104">
        <f t="shared" si="0"/>
        <v>2.8</v>
      </c>
      <c r="H10" s="104">
        <f t="shared" si="0"/>
        <v>24.2</v>
      </c>
      <c r="I10" s="104">
        <f t="shared" si="0"/>
        <v>1.2000000000000002</v>
      </c>
      <c r="J10" s="104">
        <f t="shared" si="0"/>
        <v>24.2</v>
      </c>
      <c r="K10" s="104">
        <f t="shared" si="0"/>
        <v>2</v>
      </c>
      <c r="L10" s="104">
        <f t="shared" ref="L10:L62" si="1">SUM(C10,E10,G10,I10,K10)</f>
        <v>74.400000000000006</v>
      </c>
      <c r="O10" s="39"/>
    </row>
    <row r="11" spans="1:15" ht="28.5" customHeight="1" thickBot="1" x14ac:dyDescent="0.3">
      <c r="A11" s="103" t="s">
        <v>12</v>
      </c>
      <c r="B11" s="104">
        <f>SUM(B15+B18)</f>
        <v>0</v>
      </c>
      <c r="C11" s="104">
        <f t="shared" ref="C11:K11" si="2">SUM(C15+C18)</f>
        <v>0</v>
      </c>
      <c r="D11" s="104">
        <f t="shared" si="2"/>
        <v>6.5</v>
      </c>
      <c r="E11" s="104">
        <f t="shared" si="2"/>
        <v>39.400000000000006</v>
      </c>
      <c r="F11" s="104">
        <f t="shared" si="2"/>
        <v>0.2</v>
      </c>
      <c r="G11" s="104">
        <f t="shared" si="2"/>
        <v>1.4</v>
      </c>
      <c r="H11" s="104">
        <f t="shared" si="2"/>
        <v>12.2</v>
      </c>
      <c r="I11" s="104">
        <f t="shared" si="2"/>
        <v>0.60000000000000009</v>
      </c>
      <c r="J11" s="104">
        <f t="shared" si="2"/>
        <v>12.2</v>
      </c>
      <c r="K11" s="104">
        <f t="shared" si="2"/>
        <v>1</v>
      </c>
      <c r="L11" s="104">
        <f t="shared" si="1"/>
        <v>42.400000000000006</v>
      </c>
    </row>
    <row r="12" spans="1:15" ht="28.5" customHeight="1" thickBot="1" x14ac:dyDescent="0.3">
      <c r="A12" s="103" t="s">
        <v>13</v>
      </c>
      <c r="B12" s="104">
        <f>SUM(B16+B19)</f>
        <v>0</v>
      </c>
      <c r="C12" s="104">
        <f t="shared" ref="C12:K12" si="3">SUM(C16+C19)</f>
        <v>0</v>
      </c>
      <c r="D12" s="104">
        <f t="shared" si="3"/>
        <v>4.5999999999999996</v>
      </c>
      <c r="E12" s="104">
        <f t="shared" si="3"/>
        <v>29</v>
      </c>
      <c r="F12" s="104">
        <f t="shared" si="3"/>
        <v>0.2</v>
      </c>
      <c r="G12" s="104">
        <f t="shared" si="3"/>
        <v>1.4</v>
      </c>
      <c r="H12" s="104">
        <f t="shared" si="3"/>
        <v>12</v>
      </c>
      <c r="I12" s="104">
        <f t="shared" si="3"/>
        <v>0.6</v>
      </c>
      <c r="J12" s="104">
        <f t="shared" si="3"/>
        <v>12</v>
      </c>
      <c r="K12" s="104">
        <f t="shared" si="3"/>
        <v>1</v>
      </c>
      <c r="L12" s="104">
        <f t="shared" si="1"/>
        <v>32</v>
      </c>
    </row>
    <row r="13" spans="1:15" ht="18" customHeight="1" thickBot="1" x14ac:dyDescent="0.3">
      <c r="A13" s="113" t="s">
        <v>19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5" ht="45" customHeight="1" thickBot="1" x14ac:dyDescent="0.3">
      <c r="A14" s="103" t="s">
        <v>49</v>
      </c>
      <c r="B14" s="104">
        <f>SUM(B15:B16)</f>
        <v>0</v>
      </c>
      <c r="C14" s="105">
        <f>SUM(C15:C16)</f>
        <v>0</v>
      </c>
      <c r="D14" s="104">
        <f t="shared" ref="D14:K14" si="4">SUM(D15:D16)</f>
        <v>5.5</v>
      </c>
      <c r="E14" s="104">
        <f t="shared" si="4"/>
        <v>33.900000000000006</v>
      </c>
      <c r="F14" s="104">
        <f t="shared" si="4"/>
        <v>0.2</v>
      </c>
      <c r="G14" s="104">
        <f t="shared" si="4"/>
        <v>1.4</v>
      </c>
      <c r="H14" s="104">
        <f t="shared" si="4"/>
        <v>12.1</v>
      </c>
      <c r="I14" s="104">
        <f t="shared" si="4"/>
        <v>0.60000000000000009</v>
      </c>
      <c r="J14" s="104">
        <f t="shared" si="4"/>
        <v>12.1</v>
      </c>
      <c r="K14" s="104">
        <f t="shared" si="4"/>
        <v>1</v>
      </c>
      <c r="L14" s="104">
        <f t="shared" si="1"/>
        <v>36.900000000000006</v>
      </c>
    </row>
    <row r="15" spans="1:15" ht="20.100000000000001" customHeight="1" thickBot="1" x14ac:dyDescent="0.3">
      <c r="A15" s="107" t="s">
        <v>12</v>
      </c>
      <c r="B15" s="108">
        <v>0</v>
      </c>
      <c r="C15" s="106">
        <f>SUM(B15*ТАРИФЫ!F21)</f>
        <v>0</v>
      </c>
      <c r="D15" s="108">
        <v>3.2</v>
      </c>
      <c r="E15" s="108">
        <f>ROUNDUP(D15*ТАРИФЫ!$F$5/1000,1)</f>
        <v>19.400000000000002</v>
      </c>
      <c r="F15" s="108">
        <v>0.1</v>
      </c>
      <c r="G15" s="108">
        <f>ROUNDUP(F15*ТАРИФЫ!$F$5/1000,1)</f>
        <v>0.7</v>
      </c>
      <c r="H15" s="108">
        <v>6.1</v>
      </c>
      <c r="I15" s="108">
        <f>ROUNDUP(H15*ТАРИФЫ!$F$10/1000,1)</f>
        <v>0.30000000000000004</v>
      </c>
      <c r="J15" s="108">
        <v>6.1</v>
      </c>
      <c r="K15" s="108">
        <f>ROUND(J15*ТАРИФЫ!$F$15/1000,1)</f>
        <v>0.5</v>
      </c>
      <c r="L15" s="104">
        <f t="shared" si="1"/>
        <v>20.900000000000002</v>
      </c>
      <c r="M15" t="s">
        <v>107</v>
      </c>
      <c r="N15" s="39">
        <f t="shared" ref="N15:N16" si="5">H15-J15</f>
        <v>0</v>
      </c>
    </row>
    <row r="16" spans="1:15" ht="20.100000000000001" customHeight="1" thickBot="1" x14ac:dyDescent="0.3">
      <c r="A16" s="107" t="s">
        <v>13</v>
      </c>
      <c r="B16" s="108">
        <v>0</v>
      </c>
      <c r="C16" s="106">
        <f>SUM(B16*ТАРИФЫ!G21)</f>
        <v>0</v>
      </c>
      <c r="D16" s="108">
        <v>2.2999999999999998</v>
      </c>
      <c r="E16" s="108">
        <f>ROUNDUP(D16*ТАРИФЫ!$G$5/1000,1)</f>
        <v>14.5</v>
      </c>
      <c r="F16" s="108">
        <v>0.1</v>
      </c>
      <c r="G16" s="108">
        <f>ROUNDUP(F16*ТАРИФЫ!$G$5/1000,1)</f>
        <v>0.7</v>
      </c>
      <c r="H16" s="108">
        <v>6</v>
      </c>
      <c r="I16" s="108">
        <f>ROUND(H16*ТАРИФЫ!$G$10/1000,1)</f>
        <v>0.3</v>
      </c>
      <c r="J16" s="108">
        <v>6</v>
      </c>
      <c r="K16" s="108">
        <f>ROUND(J16*ТАРИФЫ!$G$15/1000,1)</f>
        <v>0.5</v>
      </c>
      <c r="L16" s="104">
        <f t="shared" si="1"/>
        <v>16</v>
      </c>
      <c r="M16" t="s">
        <v>107</v>
      </c>
      <c r="N16" s="39">
        <f t="shared" si="5"/>
        <v>0</v>
      </c>
    </row>
    <row r="17" spans="1:20" ht="45" customHeight="1" thickBot="1" x14ac:dyDescent="0.3">
      <c r="A17" s="103" t="s">
        <v>50</v>
      </c>
      <c r="B17" s="104">
        <f>SUM(B18:B19)</f>
        <v>0</v>
      </c>
      <c r="C17" s="105">
        <f>SUM(C18:C19)</f>
        <v>0</v>
      </c>
      <c r="D17" s="104">
        <f t="shared" ref="D17:K17" si="6">SUM(D18:D19)</f>
        <v>5.6</v>
      </c>
      <c r="E17" s="104">
        <f t="shared" si="6"/>
        <v>34.5</v>
      </c>
      <c r="F17" s="104">
        <f t="shared" si="6"/>
        <v>0.2</v>
      </c>
      <c r="G17" s="104">
        <f t="shared" si="6"/>
        <v>1.4</v>
      </c>
      <c r="H17" s="104">
        <f t="shared" si="6"/>
        <v>12.1</v>
      </c>
      <c r="I17" s="104">
        <f t="shared" si="6"/>
        <v>0.60000000000000009</v>
      </c>
      <c r="J17" s="104">
        <f t="shared" si="6"/>
        <v>12.1</v>
      </c>
      <c r="K17" s="104">
        <f t="shared" si="6"/>
        <v>1</v>
      </c>
      <c r="L17" s="104">
        <f t="shared" si="1"/>
        <v>37.5</v>
      </c>
    </row>
    <row r="18" spans="1:20" ht="20.100000000000001" customHeight="1" thickBot="1" x14ac:dyDescent="0.3">
      <c r="A18" s="107" t="s">
        <v>12</v>
      </c>
      <c r="B18" s="108">
        <v>0</v>
      </c>
      <c r="C18" s="106">
        <f>SUM(B18*ТАРИФЫ!F21)</f>
        <v>0</v>
      </c>
      <c r="D18" s="108">
        <v>3.3</v>
      </c>
      <c r="E18" s="108">
        <f>ROUNDUP(D18*ТАРИФЫ!$F$5/1000,1)</f>
        <v>20</v>
      </c>
      <c r="F18" s="108">
        <v>0.1</v>
      </c>
      <c r="G18" s="108">
        <f>ROUNDUP(F18*ТАРИФЫ!$F$5/1000,1)</f>
        <v>0.7</v>
      </c>
      <c r="H18" s="108">
        <v>6.1</v>
      </c>
      <c r="I18" s="108">
        <f>ROUNDUP(H18*ТАРИФЫ!$F$10/1000,1)</f>
        <v>0.30000000000000004</v>
      </c>
      <c r="J18" s="108">
        <v>6.1</v>
      </c>
      <c r="K18" s="108">
        <f>ROUND(J18*ТАРИФЫ!$F$15/1000,1)</f>
        <v>0.5</v>
      </c>
      <c r="L18" s="104">
        <f t="shared" si="1"/>
        <v>21.5</v>
      </c>
      <c r="M18" t="s">
        <v>107</v>
      </c>
      <c r="N18" s="39">
        <f t="shared" ref="N18:N19" si="7">H18-J18</f>
        <v>0</v>
      </c>
    </row>
    <row r="19" spans="1:20" ht="20.100000000000001" customHeight="1" thickBot="1" x14ac:dyDescent="0.3">
      <c r="A19" s="107" t="s">
        <v>13</v>
      </c>
      <c r="B19" s="108">
        <v>0</v>
      </c>
      <c r="C19" s="106">
        <f>SUM(B19*ТАРИФЫ!G21)</f>
        <v>0</v>
      </c>
      <c r="D19" s="108">
        <v>2.2999999999999998</v>
      </c>
      <c r="E19" s="108">
        <f>ROUNDUP(D19*ТАРИФЫ!$G$5/1000,1)</f>
        <v>14.5</v>
      </c>
      <c r="F19" s="108">
        <v>0.1</v>
      </c>
      <c r="G19" s="108">
        <f>ROUNDUP(F19*ТАРИФЫ!$G$5/1000,1)</f>
        <v>0.7</v>
      </c>
      <c r="H19" s="108">
        <v>6</v>
      </c>
      <c r="I19" s="108">
        <f>ROUND(H19*ТАРИФЫ!$G$10/1000,1)</f>
        <v>0.3</v>
      </c>
      <c r="J19" s="108">
        <v>6</v>
      </c>
      <c r="K19" s="108">
        <f>ROUND(J19*ТАРИФЫ!$G$15/1000,1)</f>
        <v>0.5</v>
      </c>
      <c r="L19" s="104">
        <f t="shared" si="1"/>
        <v>16</v>
      </c>
      <c r="M19" t="s">
        <v>107</v>
      </c>
      <c r="N19" s="39">
        <f t="shared" si="7"/>
        <v>0</v>
      </c>
    </row>
    <row r="20" spans="1:20" ht="132.94999999999999" customHeight="1" thickBot="1" x14ac:dyDescent="0.3">
      <c r="A20" s="103" t="s">
        <v>63</v>
      </c>
      <c r="B20" s="104">
        <f>SUM(B21:B22)</f>
        <v>0</v>
      </c>
      <c r="C20" s="105">
        <f>SUM(C21:C22)</f>
        <v>0</v>
      </c>
      <c r="D20" s="104">
        <f t="shared" ref="D20:K20" si="8">SUM(D21:D22)</f>
        <v>26</v>
      </c>
      <c r="E20" s="104">
        <f t="shared" si="8"/>
        <v>160.1</v>
      </c>
      <c r="F20" s="104">
        <f t="shared" si="8"/>
        <v>0</v>
      </c>
      <c r="G20" s="104">
        <f t="shared" si="8"/>
        <v>0</v>
      </c>
      <c r="H20" s="104">
        <f t="shared" si="8"/>
        <v>82.2</v>
      </c>
      <c r="I20" s="104">
        <f t="shared" si="8"/>
        <v>3.6</v>
      </c>
      <c r="J20" s="104">
        <f t="shared" si="8"/>
        <v>82.2</v>
      </c>
      <c r="K20" s="104">
        <f t="shared" si="8"/>
        <v>6.6999999999999993</v>
      </c>
      <c r="L20" s="104">
        <f t="shared" si="1"/>
        <v>170.39999999999998</v>
      </c>
    </row>
    <row r="21" spans="1:20" ht="28.5" customHeight="1" thickBot="1" x14ac:dyDescent="0.3">
      <c r="A21" s="32" t="s">
        <v>12</v>
      </c>
      <c r="B21" s="33">
        <v>0</v>
      </c>
      <c r="C21" s="34">
        <f>MROUND(B21*ТАРИФЫ!$F$21,1)</f>
        <v>0</v>
      </c>
      <c r="D21" s="33">
        <v>15.3</v>
      </c>
      <c r="E21" s="33">
        <f>ROUNDUP(D21*ТАРИФЫ!$F$5/1000,1)</f>
        <v>92.6</v>
      </c>
      <c r="F21" s="33">
        <v>0</v>
      </c>
      <c r="G21" s="33">
        <f>ROUNDUP(F21*ТАРИФЫ!$F$5/1000,1)</f>
        <v>0</v>
      </c>
      <c r="H21" s="33">
        <v>41.1</v>
      </c>
      <c r="I21" s="33">
        <f>ROUNDUP(H21*ТАРИФЫ!$F$10/1000,1)</f>
        <v>1.8</v>
      </c>
      <c r="J21" s="33">
        <v>41.1</v>
      </c>
      <c r="K21" s="33">
        <f>ROUND(J21*ТАРИФЫ!$F$15/1000,1)</f>
        <v>3.3</v>
      </c>
      <c r="L21" s="30">
        <f t="shared" si="1"/>
        <v>97.699999999999989</v>
      </c>
      <c r="M21" t="s">
        <v>107</v>
      </c>
      <c r="N21" s="39">
        <f t="shared" ref="N21:N25" si="9">H21-J21</f>
        <v>0</v>
      </c>
    </row>
    <row r="22" spans="1:20" ht="28.5" customHeight="1" thickBot="1" x14ac:dyDescent="0.3">
      <c r="A22" s="32" t="s">
        <v>13</v>
      </c>
      <c r="B22" s="33">
        <v>0</v>
      </c>
      <c r="C22" s="34">
        <f>MROUND(B22*ТАРИФЫ!$G$21,1)</f>
        <v>0</v>
      </c>
      <c r="D22" s="33">
        <v>10.7</v>
      </c>
      <c r="E22" s="33">
        <f>ROUNDUP(D22*ТАРИФЫ!$G$5/1000,1)</f>
        <v>67.5</v>
      </c>
      <c r="F22" s="33">
        <v>0</v>
      </c>
      <c r="G22" s="33">
        <f>ROUNDUP(F22*ТАРИФЫ!$G$5/1000,1)</f>
        <v>0</v>
      </c>
      <c r="H22" s="33">
        <v>41.1</v>
      </c>
      <c r="I22" s="33">
        <f>ROUND(H22*ТАРИФЫ!$G$10/1000,1)</f>
        <v>1.8</v>
      </c>
      <c r="J22" s="33">
        <v>41.1</v>
      </c>
      <c r="K22" s="33">
        <f>ROUND(J22*ТАРИФЫ!$G$15/1000,1)</f>
        <v>3.4</v>
      </c>
      <c r="L22" s="30">
        <f t="shared" si="1"/>
        <v>72.7</v>
      </c>
      <c r="M22" t="s">
        <v>107</v>
      </c>
      <c r="N22" s="39">
        <f t="shared" si="9"/>
        <v>0</v>
      </c>
    </row>
    <row r="23" spans="1:20" ht="89.25" customHeight="1" thickBot="1" x14ac:dyDescent="0.3">
      <c r="A23" s="103" t="s">
        <v>51</v>
      </c>
      <c r="B23" s="104">
        <f>SUM(B24:B25)</f>
        <v>235.10000000000002</v>
      </c>
      <c r="C23" s="105">
        <f>SUM(C24:C25)</f>
        <v>1465.9</v>
      </c>
      <c r="D23" s="104">
        <f t="shared" ref="D23:K23" si="10">SUM(D24:D25)</f>
        <v>1091.48</v>
      </c>
      <c r="E23" s="104">
        <f t="shared" si="10"/>
        <v>7755.4</v>
      </c>
      <c r="F23" s="104">
        <f t="shared" si="10"/>
        <v>27.33</v>
      </c>
      <c r="G23" s="104">
        <f t="shared" si="10"/>
        <v>173.6</v>
      </c>
      <c r="H23" s="104">
        <f t="shared" si="10"/>
        <v>1689.6300000000003</v>
      </c>
      <c r="I23" s="104">
        <f t="shared" si="10"/>
        <v>80.400000000000006</v>
      </c>
      <c r="J23" s="104">
        <f t="shared" si="10"/>
        <v>2109.5</v>
      </c>
      <c r="K23" s="104">
        <f t="shared" si="10"/>
        <v>173.3</v>
      </c>
      <c r="L23" s="104">
        <f t="shared" si="1"/>
        <v>9648.5999999999985</v>
      </c>
    </row>
    <row r="24" spans="1:20" ht="28.5" customHeight="1" thickBot="1" x14ac:dyDescent="0.3">
      <c r="A24" s="107" t="s">
        <v>12</v>
      </c>
      <c r="B24" s="108">
        <f>SUM(B28+B31+B34+B37+B40+B43+B46+B49+B52+B55+B58)</f>
        <v>123.3</v>
      </c>
      <c r="C24" s="108">
        <f t="shared" ref="C24:K24" si="11">SUM(C28+C31+C34+C37+C40+C43+C46+C49+C52+C55+C58)</f>
        <v>749.2</v>
      </c>
      <c r="D24" s="108">
        <f t="shared" si="11"/>
        <v>637.13</v>
      </c>
      <c r="E24" s="108">
        <f t="shared" si="11"/>
        <v>4453</v>
      </c>
      <c r="F24" s="108">
        <f t="shared" si="11"/>
        <v>12.500000000000002</v>
      </c>
      <c r="G24" s="108">
        <f t="shared" si="11"/>
        <v>78.099999999999994</v>
      </c>
      <c r="H24" s="108">
        <f t="shared" si="11"/>
        <v>877.69000000000028</v>
      </c>
      <c r="I24" s="108">
        <f t="shared" si="11"/>
        <v>41.4</v>
      </c>
      <c r="J24" s="108">
        <f t="shared" si="11"/>
        <v>1085.0000000000002</v>
      </c>
      <c r="K24" s="108">
        <f t="shared" si="11"/>
        <v>87.800000000000011</v>
      </c>
      <c r="L24" s="104">
        <f t="shared" si="1"/>
        <v>5409.5</v>
      </c>
      <c r="N24" s="39">
        <f t="shared" si="9"/>
        <v>-207.30999999999995</v>
      </c>
    </row>
    <row r="25" spans="1:20" ht="28.5" customHeight="1" thickBot="1" x14ac:dyDescent="0.3">
      <c r="A25" s="107" t="s">
        <v>13</v>
      </c>
      <c r="B25" s="108">
        <f>SUM(B29+B32+B35+B38+B41+B44+B47+B50+B53+B56+B59)</f>
        <v>111.80000000000001</v>
      </c>
      <c r="C25" s="108">
        <f t="shared" ref="C25:K25" si="12">SUM(C29+C32+C35+C38+C41+C44+C47+C50+C53+C56+C59)</f>
        <v>716.7</v>
      </c>
      <c r="D25" s="108">
        <f t="shared" si="12"/>
        <v>454.34999999999997</v>
      </c>
      <c r="E25" s="108">
        <f t="shared" si="12"/>
        <v>3302.4</v>
      </c>
      <c r="F25" s="108">
        <f t="shared" si="12"/>
        <v>14.829999999999998</v>
      </c>
      <c r="G25" s="108">
        <f t="shared" si="12"/>
        <v>95.5</v>
      </c>
      <c r="H25" s="108">
        <f t="shared" si="12"/>
        <v>811.94</v>
      </c>
      <c r="I25" s="108">
        <f t="shared" si="12"/>
        <v>39.000000000000007</v>
      </c>
      <c r="J25" s="108">
        <f t="shared" si="12"/>
        <v>1024.5</v>
      </c>
      <c r="K25" s="108">
        <f t="shared" si="12"/>
        <v>85.499999999999986</v>
      </c>
      <c r="L25" s="104">
        <f t="shared" si="1"/>
        <v>4239.1000000000004</v>
      </c>
      <c r="M25" s="26"/>
      <c r="N25" s="39">
        <f t="shared" si="9"/>
        <v>-212.55999999999995</v>
      </c>
    </row>
    <row r="26" spans="1:20" ht="18" customHeight="1" thickBot="1" x14ac:dyDescent="0.3">
      <c r="A26" s="113" t="s">
        <v>19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2"/>
    </row>
    <row r="27" spans="1:20" ht="75" customHeight="1" thickBot="1" x14ac:dyDescent="0.3">
      <c r="A27" s="103" t="s">
        <v>56</v>
      </c>
      <c r="B27" s="104">
        <f>SUM(B28:B29)</f>
        <v>82.7</v>
      </c>
      <c r="C27" s="105">
        <f>SUM(C28:C29)</f>
        <v>516.6</v>
      </c>
      <c r="D27" s="104">
        <f t="shared" ref="D27:K27" si="13">SUM(D28:D29)</f>
        <v>410</v>
      </c>
      <c r="E27" s="104">
        <f t="shared" si="13"/>
        <v>2525</v>
      </c>
      <c r="F27" s="104">
        <f t="shared" si="13"/>
        <v>13.5</v>
      </c>
      <c r="G27" s="104">
        <f t="shared" si="13"/>
        <v>83.800000000000011</v>
      </c>
      <c r="H27" s="104">
        <f t="shared" si="13"/>
        <v>1109.3</v>
      </c>
      <c r="I27" s="104">
        <f t="shared" si="13"/>
        <v>47.6</v>
      </c>
      <c r="J27" s="104">
        <f t="shared" si="13"/>
        <v>1500</v>
      </c>
      <c r="K27" s="104">
        <f t="shared" si="13"/>
        <v>122.8</v>
      </c>
      <c r="L27" s="104">
        <f>SUM(C27,E27,G27,I27,K27)</f>
        <v>3295.8</v>
      </c>
    </row>
    <row r="28" spans="1:20" ht="20.100000000000001" customHeight="1" thickBot="1" x14ac:dyDescent="0.3">
      <c r="A28" s="32" t="s">
        <v>12</v>
      </c>
      <c r="B28" s="33">
        <v>39.700000000000003</v>
      </c>
      <c r="C28" s="34">
        <f>ROUNDUP(B28*ТАРИФЫ!$F$21,1)</f>
        <v>241.1</v>
      </c>
      <c r="D28" s="33">
        <v>232.4</v>
      </c>
      <c r="E28" s="33">
        <f>ROUNDUP(D28*ТАРИФЫ!$F$5/1000,1)</f>
        <v>1405.8999999999999</v>
      </c>
      <c r="F28" s="33">
        <v>5.4</v>
      </c>
      <c r="G28" s="33">
        <f>ROUNDUP(F28*ТАРИФЫ!$F$5/1000,1)</f>
        <v>32.700000000000003</v>
      </c>
      <c r="H28" s="33">
        <v>552.5</v>
      </c>
      <c r="I28" s="33">
        <f>ROUNDUP(H28*ТАРИФЫ!$F$10/1000,1)</f>
        <v>23.3</v>
      </c>
      <c r="J28" s="33">
        <v>756.5</v>
      </c>
      <c r="K28" s="33">
        <f>ROUND(J28*ТАРИФЫ!$F$15/1000,1)</f>
        <v>60.8</v>
      </c>
      <c r="L28" s="30">
        <f>SUM(C28,E28,G28,I28,K28)</f>
        <v>1763.7999999999997</v>
      </c>
      <c r="M28" t="s">
        <v>107</v>
      </c>
      <c r="N28" s="39">
        <f t="shared" ref="N28:N29" si="14">H28-J28</f>
        <v>-204</v>
      </c>
    </row>
    <row r="29" spans="1:20" ht="20.100000000000001" customHeight="1" thickBot="1" x14ac:dyDescent="0.3">
      <c r="A29" s="32" t="s">
        <v>13</v>
      </c>
      <c r="B29" s="33">
        <v>43</v>
      </c>
      <c r="C29" s="34">
        <f>ROUNDUP(B29*ТАРИФЫ!$G$21,1)</f>
        <v>275.5</v>
      </c>
      <c r="D29" s="33">
        <v>177.6</v>
      </c>
      <c r="E29" s="33">
        <f>ROUNDUP(D29*ТАРИФЫ!$G$5/1000,1)</f>
        <v>1119.0999999999999</v>
      </c>
      <c r="F29" s="33">
        <v>8.1</v>
      </c>
      <c r="G29" s="33">
        <f>ROUNDUP(F29*ТАРИФЫ!$G$5/1000,1)</f>
        <v>51.1</v>
      </c>
      <c r="H29" s="33">
        <v>556.79999999999995</v>
      </c>
      <c r="I29" s="33">
        <f>ROUND(H29*ТАРИФЫ!$G$10/1000,1)</f>
        <v>24.3</v>
      </c>
      <c r="J29" s="33">
        <v>743.5</v>
      </c>
      <c r="K29" s="33">
        <f>ROUND(J29*ТАРИФЫ!$G$15/1000,1)</f>
        <v>62</v>
      </c>
      <c r="L29" s="30">
        <f>SUM(C29,E29,G29,I29,K29)</f>
        <v>1531.9999999999998</v>
      </c>
      <c r="M29" t="s">
        <v>107</v>
      </c>
      <c r="N29" s="39">
        <f t="shared" si="14"/>
        <v>-186.70000000000005</v>
      </c>
    </row>
    <row r="30" spans="1:20" ht="45" customHeight="1" thickBot="1" x14ac:dyDescent="0.3">
      <c r="A30" s="103" t="s">
        <v>125</v>
      </c>
      <c r="B30" s="104">
        <f>SUM(B31:B32)</f>
        <v>0</v>
      </c>
      <c r="C30" s="105">
        <f>SUM(C31:C32)</f>
        <v>0</v>
      </c>
      <c r="D30" s="104">
        <f t="shared" ref="D30:K30" si="15">SUM(D31:D32)</f>
        <v>2.6</v>
      </c>
      <c r="E30" s="104">
        <f t="shared" si="15"/>
        <v>16.100000000000001</v>
      </c>
      <c r="F30" s="104">
        <f t="shared" si="15"/>
        <v>0.1</v>
      </c>
      <c r="G30" s="104">
        <f t="shared" si="15"/>
        <v>0.8</v>
      </c>
      <c r="H30" s="104">
        <f t="shared" si="15"/>
        <v>6.1</v>
      </c>
      <c r="I30" s="104">
        <f t="shared" si="15"/>
        <v>0.4</v>
      </c>
      <c r="J30" s="104">
        <f t="shared" si="15"/>
        <v>6.1</v>
      </c>
      <c r="K30" s="104">
        <f t="shared" si="15"/>
        <v>0.5</v>
      </c>
      <c r="L30" s="104">
        <f t="shared" ref="L30:L32" si="16">SUM(C30,E30,G30,I30,K30)</f>
        <v>17.8</v>
      </c>
      <c r="M30" s="126"/>
      <c r="N30" s="126"/>
      <c r="O30" s="126"/>
      <c r="P30" s="126"/>
      <c r="Q30" s="126"/>
      <c r="R30" s="126"/>
      <c r="S30" s="126"/>
      <c r="T30" s="126"/>
    </row>
    <row r="31" spans="1:20" ht="20.100000000000001" customHeight="1" thickBot="1" x14ac:dyDescent="0.3">
      <c r="A31" s="107" t="s">
        <v>12</v>
      </c>
      <c r="B31" s="108">
        <v>0</v>
      </c>
      <c r="C31" s="106">
        <f>SUM(B31*ТАРИФЫ!F43)</f>
        <v>0</v>
      </c>
      <c r="D31" s="108">
        <v>1.5</v>
      </c>
      <c r="E31" s="108">
        <f>ROUNDUP(D31*ТАРИФЫ!$F$5/1000,1)</f>
        <v>9.1</v>
      </c>
      <c r="F31" s="108">
        <v>0.05</v>
      </c>
      <c r="G31" s="108">
        <f>ROUNDUP(F31*ТАРИФЫ!$F$5/1000,1)</f>
        <v>0.4</v>
      </c>
      <c r="H31" s="108">
        <v>3.1</v>
      </c>
      <c r="I31" s="108">
        <f>ROUNDUP(H31*ТАРИФЫ!$F$10/1000,1)</f>
        <v>0.2</v>
      </c>
      <c r="J31" s="108">
        <v>3.1</v>
      </c>
      <c r="K31" s="108">
        <f>ROUND(J31*ТАРИФЫ!$F$15/1000,1)</f>
        <v>0.2</v>
      </c>
      <c r="L31" s="104">
        <f t="shared" si="16"/>
        <v>9.8999999999999986</v>
      </c>
      <c r="M31" s="126" t="s">
        <v>107</v>
      </c>
      <c r="N31" s="127">
        <f t="shared" ref="N31:N32" si="17">H31-J31</f>
        <v>0</v>
      </c>
      <c r="O31" s="126"/>
      <c r="P31" s="126"/>
      <c r="Q31" s="126"/>
      <c r="R31" s="126"/>
      <c r="S31" s="126"/>
      <c r="T31" s="126"/>
    </row>
    <row r="32" spans="1:20" ht="20.100000000000001" customHeight="1" thickBot="1" x14ac:dyDescent="0.3">
      <c r="A32" s="107" t="s">
        <v>13</v>
      </c>
      <c r="B32" s="108">
        <v>0</v>
      </c>
      <c r="C32" s="106">
        <f>SUM(B32*ТАРИФЫ!G43)</f>
        <v>0</v>
      </c>
      <c r="D32" s="108">
        <v>1.1000000000000001</v>
      </c>
      <c r="E32" s="108">
        <f>ROUNDUP(D32*ТАРИФЫ!$G$5/1000,1)</f>
        <v>7</v>
      </c>
      <c r="F32" s="108">
        <v>0.05</v>
      </c>
      <c r="G32" s="108">
        <f>ROUNDUP(F32*ТАРИФЫ!$G$5/1000,1)</f>
        <v>0.4</v>
      </c>
      <c r="H32" s="108">
        <v>3</v>
      </c>
      <c r="I32" s="108">
        <f>ROUNDUP(H32*ТАРИФЫ!$G$10/1000,1)</f>
        <v>0.2</v>
      </c>
      <c r="J32" s="108">
        <v>3</v>
      </c>
      <c r="K32" s="108">
        <f>ROUND(J32*ТАРИФЫ!$G$15/1000,1)</f>
        <v>0.3</v>
      </c>
      <c r="L32" s="104">
        <f t="shared" si="16"/>
        <v>7.9</v>
      </c>
      <c r="M32" s="126" t="s">
        <v>107</v>
      </c>
      <c r="N32" s="127">
        <f t="shared" si="17"/>
        <v>0</v>
      </c>
      <c r="O32" s="126"/>
      <c r="P32" s="126"/>
      <c r="Q32" s="126"/>
      <c r="R32" s="126"/>
      <c r="S32" s="126"/>
      <c r="T32" s="126"/>
    </row>
    <row r="33" spans="1:21" ht="40.5" customHeight="1" thickBot="1" x14ac:dyDescent="0.3">
      <c r="A33" s="103" t="s">
        <v>126</v>
      </c>
      <c r="B33" s="104">
        <f>SUM(B34:B35)</f>
        <v>0</v>
      </c>
      <c r="C33" s="105">
        <f>SUM(C34:C35)</f>
        <v>0</v>
      </c>
      <c r="D33" s="104">
        <f t="shared" ref="D33:K33" si="18">SUM(D34:D35)</f>
        <v>5.5</v>
      </c>
      <c r="E33" s="104">
        <f t="shared" si="18"/>
        <v>33.900000000000006</v>
      </c>
      <c r="F33" s="104">
        <f t="shared" si="18"/>
        <v>0.18</v>
      </c>
      <c r="G33" s="104">
        <f t="shared" si="18"/>
        <v>1.2</v>
      </c>
      <c r="H33" s="104">
        <f t="shared" si="18"/>
        <v>6</v>
      </c>
      <c r="I33" s="104">
        <f t="shared" si="18"/>
        <v>0.30000000000000004</v>
      </c>
      <c r="J33" s="104">
        <f t="shared" si="18"/>
        <v>6</v>
      </c>
      <c r="K33" s="104">
        <f t="shared" si="18"/>
        <v>0.5</v>
      </c>
      <c r="L33" s="104">
        <f>SUM(C33,E33,G33,I33,K33)</f>
        <v>35.900000000000006</v>
      </c>
      <c r="M33" s="126"/>
      <c r="N33" s="127"/>
      <c r="O33" s="126"/>
      <c r="P33" s="126"/>
      <c r="Q33" s="126"/>
      <c r="R33" s="126"/>
      <c r="S33" s="126"/>
      <c r="T33" s="126"/>
    </row>
    <row r="34" spans="1:21" ht="20.100000000000001" customHeight="1" thickBot="1" x14ac:dyDescent="0.3">
      <c r="A34" s="107" t="s">
        <v>12</v>
      </c>
      <c r="B34" s="108">
        <v>0</v>
      </c>
      <c r="C34" s="106">
        <f>SUM(B34*ТАРИФЫ!F21)</f>
        <v>0</v>
      </c>
      <c r="D34" s="108">
        <v>3.2</v>
      </c>
      <c r="E34" s="108">
        <f>ROUNDUP(D34*ТАРИФЫ!$F$5/1000,1)</f>
        <v>19.400000000000002</v>
      </c>
      <c r="F34" s="108">
        <v>0.09</v>
      </c>
      <c r="G34" s="108">
        <f>ROUNDUP(F34*ТАРИФЫ!$F$5/1000,1)</f>
        <v>0.6</v>
      </c>
      <c r="H34" s="108">
        <v>3</v>
      </c>
      <c r="I34" s="108">
        <f>ROUNDUP(H34*ТАРИФЫ!$F$10/1000,1)</f>
        <v>0.2</v>
      </c>
      <c r="J34" s="108">
        <v>3</v>
      </c>
      <c r="K34" s="108">
        <f>ROUND(J34*ТАРИФЫ!$F$15/1000,1)</f>
        <v>0.2</v>
      </c>
      <c r="L34" s="104">
        <f>SUM(C34,E34,G34,I34,K34)</f>
        <v>20.400000000000002</v>
      </c>
      <c r="M34" s="126"/>
      <c r="N34" s="127"/>
      <c r="O34" s="126"/>
      <c r="P34" s="126"/>
      <c r="Q34" s="126"/>
      <c r="R34" s="126"/>
      <c r="S34" s="126"/>
      <c r="T34" s="126"/>
    </row>
    <row r="35" spans="1:21" ht="20.100000000000001" customHeight="1" thickBot="1" x14ac:dyDescent="0.3">
      <c r="A35" s="107" t="s">
        <v>13</v>
      </c>
      <c r="B35" s="108">
        <v>0</v>
      </c>
      <c r="C35" s="106">
        <f>SUM(B35*ТАРИФЫ!G21)</f>
        <v>0</v>
      </c>
      <c r="D35" s="108">
        <v>2.2999999999999998</v>
      </c>
      <c r="E35" s="108">
        <f>ROUNDUP(D35*ТАРИФЫ!$G$5/1000,1)</f>
        <v>14.5</v>
      </c>
      <c r="F35" s="108">
        <v>0.09</v>
      </c>
      <c r="G35" s="108">
        <f>ROUNDUP(F35*ТАРИФЫ!$G$5/1000,1)</f>
        <v>0.6</v>
      </c>
      <c r="H35" s="108">
        <v>3</v>
      </c>
      <c r="I35" s="108">
        <f>ROUND(H35*ТАРИФЫ!$G$10/1000,1)</f>
        <v>0.1</v>
      </c>
      <c r="J35" s="108">
        <v>3</v>
      </c>
      <c r="K35" s="108">
        <f>ROUND(J35*ТАРИФЫ!$G$15/1000,1)</f>
        <v>0.3</v>
      </c>
      <c r="L35" s="104">
        <f>SUM(C35,E35,G35,I35,K35)</f>
        <v>15.5</v>
      </c>
      <c r="M35" s="126"/>
      <c r="N35" s="127"/>
      <c r="O35" s="126"/>
      <c r="P35" s="126"/>
      <c r="Q35" s="126"/>
      <c r="R35" s="126"/>
      <c r="S35" s="126"/>
      <c r="T35" s="126"/>
    </row>
    <row r="36" spans="1:21" ht="45" customHeight="1" thickBot="1" x14ac:dyDescent="0.3">
      <c r="A36" s="103" t="s">
        <v>64</v>
      </c>
      <c r="B36" s="104">
        <f>SUM(B37:B38)</f>
        <v>1.1000000000000001</v>
      </c>
      <c r="C36" s="105">
        <f>SUM(C37:C38)</f>
        <v>7</v>
      </c>
      <c r="D36" s="104">
        <f t="shared" ref="D36:K36" si="19">SUM(D37:D38)</f>
        <v>66.599999999999994</v>
      </c>
      <c r="E36" s="104">
        <f t="shared" si="19"/>
        <v>409.9</v>
      </c>
      <c r="F36" s="104">
        <f t="shared" si="19"/>
        <v>1.2999999999999998</v>
      </c>
      <c r="G36" s="104">
        <f t="shared" si="19"/>
        <v>8.1</v>
      </c>
      <c r="H36" s="104">
        <f t="shared" si="19"/>
        <v>69.900000000000006</v>
      </c>
      <c r="I36" s="104">
        <f t="shared" si="19"/>
        <v>3</v>
      </c>
      <c r="J36" s="104">
        <f t="shared" si="19"/>
        <v>69.900000000000006</v>
      </c>
      <c r="K36" s="104">
        <f t="shared" si="19"/>
        <v>5.8</v>
      </c>
      <c r="L36" s="104">
        <f t="shared" si="1"/>
        <v>433.8</v>
      </c>
      <c r="M36" s="126"/>
      <c r="N36" s="126"/>
      <c r="O36" s="126"/>
      <c r="P36" s="126"/>
      <c r="Q36" s="126"/>
      <c r="R36" s="126"/>
      <c r="S36" s="126"/>
      <c r="T36" s="126"/>
    </row>
    <row r="37" spans="1:21" ht="20.100000000000001" customHeight="1" thickBot="1" x14ac:dyDescent="0.3">
      <c r="A37" s="107" t="s">
        <v>12</v>
      </c>
      <c r="B37" s="108">
        <v>0.5</v>
      </c>
      <c r="C37" s="106">
        <f>ROUNDUP(B37*ТАРИФЫ!$F$21,1)</f>
        <v>3.1</v>
      </c>
      <c r="D37" s="108">
        <v>39.200000000000003</v>
      </c>
      <c r="E37" s="108">
        <f>ROUNDUP(D37*ТАРИФЫ!$F$5/1000,1)</f>
        <v>237.2</v>
      </c>
      <c r="F37" s="108">
        <v>0.7</v>
      </c>
      <c r="G37" s="108">
        <f>ROUNDUP(F37*ТАРИФЫ!$F$5/1000,1)</f>
        <v>4.3</v>
      </c>
      <c r="H37" s="108">
        <v>35.700000000000003</v>
      </c>
      <c r="I37" s="108">
        <f>ROUNDUP(H37*ТАРИФЫ!$F$10/1000,1)</f>
        <v>1.5</v>
      </c>
      <c r="J37" s="108">
        <v>35.700000000000003</v>
      </c>
      <c r="K37" s="108">
        <f>ROUND(J37*ТАРИФЫ!$F$15/1000,1)</f>
        <v>2.9</v>
      </c>
      <c r="L37" s="104">
        <f t="shared" si="1"/>
        <v>249</v>
      </c>
      <c r="M37" t="s">
        <v>107</v>
      </c>
      <c r="N37" s="39">
        <f t="shared" ref="N37:N47" si="20">H37-J37</f>
        <v>0</v>
      </c>
    </row>
    <row r="38" spans="1:21" ht="20.100000000000001" customHeight="1" thickBot="1" x14ac:dyDescent="0.3">
      <c r="A38" s="107" t="s">
        <v>13</v>
      </c>
      <c r="B38" s="108">
        <v>0.6</v>
      </c>
      <c r="C38" s="106">
        <f>ROUNDUP(B38*ТАРИФЫ!$G$21,1)</f>
        <v>3.9</v>
      </c>
      <c r="D38" s="108">
        <v>27.4</v>
      </c>
      <c r="E38" s="108">
        <f>ROUNDUP(D38*ТАРИФЫ!$G$5/1000,1)</f>
        <v>172.7</v>
      </c>
      <c r="F38" s="108">
        <v>0.6</v>
      </c>
      <c r="G38" s="108">
        <f>ROUNDUP(F38*ТАРИФЫ!$G$5/1000,1)</f>
        <v>3.8000000000000003</v>
      </c>
      <c r="H38" s="108">
        <v>34.200000000000003</v>
      </c>
      <c r="I38" s="108">
        <f>ROUND(H38*ТАРИФЫ!$G$10/1000,1)</f>
        <v>1.5</v>
      </c>
      <c r="J38" s="108">
        <v>34.200000000000003</v>
      </c>
      <c r="K38" s="108">
        <f>ROUND(J38*ТАРИФЫ!$G$15/1000,1)</f>
        <v>2.9</v>
      </c>
      <c r="L38" s="104">
        <f t="shared" si="1"/>
        <v>184.8</v>
      </c>
      <c r="M38" t="s">
        <v>107</v>
      </c>
      <c r="N38" s="39">
        <f t="shared" si="20"/>
        <v>0</v>
      </c>
    </row>
    <row r="39" spans="1:21" ht="45" customHeight="1" thickBot="1" x14ac:dyDescent="0.3">
      <c r="A39" s="103" t="s">
        <v>65</v>
      </c>
      <c r="B39" s="104">
        <f t="shared" ref="B39:K39" si="21">SUM(B40:B41)</f>
        <v>5.7</v>
      </c>
      <c r="C39" s="105">
        <f t="shared" si="21"/>
        <v>35.700000000000003</v>
      </c>
      <c r="D39" s="104">
        <f t="shared" si="21"/>
        <v>107.2</v>
      </c>
      <c r="E39" s="104">
        <f t="shared" si="21"/>
        <v>1303</v>
      </c>
      <c r="F39" s="104">
        <f t="shared" si="21"/>
        <v>0</v>
      </c>
      <c r="G39" s="104">
        <f t="shared" si="21"/>
        <v>0</v>
      </c>
      <c r="H39" s="104">
        <f t="shared" si="21"/>
        <v>72.2</v>
      </c>
      <c r="I39" s="104">
        <f t="shared" si="21"/>
        <v>5.6</v>
      </c>
      <c r="J39" s="104">
        <f t="shared" si="21"/>
        <v>72.2</v>
      </c>
      <c r="K39" s="104">
        <f t="shared" si="21"/>
        <v>8.8000000000000007</v>
      </c>
      <c r="L39" s="104">
        <f t="shared" si="1"/>
        <v>1353.1</v>
      </c>
    </row>
    <row r="40" spans="1:21" ht="20.100000000000001" customHeight="1" thickBot="1" x14ac:dyDescent="0.3">
      <c r="A40" s="107" t="s">
        <v>12</v>
      </c>
      <c r="B40" s="108">
        <v>2.7</v>
      </c>
      <c r="C40" s="106">
        <f>ROUNDUP(B40*ТАРИФЫ!$F$24,1)</f>
        <v>16.400000000000002</v>
      </c>
      <c r="D40" s="108">
        <v>65</v>
      </c>
      <c r="E40" s="108">
        <f>ROUNDUP(D40*ТАРИФЫ!$F$8/1000,1)</f>
        <v>773.5</v>
      </c>
      <c r="F40" s="108">
        <v>0</v>
      </c>
      <c r="G40" s="106">
        <f>MROUND(F40*ТАРИФЫ!$F$8/1000,1)</f>
        <v>0</v>
      </c>
      <c r="H40" s="108">
        <v>45.9</v>
      </c>
      <c r="I40" s="108">
        <f>ROUNDUP(H40*ТАРИФЫ!$F$13/1000,1)</f>
        <v>3.5</v>
      </c>
      <c r="J40" s="108">
        <v>45.9</v>
      </c>
      <c r="K40" s="108">
        <f>ROUNDUP(J40*ТАРИФЫ!$F$19/1000,1)</f>
        <v>5.5</v>
      </c>
      <c r="L40" s="104">
        <f t="shared" si="1"/>
        <v>798.9</v>
      </c>
      <c r="M40" t="s">
        <v>109</v>
      </c>
      <c r="N40" s="39">
        <f t="shared" si="20"/>
        <v>0</v>
      </c>
      <c r="O40" s="26"/>
    </row>
    <row r="41" spans="1:21" ht="20.100000000000001" customHeight="1" thickBot="1" x14ac:dyDescent="0.3">
      <c r="A41" s="107" t="s">
        <v>13</v>
      </c>
      <c r="B41" s="108">
        <v>3</v>
      </c>
      <c r="C41" s="106">
        <f>ROUNDUP(B41*ТАРИФЫ!$G$24,1)</f>
        <v>19.3</v>
      </c>
      <c r="D41" s="108">
        <v>42.2</v>
      </c>
      <c r="E41" s="108">
        <f>ROUNDUP(D41*ТАРИФЫ!$G$8/1000,1)</f>
        <v>529.5</v>
      </c>
      <c r="F41" s="108">
        <v>0</v>
      </c>
      <c r="G41" s="106">
        <f>MROUND(F41*ТАРИФЫ!$G$8/1000,1)</f>
        <v>0</v>
      </c>
      <c r="H41" s="108">
        <v>26.3</v>
      </c>
      <c r="I41" s="108">
        <f>ROUNDUP(H41*ТАРИФЫ!$G$13/1000,1)</f>
        <v>2.1</v>
      </c>
      <c r="J41" s="108">
        <f>H41</f>
        <v>26.3</v>
      </c>
      <c r="K41" s="108">
        <f>ROUNDUP(J41*ТАРИФЫ!$G$19/1000,1)</f>
        <v>3.3000000000000003</v>
      </c>
      <c r="L41" s="104">
        <f t="shared" si="1"/>
        <v>554.19999999999993</v>
      </c>
      <c r="M41" t="s">
        <v>109</v>
      </c>
      <c r="N41" s="39">
        <f t="shared" si="20"/>
        <v>0</v>
      </c>
    </row>
    <row r="42" spans="1:21" ht="45" customHeight="1" thickBot="1" x14ac:dyDescent="0.3">
      <c r="A42" s="103" t="s">
        <v>66</v>
      </c>
      <c r="B42" s="104">
        <f>SUM(B43:B44)</f>
        <v>7.1</v>
      </c>
      <c r="C42" s="105">
        <f>SUM(C43:C44)</f>
        <v>44.1</v>
      </c>
      <c r="D42" s="104">
        <f t="shared" ref="D42:K42" si="22">SUM(D43:D44)</f>
        <v>16.68</v>
      </c>
      <c r="E42" s="104">
        <f t="shared" si="22"/>
        <v>236.8</v>
      </c>
      <c r="F42" s="104">
        <f t="shared" si="22"/>
        <v>0.45</v>
      </c>
      <c r="G42" s="104">
        <f t="shared" si="22"/>
        <v>6.5</v>
      </c>
      <c r="H42" s="104">
        <f t="shared" si="22"/>
        <v>20.93</v>
      </c>
      <c r="I42" s="104">
        <f t="shared" si="22"/>
        <v>4</v>
      </c>
      <c r="J42" s="104">
        <f t="shared" si="22"/>
        <v>0</v>
      </c>
      <c r="K42" s="104">
        <f t="shared" si="22"/>
        <v>0</v>
      </c>
      <c r="L42" s="104">
        <f t="shared" si="1"/>
        <v>291.40000000000003</v>
      </c>
    </row>
    <row r="43" spans="1:21" ht="20.100000000000001" customHeight="1" thickBot="1" x14ac:dyDescent="0.3">
      <c r="A43" s="107" t="s">
        <v>12</v>
      </c>
      <c r="B43" s="108">
        <v>4.5999999999999996</v>
      </c>
      <c r="C43" s="106">
        <f>ROUNDUP(B43*ТАРИФЫ!$F$20,1)</f>
        <v>28</v>
      </c>
      <c r="D43" s="108">
        <v>9.5299999999999994</v>
      </c>
      <c r="E43" s="108">
        <f>ROUNDUP(D43*ТАРИФЫ!$F$4/1000,1)</f>
        <v>128.4</v>
      </c>
      <c r="F43" s="108">
        <v>0.26</v>
      </c>
      <c r="G43" s="108">
        <f>ROUNDUP(F43*ТАРИФЫ!$F$4/1000,1)</f>
        <v>3.6</v>
      </c>
      <c r="H43" s="108">
        <v>10.69</v>
      </c>
      <c r="I43" s="108">
        <f>ROUND(H43*ТАРИФЫ!$F$9/1000,1)</f>
        <v>2</v>
      </c>
      <c r="J43" s="108">
        <v>0</v>
      </c>
      <c r="K43" s="106">
        <f>MROUND(J43*ТАРИФЫ!$F$14/1000,1)</f>
        <v>0</v>
      </c>
      <c r="L43" s="104">
        <f t="shared" si="1"/>
        <v>162</v>
      </c>
      <c r="M43" t="s">
        <v>108</v>
      </c>
      <c r="N43" s="39">
        <f t="shared" si="20"/>
        <v>10.69</v>
      </c>
    </row>
    <row r="44" spans="1:21" ht="20.100000000000001" customHeight="1" thickBot="1" x14ac:dyDescent="0.3">
      <c r="A44" s="107" t="s">
        <v>13</v>
      </c>
      <c r="B44" s="108">
        <v>2.5</v>
      </c>
      <c r="C44" s="106">
        <f>ROUNDUP(B44*ТАРИФЫ!$G$20,1)</f>
        <v>16.100000000000001</v>
      </c>
      <c r="D44" s="108">
        <v>7.15</v>
      </c>
      <c r="E44" s="108">
        <f>ROUNDUP(D44*ТАРИФЫ!$G$4/1000,1)</f>
        <v>108.39999999999999</v>
      </c>
      <c r="F44" s="108">
        <v>0.19</v>
      </c>
      <c r="G44" s="108">
        <f>ROUNDUP(F44*ТАРИФЫ!$G$4/1000,1)</f>
        <v>2.9</v>
      </c>
      <c r="H44" s="108">
        <v>10.24</v>
      </c>
      <c r="I44" s="108">
        <f>ROUND(H44*ТАРИФЫ!$G$9/1000,1)</f>
        <v>2</v>
      </c>
      <c r="J44" s="108">
        <v>0</v>
      </c>
      <c r="K44" s="106">
        <f>MROUND(J44*ТАРИФЫ!$G$14/1000,1)</f>
        <v>0</v>
      </c>
      <c r="L44" s="104">
        <f t="shared" si="1"/>
        <v>129.4</v>
      </c>
      <c r="M44" t="s">
        <v>108</v>
      </c>
      <c r="N44" s="39">
        <f t="shared" si="20"/>
        <v>10.24</v>
      </c>
    </row>
    <row r="45" spans="1:21" ht="45" customHeight="1" thickBot="1" x14ac:dyDescent="0.3">
      <c r="A45" s="103" t="s">
        <v>67</v>
      </c>
      <c r="B45" s="104">
        <f t="shared" ref="B45:K45" si="23">SUM(B46:B47)</f>
        <v>1.5</v>
      </c>
      <c r="C45" s="105">
        <f t="shared" si="23"/>
        <v>9.3999999999999986</v>
      </c>
      <c r="D45" s="104">
        <f t="shared" si="23"/>
        <v>41.9</v>
      </c>
      <c r="E45" s="104">
        <f t="shared" si="23"/>
        <v>517.70000000000005</v>
      </c>
      <c r="F45" s="104">
        <f t="shared" si="23"/>
        <v>0</v>
      </c>
      <c r="G45" s="104">
        <f t="shared" si="23"/>
        <v>0</v>
      </c>
      <c r="H45" s="104">
        <f t="shared" si="23"/>
        <v>53.1</v>
      </c>
      <c r="I45" s="104">
        <f t="shared" si="23"/>
        <v>4.2</v>
      </c>
      <c r="J45" s="104">
        <f t="shared" si="23"/>
        <v>53.1</v>
      </c>
      <c r="K45" s="104">
        <f t="shared" si="23"/>
        <v>2</v>
      </c>
      <c r="L45" s="104">
        <f t="shared" si="1"/>
        <v>533.30000000000007</v>
      </c>
    </row>
    <row r="46" spans="1:21" ht="20.100000000000001" customHeight="1" thickBot="1" x14ac:dyDescent="0.3">
      <c r="A46" s="107" t="s">
        <v>12</v>
      </c>
      <c r="B46" s="108">
        <v>0.8</v>
      </c>
      <c r="C46" s="106">
        <f>ROUNDUP(B46*ТАРИФЫ!$F$22,1)</f>
        <v>4.8999999999999995</v>
      </c>
      <c r="D46" s="108">
        <v>24.2</v>
      </c>
      <c r="E46" s="108">
        <f>ROUNDUP(D46*ТАРИФЫ!$F$6/1000,1)</f>
        <v>293.90000000000003</v>
      </c>
      <c r="F46" s="108">
        <v>0</v>
      </c>
      <c r="G46" s="108">
        <f>ROUNDUP(F46*ТАРИФЫ!$F$6/1000,1)</f>
        <v>0</v>
      </c>
      <c r="H46" s="108">
        <v>27.1</v>
      </c>
      <c r="I46" s="108">
        <f>ROUNDUP(H46*ТАРИФЫ!$F$11/1000,1)</f>
        <v>2.1</v>
      </c>
      <c r="J46" s="108">
        <f>H46</f>
        <v>27.1</v>
      </c>
      <c r="K46" s="108">
        <f>ROUND(J46*ТАРИФЫ!$F$16/1000,1)</f>
        <v>1</v>
      </c>
      <c r="L46" s="104">
        <f t="shared" si="1"/>
        <v>301.90000000000003</v>
      </c>
      <c r="M46" t="s">
        <v>110</v>
      </c>
      <c r="N46" s="39">
        <f t="shared" si="20"/>
        <v>0</v>
      </c>
    </row>
    <row r="47" spans="1:21" ht="20.100000000000001" customHeight="1" thickBot="1" x14ac:dyDescent="0.3">
      <c r="A47" s="107" t="s">
        <v>13</v>
      </c>
      <c r="B47" s="108">
        <v>0.7</v>
      </c>
      <c r="C47" s="106">
        <f>ROUNDUP(B47*ТАРИФЫ!$G$22,1)</f>
        <v>4.5</v>
      </c>
      <c r="D47" s="108">
        <v>17.7</v>
      </c>
      <c r="E47" s="108">
        <f>ROUNDUP(D47*ТАРИФЫ!$G$6/1000,1)</f>
        <v>223.79999999999998</v>
      </c>
      <c r="F47" s="108">
        <v>0</v>
      </c>
      <c r="G47" s="108">
        <f>ROUNDUP(F47*ТАРИФЫ!$G$6/1000,1)</f>
        <v>0</v>
      </c>
      <c r="H47" s="108">
        <v>26</v>
      </c>
      <c r="I47" s="108">
        <f>ROUNDUP(H47*ТАРИФЫ!$G$11/1000,1)</f>
        <v>2.1</v>
      </c>
      <c r="J47" s="108">
        <f>H47</f>
        <v>26</v>
      </c>
      <c r="K47" s="108">
        <f>ROUND(J47*ТАРИФЫ!$G$16/1000,1)</f>
        <v>1</v>
      </c>
      <c r="L47" s="104">
        <f t="shared" si="1"/>
        <v>231.39999999999998</v>
      </c>
      <c r="M47" t="s">
        <v>110</v>
      </c>
      <c r="N47" s="39">
        <f t="shared" si="20"/>
        <v>0</v>
      </c>
    </row>
    <row r="48" spans="1:21" ht="45" customHeight="1" thickBot="1" x14ac:dyDescent="0.3">
      <c r="A48" s="103" t="s">
        <v>54</v>
      </c>
      <c r="B48" s="104">
        <f t="shared" ref="B48:K48" si="24">SUM(B49:B50)</f>
        <v>3.3</v>
      </c>
      <c r="C48" s="105">
        <f t="shared" si="24"/>
        <v>20.7</v>
      </c>
      <c r="D48" s="104">
        <f t="shared" si="24"/>
        <v>62.8</v>
      </c>
      <c r="E48" s="104">
        <f t="shared" si="24"/>
        <v>386.1</v>
      </c>
      <c r="F48" s="104">
        <f t="shared" si="24"/>
        <v>0.4</v>
      </c>
      <c r="G48" s="104">
        <f t="shared" si="24"/>
        <v>2.6</v>
      </c>
      <c r="H48" s="104">
        <f t="shared" si="24"/>
        <v>15.6</v>
      </c>
      <c r="I48" s="104">
        <f t="shared" si="24"/>
        <v>0.7</v>
      </c>
      <c r="J48" s="104">
        <f t="shared" si="24"/>
        <v>15.6</v>
      </c>
      <c r="K48" s="104">
        <f t="shared" si="24"/>
        <v>1.2999999999999998</v>
      </c>
      <c r="L48" s="104">
        <f t="shared" si="1"/>
        <v>411.40000000000003</v>
      </c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20.100000000000001" customHeight="1" thickBot="1" x14ac:dyDescent="0.3">
      <c r="A49" s="107" t="s">
        <v>12</v>
      </c>
      <c r="B49" s="108">
        <v>1.7</v>
      </c>
      <c r="C49" s="106">
        <f>ROUNDUP(B49*ТАРИФЫ!$F$21,1)</f>
        <v>10.4</v>
      </c>
      <c r="D49" s="108">
        <v>38.299999999999997</v>
      </c>
      <c r="E49" s="108">
        <f>ROUNDUP(D49*ТАРИФЫ!$F$5/1000,1)</f>
        <v>231.7</v>
      </c>
      <c r="F49" s="108">
        <v>0.2</v>
      </c>
      <c r="G49" s="108">
        <f>ROUNDUP(F49*ТАРИФЫ!$F$5/1000,1)</f>
        <v>1.3</v>
      </c>
      <c r="H49" s="108">
        <v>8.1999999999999993</v>
      </c>
      <c r="I49" s="108">
        <f>ROUNDUP(H49*ТАРИФЫ!$F$10/1000,1)</f>
        <v>0.4</v>
      </c>
      <c r="J49" s="108">
        <v>8.1999999999999993</v>
      </c>
      <c r="K49" s="108">
        <f>ROUND(J49*ТАРИФЫ!$F$15/1000,1)</f>
        <v>0.7</v>
      </c>
      <c r="L49" s="104">
        <f t="shared" si="1"/>
        <v>244.5</v>
      </c>
      <c r="M49" s="126" t="s">
        <v>107</v>
      </c>
      <c r="N49" s="127">
        <f t="shared" ref="N49:N50" si="25">H49-J49</f>
        <v>0</v>
      </c>
      <c r="O49" s="126"/>
      <c r="P49" s="126"/>
      <c r="Q49" s="126"/>
      <c r="R49" s="126"/>
      <c r="S49" s="126"/>
      <c r="T49" s="126"/>
      <c r="U49" s="126"/>
    </row>
    <row r="50" spans="1:21" ht="20.100000000000001" customHeight="1" thickBot="1" x14ac:dyDescent="0.3">
      <c r="A50" s="107" t="s">
        <v>13</v>
      </c>
      <c r="B50" s="108">
        <v>1.6</v>
      </c>
      <c r="C50" s="106">
        <f>ROUNDUP(B50*ТАРИФЫ!$G$21,1)</f>
        <v>10.299999999999999</v>
      </c>
      <c r="D50" s="108">
        <v>24.5</v>
      </c>
      <c r="E50" s="108">
        <f>ROUNDUP(D50*ТАРИФЫ!$G$5/1000,1)</f>
        <v>154.4</v>
      </c>
      <c r="F50" s="108">
        <v>0.2</v>
      </c>
      <c r="G50" s="108">
        <f>ROUNDUP(F50*ТАРИФЫ!$G$5/1000,1)</f>
        <v>1.3</v>
      </c>
      <c r="H50" s="108">
        <v>7.4</v>
      </c>
      <c r="I50" s="108">
        <f>ROUND(H50*ТАРИФЫ!$G$10/1000,1)</f>
        <v>0.3</v>
      </c>
      <c r="J50" s="108">
        <v>7.4</v>
      </c>
      <c r="K50" s="108">
        <f>ROUND(J50*ТАРИФЫ!$G$15/1000,1)</f>
        <v>0.6</v>
      </c>
      <c r="L50" s="104">
        <f t="shared" si="1"/>
        <v>166.90000000000003</v>
      </c>
      <c r="M50" s="126" t="s">
        <v>107</v>
      </c>
      <c r="N50" s="127">
        <f t="shared" si="25"/>
        <v>0</v>
      </c>
      <c r="O50" s="126"/>
      <c r="P50" s="126"/>
      <c r="Q50" s="126"/>
      <c r="R50" s="126"/>
      <c r="S50" s="126"/>
      <c r="T50" s="126"/>
      <c r="U50" s="126"/>
    </row>
    <row r="51" spans="1:21" ht="45" customHeight="1" thickBot="1" x14ac:dyDescent="0.3">
      <c r="A51" s="103" t="s">
        <v>53</v>
      </c>
      <c r="B51" s="104">
        <f>SUM(B52:B53)</f>
        <v>31.3</v>
      </c>
      <c r="C51" s="105">
        <f>SUM(C52:C53)</f>
        <v>195</v>
      </c>
      <c r="D51" s="104">
        <f t="shared" ref="D51:K51" si="26">SUM(D52:D53)</f>
        <v>62</v>
      </c>
      <c r="E51" s="104">
        <f t="shared" si="26"/>
        <v>381.6</v>
      </c>
      <c r="F51" s="104">
        <f t="shared" si="26"/>
        <v>10.5</v>
      </c>
      <c r="G51" s="104">
        <f t="shared" si="26"/>
        <v>64.900000000000006</v>
      </c>
      <c r="H51" s="104">
        <f t="shared" si="26"/>
        <v>260.3</v>
      </c>
      <c r="I51" s="104">
        <f t="shared" si="26"/>
        <v>11.2</v>
      </c>
      <c r="J51" s="104">
        <f t="shared" si="26"/>
        <v>310.39999999999998</v>
      </c>
      <c r="K51" s="104">
        <f t="shared" si="26"/>
        <v>25.4</v>
      </c>
      <c r="L51" s="104">
        <f t="shared" ref="L51:L59" si="27">SUM(C51,E51,G51,I51,K51)</f>
        <v>678.1</v>
      </c>
      <c r="M51" s="126"/>
      <c r="N51" s="126"/>
      <c r="O51" s="126"/>
      <c r="P51" s="126"/>
      <c r="Q51" s="126"/>
      <c r="R51" s="126"/>
      <c r="S51" s="126"/>
      <c r="T51" s="126"/>
      <c r="U51" s="126"/>
    </row>
    <row r="52" spans="1:21" ht="20.100000000000001" customHeight="1" thickBot="1" x14ac:dyDescent="0.3">
      <c r="A52" s="107" t="s">
        <v>12</v>
      </c>
      <c r="B52" s="108">
        <v>17</v>
      </c>
      <c r="C52" s="106">
        <f>ROUNDUP(B52*ТАРИФЫ!$F$21,1)</f>
        <v>103.3</v>
      </c>
      <c r="D52" s="108">
        <v>36.299999999999997</v>
      </c>
      <c r="E52" s="108">
        <f>ROUNDUP(D52*ТАРИФЫ!$F$5/1000,1)</f>
        <v>219.6</v>
      </c>
      <c r="F52" s="108">
        <v>5.4</v>
      </c>
      <c r="G52" s="108">
        <f>ROUNDUP(F52*ТАРИФЫ!$F$5/1000,1)</f>
        <v>32.700000000000003</v>
      </c>
      <c r="H52" s="108">
        <v>144.1</v>
      </c>
      <c r="I52" s="108">
        <f>ROUNDUP(H52*ТАРИФЫ!$F$10/1000,1)</f>
        <v>6.1</v>
      </c>
      <c r="J52" s="108">
        <v>158.1</v>
      </c>
      <c r="K52" s="108">
        <f>ROUND(J52*ТАРИФЫ!$F$15/1000,1)</f>
        <v>12.7</v>
      </c>
      <c r="L52" s="104">
        <f t="shared" si="27"/>
        <v>374.4</v>
      </c>
      <c r="M52" s="126" t="s">
        <v>107</v>
      </c>
      <c r="N52" s="127">
        <f>H52-J52</f>
        <v>-14</v>
      </c>
      <c r="O52" s="126"/>
      <c r="P52" s="126"/>
      <c r="Q52" s="126"/>
      <c r="R52" s="126"/>
      <c r="S52" s="126"/>
      <c r="T52" s="126"/>
      <c r="U52" s="126"/>
    </row>
    <row r="53" spans="1:21" ht="20.100000000000001" customHeight="1" thickBot="1" x14ac:dyDescent="0.3">
      <c r="A53" s="107" t="s">
        <v>13</v>
      </c>
      <c r="B53" s="108">
        <v>14.3</v>
      </c>
      <c r="C53" s="106">
        <f>ROUNDUP(B53*ТАРИФЫ!$G$21,1)</f>
        <v>91.699999999999989</v>
      </c>
      <c r="D53" s="108">
        <v>25.7</v>
      </c>
      <c r="E53" s="108">
        <f>ROUNDUP(D53*ТАРИФЫ!$G$5/1000,1)</f>
        <v>162</v>
      </c>
      <c r="F53" s="108">
        <v>5.0999999999999996</v>
      </c>
      <c r="G53" s="108">
        <f>ROUNDUP(F53*ТАРИФЫ!$G$5/1000,1)</f>
        <v>32.200000000000003</v>
      </c>
      <c r="H53" s="108">
        <v>116.2</v>
      </c>
      <c r="I53" s="108">
        <f>ROUND(H53*ТАРИФЫ!$G$10/1000,1)</f>
        <v>5.0999999999999996</v>
      </c>
      <c r="J53" s="108">
        <v>152.30000000000001</v>
      </c>
      <c r="K53" s="108">
        <f>ROUND(J53*ТАРИФЫ!$G$15/1000,1)</f>
        <v>12.7</v>
      </c>
      <c r="L53" s="104">
        <f t="shared" si="27"/>
        <v>303.7</v>
      </c>
      <c r="M53" s="126" t="s">
        <v>107</v>
      </c>
      <c r="N53" s="127">
        <f>H53-J53</f>
        <v>-36.100000000000009</v>
      </c>
      <c r="O53" s="126"/>
      <c r="P53" s="126"/>
      <c r="Q53" s="126"/>
      <c r="R53" s="126"/>
      <c r="S53" s="126"/>
      <c r="T53" s="126"/>
      <c r="U53" s="126"/>
    </row>
    <row r="54" spans="1:21" ht="45" customHeight="1" thickBot="1" x14ac:dyDescent="0.3">
      <c r="A54" s="103" t="s">
        <v>55</v>
      </c>
      <c r="B54" s="104">
        <f>SUM(B55:B56)</f>
        <v>11.8</v>
      </c>
      <c r="C54" s="105">
        <f>SUM(C55:C56)</f>
        <v>73.800000000000011</v>
      </c>
      <c r="D54" s="104">
        <f t="shared" ref="D54:K54" si="28">SUM(D55:D56)</f>
        <v>173.5</v>
      </c>
      <c r="E54" s="104">
        <f t="shared" si="28"/>
        <v>1067.4000000000001</v>
      </c>
      <c r="F54" s="104">
        <f t="shared" si="28"/>
        <v>0.9</v>
      </c>
      <c r="G54" s="104">
        <f t="shared" si="28"/>
        <v>5.7</v>
      </c>
      <c r="H54" s="104">
        <f t="shared" si="28"/>
        <v>72.800000000000011</v>
      </c>
      <c r="I54" s="104">
        <f t="shared" si="28"/>
        <v>3.2</v>
      </c>
      <c r="J54" s="104">
        <f t="shared" si="28"/>
        <v>72.800000000000011</v>
      </c>
      <c r="K54" s="104">
        <f t="shared" si="28"/>
        <v>6</v>
      </c>
      <c r="L54" s="104">
        <f t="shared" si="27"/>
        <v>1156.1000000000001</v>
      </c>
      <c r="M54" s="126"/>
      <c r="N54" s="126"/>
      <c r="O54" s="126"/>
      <c r="P54" s="126"/>
      <c r="Q54" s="126"/>
      <c r="R54" s="126"/>
      <c r="S54" s="126"/>
      <c r="T54" s="126"/>
      <c r="U54" s="126"/>
    </row>
    <row r="55" spans="1:21" ht="20.100000000000001" customHeight="1" thickBot="1" x14ac:dyDescent="0.3">
      <c r="A55" s="107" t="s">
        <v>12</v>
      </c>
      <c r="B55" s="108">
        <v>5.8</v>
      </c>
      <c r="C55" s="106">
        <f>ROUNDUP(B55*ТАРИФЫ!$F$21,1)</f>
        <v>35.300000000000004</v>
      </c>
      <c r="D55" s="108">
        <v>102.7</v>
      </c>
      <c r="E55" s="108">
        <f>ROUNDUP(D55*ТАРИФЫ!$F$5/1000,1)</f>
        <v>621.30000000000007</v>
      </c>
      <c r="F55" s="108">
        <v>0.4</v>
      </c>
      <c r="G55" s="108">
        <f>ROUNDUP(F55*ТАРИФЫ!$F$5/1000,1)</f>
        <v>2.5</v>
      </c>
      <c r="H55" s="108">
        <v>45.7</v>
      </c>
      <c r="I55" s="108">
        <f>ROUNDUP(H55*ТАРИФЫ!$F$10/1000,1)</f>
        <v>2</v>
      </c>
      <c r="J55" s="108">
        <v>45.7</v>
      </c>
      <c r="K55" s="108">
        <f>ROUND(J55*ТАРИФЫ!$F$15/1000,1)</f>
        <v>3.7</v>
      </c>
      <c r="L55" s="104">
        <f t="shared" si="27"/>
        <v>664.80000000000007</v>
      </c>
      <c r="M55" s="126" t="s">
        <v>107</v>
      </c>
      <c r="N55" s="127">
        <f t="shared" ref="N55:N56" si="29">H55-J55</f>
        <v>0</v>
      </c>
      <c r="O55" s="126"/>
      <c r="P55" s="126"/>
      <c r="Q55" s="126"/>
      <c r="R55" s="126"/>
      <c r="S55" s="126"/>
      <c r="T55" s="126"/>
      <c r="U55" s="126"/>
    </row>
    <row r="56" spans="1:21" ht="20.100000000000001" customHeight="1" thickBot="1" x14ac:dyDescent="0.3">
      <c r="A56" s="107" t="s">
        <v>13</v>
      </c>
      <c r="B56" s="108">
        <v>6</v>
      </c>
      <c r="C56" s="106">
        <f>ROUNDUP(B56*ТАРИФЫ!$G$21,1)</f>
        <v>38.5</v>
      </c>
      <c r="D56" s="108">
        <v>70.8</v>
      </c>
      <c r="E56" s="108">
        <f>ROUNDUP(D56*ТАРИФЫ!$G$5/1000,1)</f>
        <v>446.1</v>
      </c>
      <c r="F56" s="108">
        <v>0.5</v>
      </c>
      <c r="G56" s="108">
        <f>ROUNDUP(F56*ТАРИФЫ!$G$5/1000,1)</f>
        <v>3.2</v>
      </c>
      <c r="H56" s="108">
        <v>27.1</v>
      </c>
      <c r="I56" s="108">
        <f>ROUND(H56*ТАРИФЫ!$G$10/1000,1)</f>
        <v>1.2</v>
      </c>
      <c r="J56" s="108">
        <v>27.1</v>
      </c>
      <c r="K56" s="108">
        <f>ROUND(J56*ТАРИФЫ!$G$15/1000,1)</f>
        <v>2.2999999999999998</v>
      </c>
      <c r="L56" s="104">
        <f t="shared" si="27"/>
        <v>491.3</v>
      </c>
      <c r="M56" s="126" t="s">
        <v>107</v>
      </c>
      <c r="N56" s="127">
        <f t="shared" si="29"/>
        <v>0</v>
      </c>
      <c r="O56" s="126"/>
      <c r="P56" s="126"/>
      <c r="Q56" s="126"/>
      <c r="R56" s="126"/>
      <c r="S56" s="126"/>
      <c r="T56" s="126"/>
      <c r="U56" s="126"/>
    </row>
    <row r="57" spans="1:21" ht="104.25" customHeight="1" thickBot="1" x14ac:dyDescent="0.3">
      <c r="A57" s="103" t="s">
        <v>75</v>
      </c>
      <c r="B57" s="104">
        <f>SUM(B58:B59)</f>
        <v>90.6</v>
      </c>
      <c r="C57" s="105">
        <f>SUM(C58:C59)</f>
        <v>563.60000000000014</v>
      </c>
      <c r="D57" s="104">
        <f t="shared" ref="D57:K57" si="30">SUM(D58:D59)</f>
        <v>142.69999999999999</v>
      </c>
      <c r="E57" s="104">
        <f t="shared" si="30"/>
        <v>877.90000000000009</v>
      </c>
      <c r="F57" s="104">
        <f t="shared" si="30"/>
        <v>0</v>
      </c>
      <c r="G57" s="104">
        <f t="shared" si="30"/>
        <v>0</v>
      </c>
      <c r="H57" s="104">
        <f t="shared" si="30"/>
        <v>3.4</v>
      </c>
      <c r="I57" s="104">
        <f t="shared" si="30"/>
        <v>0.2</v>
      </c>
      <c r="J57" s="104">
        <f t="shared" si="30"/>
        <v>3.4</v>
      </c>
      <c r="K57" s="104">
        <f t="shared" si="30"/>
        <v>0.2</v>
      </c>
      <c r="L57" s="104">
        <f t="shared" si="27"/>
        <v>1441.9000000000003</v>
      </c>
      <c r="M57" s="126"/>
      <c r="N57" s="126"/>
      <c r="O57" s="126"/>
      <c r="P57" s="126"/>
      <c r="Q57" s="126"/>
      <c r="R57" s="126"/>
      <c r="S57" s="126"/>
      <c r="T57" s="126"/>
      <c r="U57" s="126"/>
    </row>
    <row r="58" spans="1:21" ht="20.100000000000001" customHeight="1" thickBot="1" x14ac:dyDescent="0.3">
      <c r="A58" s="107" t="s">
        <v>12</v>
      </c>
      <c r="B58" s="108">
        <v>50.5</v>
      </c>
      <c r="C58" s="106">
        <f>ROUNDUP(B58*ТАРИФЫ!$F$21,1)</f>
        <v>306.70000000000005</v>
      </c>
      <c r="D58" s="108">
        <v>84.8</v>
      </c>
      <c r="E58" s="108">
        <f>ROUNDUP(D58*ТАРИФЫ!$F$5/1000,1)</f>
        <v>513</v>
      </c>
      <c r="F58" s="108">
        <v>0</v>
      </c>
      <c r="G58" s="108">
        <f>ROUNDUP(F58*ТАРИФЫ!$F$5/1000,1)</f>
        <v>0</v>
      </c>
      <c r="H58" s="108">
        <v>1.7</v>
      </c>
      <c r="I58" s="108">
        <f>ROUNDUP(H58*ТАРИФЫ!$F$10/1000,1)</f>
        <v>0.1</v>
      </c>
      <c r="J58" s="108">
        <v>1.7</v>
      </c>
      <c r="K58" s="108">
        <f>ROUND(J58*ТАРИФЫ!$F$15/1000,1)</f>
        <v>0.1</v>
      </c>
      <c r="L58" s="104">
        <f t="shared" si="27"/>
        <v>819.90000000000009</v>
      </c>
      <c r="M58" s="126" t="s">
        <v>107</v>
      </c>
      <c r="N58" s="127">
        <f t="shared" ref="N58:N59" si="31">H58-J58</f>
        <v>0</v>
      </c>
      <c r="O58" s="126"/>
      <c r="P58" s="126"/>
      <c r="Q58" s="126"/>
      <c r="R58" s="126"/>
      <c r="S58" s="126"/>
      <c r="T58" s="126"/>
      <c r="U58" s="126"/>
    </row>
    <row r="59" spans="1:21" ht="20.100000000000001" customHeight="1" thickBot="1" x14ac:dyDescent="0.3">
      <c r="A59" s="107" t="s">
        <v>13</v>
      </c>
      <c r="B59" s="108">
        <v>40.1</v>
      </c>
      <c r="C59" s="106">
        <f>ROUNDUP(B59*ТАРИФЫ!$G$21,1)</f>
        <v>256.90000000000003</v>
      </c>
      <c r="D59" s="108">
        <v>57.9</v>
      </c>
      <c r="E59" s="108">
        <f>ROUNDUP(D59*ТАРИФЫ!$G$5/1000,1)</f>
        <v>364.90000000000003</v>
      </c>
      <c r="F59" s="108">
        <v>0</v>
      </c>
      <c r="G59" s="108">
        <f>ROUNDUP(F59*ТАРИФЫ!$G$5/1000,1)</f>
        <v>0</v>
      </c>
      <c r="H59" s="108">
        <v>1.7</v>
      </c>
      <c r="I59" s="108">
        <f>ROUND(H59*ТАРИФЫ!$G$10/1000,1)</f>
        <v>0.1</v>
      </c>
      <c r="J59" s="108">
        <v>1.7</v>
      </c>
      <c r="K59" s="108">
        <f>ROUND(J59*ТАРИФЫ!$G$15/1000,1)</f>
        <v>0.1</v>
      </c>
      <c r="L59" s="104">
        <f t="shared" si="27"/>
        <v>622.00000000000011</v>
      </c>
      <c r="M59" s="126" t="s">
        <v>107</v>
      </c>
      <c r="N59" s="127">
        <f t="shared" si="31"/>
        <v>0</v>
      </c>
      <c r="O59" s="126"/>
      <c r="P59" s="126"/>
      <c r="Q59" s="126"/>
      <c r="R59" s="126"/>
      <c r="S59" s="126"/>
      <c r="T59" s="126"/>
      <c r="U59" s="126"/>
    </row>
    <row r="60" spans="1:21" ht="45" customHeight="1" thickBot="1" x14ac:dyDescent="0.3">
      <c r="A60" s="109" t="s">
        <v>14</v>
      </c>
      <c r="B60" s="110">
        <f t="shared" ref="B60:K60" si="32">SUM(B61:B62)</f>
        <v>235.10000000000002</v>
      </c>
      <c r="C60" s="111">
        <f t="shared" si="32"/>
        <v>1465.9</v>
      </c>
      <c r="D60" s="110">
        <f t="shared" si="32"/>
        <v>1128.58</v>
      </c>
      <c r="E60" s="110">
        <f t="shared" si="32"/>
        <v>7983.9</v>
      </c>
      <c r="F60" s="110">
        <f t="shared" si="32"/>
        <v>27.729999999999997</v>
      </c>
      <c r="G60" s="110">
        <f t="shared" si="32"/>
        <v>176.4</v>
      </c>
      <c r="H60" s="110">
        <f t="shared" si="32"/>
        <v>1796.0300000000002</v>
      </c>
      <c r="I60" s="110">
        <f t="shared" si="32"/>
        <v>85.2</v>
      </c>
      <c r="J60" s="110">
        <f t="shared" si="32"/>
        <v>2215.9</v>
      </c>
      <c r="K60" s="110">
        <f t="shared" si="32"/>
        <v>182</v>
      </c>
      <c r="L60" s="110">
        <f t="shared" si="1"/>
        <v>9893.4</v>
      </c>
      <c r="M60" s="126"/>
      <c r="N60" s="126"/>
      <c r="O60" s="126"/>
      <c r="P60" s="126"/>
      <c r="Q60" s="126"/>
      <c r="R60" s="126"/>
      <c r="S60" s="126"/>
      <c r="T60" s="126"/>
      <c r="U60" s="126"/>
    </row>
    <row r="61" spans="1:21" ht="28.5" customHeight="1" thickBot="1" x14ac:dyDescent="0.3">
      <c r="A61" s="109" t="s">
        <v>12</v>
      </c>
      <c r="B61" s="110">
        <f t="shared" ref="B61:K61" si="33">SUM(B11+B21+B24)</f>
        <v>123.3</v>
      </c>
      <c r="C61" s="111">
        <f t="shared" si="33"/>
        <v>749.2</v>
      </c>
      <c r="D61" s="110">
        <f t="shared" si="33"/>
        <v>658.93</v>
      </c>
      <c r="E61" s="111">
        <f t="shared" si="33"/>
        <v>4585</v>
      </c>
      <c r="F61" s="110">
        <f t="shared" si="33"/>
        <v>12.700000000000001</v>
      </c>
      <c r="G61" s="111">
        <f t="shared" si="33"/>
        <v>79.5</v>
      </c>
      <c r="H61" s="110">
        <f t="shared" si="33"/>
        <v>930.99000000000024</v>
      </c>
      <c r="I61" s="111">
        <f t="shared" si="33"/>
        <v>43.8</v>
      </c>
      <c r="J61" s="110">
        <f t="shared" si="33"/>
        <v>1138.3000000000002</v>
      </c>
      <c r="K61" s="111">
        <f t="shared" si="33"/>
        <v>92.100000000000009</v>
      </c>
      <c r="L61" s="110">
        <f t="shared" si="1"/>
        <v>5549.6</v>
      </c>
      <c r="M61" s="126"/>
      <c r="N61" s="126"/>
      <c r="O61" s="126"/>
      <c r="P61" s="126"/>
      <c r="Q61" s="126"/>
      <c r="R61" s="126"/>
      <c r="S61" s="126"/>
      <c r="T61" s="126"/>
      <c r="U61" s="126"/>
    </row>
    <row r="62" spans="1:21" ht="28.5" customHeight="1" thickBot="1" x14ac:dyDescent="0.3">
      <c r="A62" s="109" t="s">
        <v>13</v>
      </c>
      <c r="B62" s="110">
        <f t="shared" ref="B62:K62" si="34">SUM(B12+B22+B25)</f>
        <v>111.80000000000001</v>
      </c>
      <c r="C62" s="111">
        <f t="shared" si="34"/>
        <v>716.7</v>
      </c>
      <c r="D62" s="110">
        <f t="shared" si="34"/>
        <v>469.65</v>
      </c>
      <c r="E62" s="111">
        <f t="shared" si="34"/>
        <v>3398.9</v>
      </c>
      <c r="F62" s="110">
        <f t="shared" si="34"/>
        <v>15.029999999999998</v>
      </c>
      <c r="G62" s="111">
        <f t="shared" si="34"/>
        <v>96.9</v>
      </c>
      <c r="H62" s="110">
        <f t="shared" si="34"/>
        <v>865.04000000000008</v>
      </c>
      <c r="I62" s="111">
        <f t="shared" si="34"/>
        <v>41.400000000000006</v>
      </c>
      <c r="J62" s="110">
        <f t="shared" si="34"/>
        <v>1077.5999999999999</v>
      </c>
      <c r="K62" s="111">
        <f t="shared" si="34"/>
        <v>89.899999999999991</v>
      </c>
      <c r="L62" s="110">
        <f t="shared" si="1"/>
        <v>4343.7999999999993</v>
      </c>
      <c r="M62" s="126"/>
      <c r="N62" s="126"/>
      <c r="O62" s="126"/>
      <c r="P62" s="126"/>
      <c r="Q62" s="126"/>
      <c r="R62" s="126"/>
      <c r="S62" s="126"/>
      <c r="T62" s="126"/>
      <c r="U62" s="126"/>
    </row>
    <row r="63" spans="1:21" ht="30" customHeight="1" thickBot="1" x14ac:dyDescent="0.3">
      <c r="A63" s="113" t="s">
        <v>15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5"/>
      <c r="M63" s="126"/>
      <c r="N63" s="126"/>
      <c r="O63" s="126"/>
      <c r="P63" s="126"/>
      <c r="Q63" s="126"/>
      <c r="R63" s="126"/>
      <c r="S63" s="126"/>
      <c r="T63" s="126"/>
      <c r="U63" s="126"/>
    </row>
    <row r="64" spans="1:21" ht="45" customHeight="1" thickBot="1" x14ac:dyDescent="0.3">
      <c r="A64" s="103" t="s">
        <v>112</v>
      </c>
      <c r="B64" s="104">
        <f t="shared" ref="B64:K64" si="35">SUM(B65:B66)</f>
        <v>153.80000000000001</v>
      </c>
      <c r="C64" s="105">
        <f t="shared" si="35"/>
        <v>962.2</v>
      </c>
      <c r="D64" s="104">
        <f t="shared" si="35"/>
        <v>636.40000000000009</v>
      </c>
      <c r="E64" s="104">
        <f t="shared" si="35"/>
        <v>3910.3999999999996</v>
      </c>
      <c r="F64" s="104">
        <f t="shared" si="35"/>
        <v>113</v>
      </c>
      <c r="G64" s="104">
        <f t="shared" si="35"/>
        <v>697.30000000000007</v>
      </c>
      <c r="H64" s="104">
        <f t="shared" si="35"/>
        <v>5043.3999999999996</v>
      </c>
      <c r="I64" s="104">
        <f t="shared" si="35"/>
        <v>216.59999999999997</v>
      </c>
      <c r="J64" s="104">
        <f t="shared" si="35"/>
        <v>4258.5</v>
      </c>
      <c r="K64" s="104">
        <f t="shared" si="35"/>
        <v>348.5</v>
      </c>
      <c r="L64" s="104">
        <f t="shared" ref="L64:L84" si="36">SUM(C64,E64,G64,I64,K64)</f>
        <v>6135</v>
      </c>
      <c r="M64" s="126"/>
      <c r="N64" s="126"/>
      <c r="O64" s="126"/>
      <c r="P64" s="126"/>
      <c r="Q64" s="126"/>
      <c r="R64" s="126"/>
      <c r="S64" s="126"/>
      <c r="T64" s="126"/>
      <c r="U64" s="126"/>
    </row>
    <row r="65" spans="1:21" ht="20.100000000000001" customHeight="1" thickBot="1" x14ac:dyDescent="0.3">
      <c r="A65" s="107" t="s">
        <v>12</v>
      </c>
      <c r="B65" s="106">
        <v>69.3</v>
      </c>
      <c r="C65" s="106">
        <f>ROUNDUP(B65*ТАРИФЫ!$F$21,1)</f>
        <v>420.8</v>
      </c>
      <c r="D65" s="108">
        <v>395.1</v>
      </c>
      <c r="E65" s="108">
        <f>ROUNDUP(D65*ТАРИФЫ!$F$5/1000,1)</f>
        <v>2390</v>
      </c>
      <c r="F65" s="108">
        <v>58.7</v>
      </c>
      <c r="G65" s="108">
        <f>ROUNDUP(F65*ТАРИФЫ!$F$5/1000,1)</f>
        <v>355.1</v>
      </c>
      <c r="H65" s="108">
        <v>2162.8000000000002</v>
      </c>
      <c r="I65" s="108">
        <f>ROUNDUP(H65*ТАРИФЫ!$F$10/1000,1)</f>
        <v>90.899999999999991</v>
      </c>
      <c r="J65" s="108">
        <v>2162.8000000000002</v>
      </c>
      <c r="K65" s="108">
        <f>ROUND(J65*ТАРИФЫ!$F$15/1000,1)</f>
        <v>173.8</v>
      </c>
      <c r="L65" s="104">
        <f t="shared" si="36"/>
        <v>3430.6000000000004</v>
      </c>
      <c r="M65" s="126" t="s">
        <v>107</v>
      </c>
      <c r="N65" s="127">
        <f t="shared" ref="N65:N66" si="37">H65-J65</f>
        <v>0</v>
      </c>
      <c r="O65" s="126"/>
      <c r="P65" s="126"/>
      <c r="Q65" s="126"/>
      <c r="R65" s="126"/>
      <c r="S65" s="126"/>
      <c r="T65" s="126"/>
      <c r="U65" s="126"/>
    </row>
    <row r="66" spans="1:21" ht="20.100000000000001" customHeight="1" thickBot="1" x14ac:dyDescent="0.3">
      <c r="A66" s="107" t="s">
        <v>13</v>
      </c>
      <c r="B66" s="106">
        <v>84.5</v>
      </c>
      <c r="C66" s="106">
        <f>ROUNDUP(B66*ТАРИФЫ!$G$21,1)</f>
        <v>541.4</v>
      </c>
      <c r="D66" s="108">
        <v>241.3</v>
      </c>
      <c r="E66" s="108">
        <f>ROUNDUP(D66*ТАРИФЫ!$G$5/1000,1)</f>
        <v>1520.3999999999999</v>
      </c>
      <c r="F66" s="108">
        <v>54.3</v>
      </c>
      <c r="G66" s="108">
        <f>ROUNDUP(F66*ТАРИФЫ!$G$5/1000,1)</f>
        <v>342.20000000000005</v>
      </c>
      <c r="H66" s="108">
        <v>2880.6</v>
      </c>
      <c r="I66" s="108">
        <f>ROUNDUP(H66*ТАРИФЫ!$G$10/1000,1)</f>
        <v>125.69999999999999</v>
      </c>
      <c r="J66" s="108">
        <v>2095.6999999999998</v>
      </c>
      <c r="K66" s="108">
        <f>ROUND(J66*ТАРИФЫ!$G$15/1000,1)</f>
        <v>174.7</v>
      </c>
      <c r="L66" s="104">
        <f t="shared" si="36"/>
        <v>2704.3999999999996</v>
      </c>
      <c r="M66" s="126" t="s">
        <v>107</v>
      </c>
      <c r="N66" s="127">
        <f t="shared" si="37"/>
        <v>784.90000000000009</v>
      </c>
      <c r="O66" s="126"/>
      <c r="P66" s="126"/>
      <c r="Q66" s="126"/>
      <c r="R66" s="126"/>
      <c r="S66" s="126"/>
      <c r="T66" s="126"/>
      <c r="U66" s="126"/>
    </row>
    <row r="67" spans="1:21" ht="45" customHeight="1" thickBot="1" x14ac:dyDescent="0.3">
      <c r="A67" s="103" t="s">
        <v>62</v>
      </c>
      <c r="B67" s="104">
        <f t="shared" ref="B67:K67" si="38">SUM(B68:B69)</f>
        <v>59.800000000000004</v>
      </c>
      <c r="C67" s="105">
        <f t="shared" si="38"/>
        <v>374.1</v>
      </c>
      <c r="D67" s="104">
        <f t="shared" si="38"/>
        <v>292.89999999999998</v>
      </c>
      <c r="E67" s="104">
        <f t="shared" si="38"/>
        <v>3556.9999999999995</v>
      </c>
      <c r="F67" s="104">
        <f t="shared" si="38"/>
        <v>72.399999999999991</v>
      </c>
      <c r="G67" s="104">
        <f t="shared" si="38"/>
        <v>866.1</v>
      </c>
      <c r="H67" s="104">
        <f t="shared" si="38"/>
        <v>3017.7</v>
      </c>
      <c r="I67" s="104">
        <f t="shared" si="38"/>
        <v>233.29999999999998</v>
      </c>
      <c r="J67" s="104">
        <f t="shared" si="38"/>
        <v>3017.7</v>
      </c>
      <c r="K67" s="104">
        <f t="shared" si="38"/>
        <v>366</v>
      </c>
      <c r="L67" s="104">
        <f t="shared" si="36"/>
        <v>5396.5</v>
      </c>
      <c r="M67" s="126"/>
      <c r="N67" s="126"/>
      <c r="O67" s="126"/>
      <c r="P67" s="126"/>
      <c r="Q67" s="126"/>
      <c r="R67" s="126"/>
      <c r="S67" s="126"/>
      <c r="T67" s="126"/>
      <c r="U67" s="126"/>
    </row>
    <row r="68" spans="1:21" ht="20.100000000000001" customHeight="1" thickBot="1" x14ac:dyDescent="0.3">
      <c r="A68" s="107" t="s">
        <v>12</v>
      </c>
      <c r="B68" s="106">
        <v>27.1</v>
      </c>
      <c r="C68" s="106">
        <f>ROUNDUP(B68*ТАРИФЫ!$F$24,1)</f>
        <v>164.6</v>
      </c>
      <c r="D68" s="108">
        <v>182.5</v>
      </c>
      <c r="E68" s="108">
        <f>ROUNDUP(D68*ТАРИФЫ!$F$8/1000,1)</f>
        <v>2171.7999999999997</v>
      </c>
      <c r="F68" s="108">
        <v>65.599999999999994</v>
      </c>
      <c r="G68" s="108">
        <f>ROUNDUP(F68*ТАРИФЫ!$F$8/1000,1)</f>
        <v>780.7</v>
      </c>
      <c r="H68" s="108">
        <v>1564.5</v>
      </c>
      <c r="I68" s="108">
        <f>ROUNDUP(H68*ТАРИФЫ!$F$13/1000,1)</f>
        <v>118.6</v>
      </c>
      <c r="J68" s="108">
        <f>H68</f>
        <v>1564.5</v>
      </c>
      <c r="K68" s="108">
        <f>ROUNDUP(J68*ТАРИФЫ!$F$19/1000,1)</f>
        <v>185.29999999999998</v>
      </c>
      <c r="L68" s="104">
        <f t="shared" si="36"/>
        <v>3420.9999999999995</v>
      </c>
      <c r="M68" s="126" t="s">
        <v>109</v>
      </c>
      <c r="N68" s="127">
        <f t="shared" ref="N68:N69" si="39">H68-J68</f>
        <v>0</v>
      </c>
      <c r="O68" s="126"/>
      <c r="P68" s="126"/>
      <c r="Q68" s="126"/>
      <c r="R68" s="126"/>
      <c r="S68" s="126"/>
      <c r="T68" s="126"/>
      <c r="U68" s="126"/>
    </row>
    <row r="69" spans="1:21" ht="20.100000000000001" customHeight="1" thickBot="1" x14ac:dyDescent="0.3">
      <c r="A69" s="107" t="s">
        <v>13</v>
      </c>
      <c r="B69" s="106">
        <v>32.700000000000003</v>
      </c>
      <c r="C69" s="106">
        <f>ROUNDUP(B69*ТАРИФЫ!$G$24,1)</f>
        <v>209.5</v>
      </c>
      <c r="D69" s="108">
        <v>110.4</v>
      </c>
      <c r="E69" s="108">
        <f>ROUNDUP(D69*ТАРИФЫ!$G$8/1000,1)</f>
        <v>1385.1999999999998</v>
      </c>
      <c r="F69" s="108">
        <v>6.8</v>
      </c>
      <c r="G69" s="108">
        <f>ROUNDUP(F69*ТАРИФЫ!$G$8/1000,1)</f>
        <v>85.399999999999991</v>
      </c>
      <c r="H69" s="108">
        <v>1453.2</v>
      </c>
      <c r="I69" s="108">
        <f>ROUNDUP(H69*ТАРИФЫ!$G$13/1000,1)</f>
        <v>114.69999999999999</v>
      </c>
      <c r="J69" s="108">
        <f>H69</f>
        <v>1453.2</v>
      </c>
      <c r="K69" s="108">
        <f>ROUNDUP(J69*ТАРИФЫ!$G$19/1000,1)</f>
        <v>180.7</v>
      </c>
      <c r="L69" s="104">
        <f t="shared" si="36"/>
        <v>1975.5</v>
      </c>
      <c r="M69" s="126" t="s">
        <v>109</v>
      </c>
      <c r="N69" s="127">
        <f t="shared" si="39"/>
        <v>0</v>
      </c>
      <c r="O69" s="126"/>
      <c r="P69" s="126"/>
      <c r="Q69" s="126"/>
      <c r="R69" s="126"/>
      <c r="S69" s="126"/>
      <c r="T69" s="126"/>
      <c r="U69" s="126"/>
    </row>
    <row r="70" spans="1:21" ht="60" customHeight="1" thickBot="1" x14ac:dyDescent="0.3">
      <c r="A70" s="103" t="s">
        <v>68</v>
      </c>
      <c r="B70" s="104">
        <f t="shared" ref="B70:K70" si="40">SUM(B71:B72)</f>
        <v>81.099999999999994</v>
      </c>
      <c r="C70" s="105">
        <f t="shared" si="40"/>
        <v>507.5</v>
      </c>
      <c r="D70" s="104">
        <f t="shared" si="40"/>
        <v>788</v>
      </c>
      <c r="E70" s="104">
        <f t="shared" si="40"/>
        <v>4842.6000000000004</v>
      </c>
      <c r="F70" s="104">
        <f t="shared" si="40"/>
        <v>98.699999999999989</v>
      </c>
      <c r="G70" s="104">
        <f t="shared" si="40"/>
        <v>610.60000000000014</v>
      </c>
      <c r="H70" s="104">
        <f t="shared" si="40"/>
        <v>3103.2</v>
      </c>
      <c r="I70" s="104">
        <f t="shared" si="40"/>
        <v>132.19999999999999</v>
      </c>
      <c r="J70" s="104">
        <f t="shared" si="40"/>
        <v>3103.2</v>
      </c>
      <c r="K70" s="104">
        <f t="shared" si="40"/>
        <v>252.5</v>
      </c>
      <c r="L70" s="104">
        <f t="shared" si="36"/>
        <v>6345.4000000000005</v>
      </c>
      <c r="M70" s="126"/>
      <c r="N70" s="126"/>
      <c r="O70" s="126"/>
      <c r="P70" s="126"/>
      <c r="Q70" s="126"/>
      <c r="R70" s="126"/>
      <c r="S70" s="126"/>
      <c r="T70" s="126"/>
      <c r="U70" s="126"/>
    </row>
    <row r="71" spans="1:21" ht="20.100000000000001" customHeight="1" thickBot="1" x14ac:dyDescent="0.3">
      <c r="A71" s="107" t="s">
        <v>12</v>
      </c>
      <c r="B71" s="106">
        <v>36.299999999999997</v>
      </c>
      <c r="C71" s="106">
        <f>ROUNDUP(B71*ТАРИФЫ!$F$21,1)</f>
        <v>220.5</v>
      </c>
      <c r="D71" s="108">
        <v>486.6</v>
      </c>
      <c r="E71" s="108">
        <f>ROUNDUP(D71*ТАРИФЫ!$F$5/1000,1)</f>
        <v>2943.5</v>
      </c>
      <c r="F71" s="108">
        <v>45.4</v>
      </c>
      <c r="G71" s="108">
        <f>ROUNDUP(F71*ТАРИФЫ!$F$5/1000,1)</f>
        <v>274.70000000000005</v>
      </c>
      <c r="H71" s="108">
        <v>2052.6999999999998</v>
      </c>
      <c r="I71" s="108">
        <f>ROUNDUP(H71*ТАРИФЫ!$F$10/1000,1)</f>
        <v>86.3</v>
      </c>
      <c r="J71" s="108">
        <v>2052.6999999999998</v>
      </c>
      <c r="K71" s="108">
        <f>ROUND(J71*ТАРИФЫ!$F$15/1000,1)</f>
        <v>165</v>
      </c>
      <c r="L71" s="104">
        <f t="shared" si="36"/>
        <v>3690</v>
      </c>
      <c r="M71" s="126" t="s">
        <v>107</v>
      </c>
      <c r="N71" s="127">
        <f t="shared" ref="N71:N72" si="41">H71-J71</f>
        <v>0</v>
      </c>
      <c r="O71" s="126"/>
      <c r="P71" s="126"/>
      <c r="Q71" s="126"/>
      <c r="R71" s="126"/>
      <c r="S71" s="126"/>
      <c r="T71" s="126"/>
      <c r="U71" s="126"/>
    </row>
    <row r="72" spans="1:21" ht="20.100000000000001" customHeight="1" thickBot="1" x14ac:dyDescent="0.3">
      <c r="A72" s="107" t="s">
        <v>13</v>
      </c>
      <c r="B72" s="106">
        <v>44.8</v>
      </c>
      <c r="C72" s="106">
        <f>ROUNDUP(B72*ТАРИФЫ!$G$21,1)</f>
        <v>287</v>
      </c>
      <c r="D72" s="108">
        <v>301.39999999999998</v>
      </c>
      <c r="E72" s="108">
        <f>ROUNDUP(D72*ТАРИФЫ!$G$5/1000,1)</f>
        <v>1899.1</v>
      </c>
      <c r="F72" s="108">
        <v>53.3</v>
      </c>
      <c r="G72" s="108">
        <f>ROUNDUP(F72*ТАРИФЫ!$G$5/1000,1)</f>
        <v>335.90000000000003</v>
      </c>
      <c r="H72" s="108">
        <v>1050.5</v>
      </c>
      <c r="I72" s="108">
        <f>ROUNDUP(H72*ТАРИФЫ!$G$10/1000,1)</f>
        <v>45.9</v>
      </c>
      <c r="J72" s="108">
        <v>1050.5</v>
      </c>
      <c r="K72" s="108">
        <f>ROUND(J72*ТАРИФЫ!$G$15/1000,1)</f>
        <v>87.5</v>
      </c>
      <c r="L72" s="104">
        <f t="shared" si="36"/>
        <v>2655.4</v>
      </c>
      <c r="M72" s="126" t="s">
        <v>107</v>
      </c>
      <c r="N72" s="127">
        <f t="shared" si="41"/>
        <v>0</v>
      </c>
      <c r="O72" s="126"/>
      <c r="P72" s="126"/>
      <c r="Q72" s="126"/>
      <c r="R72" s="126"/>
      <c r="S72" s="126"/>
      <c r="T72" s="126"/>
      <c r="U72" s="126"/>
    </row>
    <row r="73" spans="1:21" ht="45" customHeight="1" thickBot="1" x14ac:dyDescent="0.3">
      <c r="A73" s="103" t="s">
        <v>16</v>
      </c>
      <c r="B73" s="104">
        <f t="shared" ref="B73:K73" si="42">SUM(B74:B75)</f>
        <v>59.6</v>
      </c>
      <c r="C73" s="105">
        <f t="shared" si="42"/>
        <v>371.59999999999997</v>
      </c>
      <c r="D73" s="104">
        <f t="shared" si="42"/>
        <v>556.9</v>
      </c>
      <c r="E73" s="104">
        <f t="shared" si="42"/>
        <v>3420.3999999999996</v>
      </c>
      <c r="F73" s="104">
        <f t="shared" si="42"/>
        <v>119.9</v>
      </c>
      <c r="G73" s="104">
        <f t="shared" si="42"/>
        <v>738.6</v>
      </c>
      <c r="H73" s="104">
        <f t="shared" si="42"/>
        <v>2402.9</v>
      </c>
      <c r="I73" s="104">
        <f t="shared" si="42"/>
        <v>102.9</v>
      </c>
      <c r="J73" s="104">
        <f t="shared" si="42"/>
        <v>2402.9</v>
      </c>
      <c r="K73" s="104">
        <f t="shared" si="42"/>
        <v>196.39999999999998</v>
      </c>
      <c r="L73" s="104">
        <f t="shared" si="36"/>
        <v>4829.8999999999987</v>
      </c>
      <c r="M73" s="126"/>
      <c r="N73" s="126"/>
      <c r="O73" s="126"/>
      <c r="P73" s="126"/>
      <c r="Q73" s="126"/>
      <c r="R73" s="126"/>
      <c r="S73" s="126"/>
      <c r="T73" s="126"/>
      <c r="U73" s="126"/>
    </row>
    <row r="74" spans="1:21" ht="20.100000000000001" customHeight="1" thickBot="1" x14ac:dyDescent="0.3">
      <c r="A74" s="107" t="s">
        <v>12</v>
      </c>
      <c r="B74" s="106">
        <v>31</v>
      </c>
      <c r="C74" s="106">
        <f>ROUNDUP(B74*ТАРИФЫ!$F$21,1)</f>
        <v>188.29999999999998</v>
      </c>
      <c r="D74" s="108">
        <v>352</v>
      </c>
      <c r="E74" s="108">
        <f>ROUNDUP(D74*ТАРИФЫ!$F$5/1000,1)</f>
        <v>2129.2999999999997</v>
      </c>
      <c r="F74" s="108">
        <v>67.2</v>
      </c>
      <c r="G74" s="108">
        <f>ROUNDUP(F74*ТАРИФЫ!$F$5/1000,1)</f>
        <v>406.5</v>
      </c>
      <c r="H74" s="108">
        <v>1295.2</v>
      </c>
      <c r="I74" s="108">
        <f>ROUNDUP(H74*ТАРИФЫ!$F$10/1000,1)</f>
        <v>54.5</v>
      </c>
      <c r="J74" s="108">
        <v>1295.2</v>
      </c>
      <c r="K74" s="108">
        <f>ROUND(J74*ТАРИФЫ!$F$15/1000,1)</f>
        <v>104.1</v>
      </c>
      <c r="L74" s="104">
        <f t="shared" si="36"/>
        <v>2882.7</v>
      </c>
      <c r="M74" s="126" t="s">
        <v>107</v>
      </c>
      <c r="N74" s="127">
        <f t="shared" ref="N74:N75" si="43">H74-J74</f>
        <v>0</v>
      </c>
      <c r="O74" s="126"/>
      <c r="P74" s="126"/>
      <c r="Q74" s="126"/>
      <c r="R74" s="126"/>
      <c r="S74" s="126"/>
      <c r="T74" s="126"/>
      <c r="U74" s="126"/>
    </row>
    <row r="75" spans="1:21" ht="20.100000000000001" customHeight="1" thickBot="1" x14ac:dyDescent="0.3">
      <c r="A75" s="107" t="s">
        <v>13</v>
      </c>
      <c r="B75" s="106">
        <v>28.6</v>
      </c>
      <c r="C75" s="106">
        <f>ROUNDUP(B75*ТАРИФЫ!$G$21,1)</f>
        <v>183.29999999999998</v>
      </c>
      <c r="D75" s="108">
        <v>204.9</v>
      </c>
      <c r="E75" s="108">
        <f>ROUNDUP(D75*ТАРИФЫ!$G$5/1000,1)</f>
        <v>1291.0999999999999</v>
      </c>
      <c r="F75" s="108">
        <v>52.7</v>
      </c>
      <c r="G75" s="108">
        <f>ROUNDUP(F75*ТАРИФЫ!$G$5/1000,1)</f>
        <v>332.1</v>
      </c>
      <c r="H75" s="108">
        <v>1107.7</v>
      </c>
      <c r="I75" s="108">
        <f>ROUNDUP(H75*ТАРИФЫ!$G$10/1000,1)</f>
        <v>48.4</v>
      </c>
      <c r="J75" s="108">
        <v>1107.7</v>
      </c>
      <c r="K75" s="108">
        <f>ROUND(J75*ТАРИФЫ!$G$15/1000,1)</f>
        <v>92.3</v>
      </c>
      <c r="L75" s="104">
        <f t="shared" si="36"/>
        <v>1947.2</v>
      </c>
      <c r="M75" s="126" t="s">
        <v>107</v>
      </c>
      <c r="N75" s="127">
        <f t="shared" si="43"/>
        <v>0</v>
      </c>
      <c r="O75" s="126"/>
      <c r="P75" s="126"/>
      <c r="Q75" s="126"/>
      <c r="R75" s="126"/>
      <c r="S75" s="126"/>
      <c r="T75" s="126"/>
      <c r="U75" s="126"/>
    </row>
    <row r="76" spans="1:21" ht="45" customHeight="1" thickBot="1" x14ac:dyDescent="0.3">
      <c r="A76" s="103" t="s">
        <v>17</v>
      </c>
      <c r="B76" s="104">
        <f t="shared" ref="B76:K76" si="44">SUM(B77:B78)</f>
        <v>50.4</v>
      </c>
      <c r="C76" s="105">
        <f t="shared" si="44"/>
        <v>315.5</v>
      </c>
      <c r="D76" s="104">
        <f t="shared" si="44"/>
        <v>922</v>
      </c>
      <c r="E76" s="104">
        <f t="shared" si="44"/>
        <v>11209.3</v>
      </c>
      <c r="F76" s="104">
        <f t="shared" si="44"/>
        <v>36.700000000000003</v>
      </c>
      <c r="G76" s="104">
        <f t="shared" si="44"/>
        <v>448.7</v>
      </c>
      <c r="H76" s="104">
        <f t="shared" si="44"/>
        <v>1344</v>
      </c>
      <c r="I76" s="104">
        <f t="shared" si="44"/>
        <v>104.2</v>
      </c>
      <c r="J76" s="104">
        <f t="shared" si="44"/>
        <v>1344</v>
      </c>
      <c r="K76" s="104">
        <f t="shared" si="44"/>
        <v>163.5</v>
      </c>
      <c r="L76" s="104">
        <f t="shared" si="36"/>
        <v>12241.2</v>
      </c>
      <c r="M76" s="126"/>
      <c r="N76" s="126"/>
      <c r="O76" s="126"/>
      <c r="P76" s="126"/>
      <c r="Q76" s="126"/>
      <c r="R76" s="126"/>
      <c r="S76" s="126"/>
      <c r="T76" s="126"/>
      <c r="U76" s="126"/>
    </row>
    <row r="77" spans="1:21" ht="20.100000000000001" customHeight="1" thickBot="1" x14ac:dyDescent="0.3">
      <c r="A77" s="107" t="s">
        <v>12</v>
      </c>
      <c r="B77" s="106">
        <v>22.5</v>
      </c>
      <c r="C77" s="106">
        <f>ROUNDUP(B77*ТАРИФЫ!$F$24,1)</f>
        <v>136.69999999999999</v>
      </c>
      <c r="D77" s="108">
        <v>554.70000000000005</v>
      </c>
      <c r="E77" s="108">
        <f>ROUNDUP(D77*ТАРИФЫ!$F$8/1000,1)</f>
        <v>6600.8</v>
      </c>
      <c r="F77" s="108">
        <v>18.399999999999999</v>
      </c>
      <c r="G77" s="108">
        <f>ROUNDUP(F77*ТАРИФЫ!$F$8/1000,1)</f>
        <v>219</v>
      </c>
      <c r="H77" s="108">
        <v>622</v>
      </c>
      <c r="I77" s="108">
        <f>ROUNDUP(H77*ТАРИФЫ!$F$13/1000,1)</f>
        <v>47.2</v>
      </c>
      <c r="J77" s="108">
        <f>H77</f>
        <v>622</v>
      </c>
      <c r="K77" s="108">
        <f>ROUNDUP(J77*ТАРИФЫ!$F$19/1000,1)</f>
        <v>73.699999999999989</v>
      </c>
      <c r="L77" s="104">
        <f t="shared" si="36"/>
        <v>7077.4</v>
      </c>
      <c r="M77" s="126" t="s">
        <v>109</v>
      </c>
      <c r="N77" s="127">
        <f t="shared" ref="N77:N90" si="45">H77-J77</f>
        <v>0</v>
      </c>
      <c r="O77" s="126"/>
      <c r="P77" s="126"/>
      <c r="Q77" s="126"/>
      <c r="R77" s="126"/>
      <c r="S77" s="126"/>
      <c r="T77" s="126"/>
      <c r="U77" s="126"/>
    </row>
    <row r="78" spans="1:21" ht="20.100000000000001" customHeight="1" thickBot="1" x14ac:dyDescent="0.3">
      <c r="A78" s="107" t="s">
        <v>13</v>
      </c>
      <c r="B78" s="106">
        <v>27.9</v>
      </c>
      <c r="C78" s="106">
        <f>ROUNDUP(B78*ТАРИФЫ!$G$24,1)</f>
        <v>178.79999999999998</v>
      </c>
      <c r="D78" s="108">
        <v>367.3</v>
      </c>
      <c r="E78" s="108">
        <f>ROUNDUP(D78*ТАРИФЫ!$G$8/1000,1)</f>
        <v>4608.5</v>
      </c>
      <c r="F78" s="108">
        <v>18.3</v>
      </c>
      <c r="G78" s="108">
        <f>ROUNDUP(F78*ТАРИФЫ!$G$8/1000,1)</f>
        <v>229.7</v>
      </c>
      <c r="H78" s="108">
        <v>722</v>
      </c>
      <c r="I78" s="108">
        <f>ROUNDUP(H78*ТАРИФЫ!$G$13/1000,1)</f>
        <v>57</v>
      </c>
      <c r="J78" s="108">
        <f>H78</f>
        <v>722</v>
      </c>
      <c r="K78" s="108">
        <f>ROUNDUP(J78*ТАРИФЫ!$G$19/1000,1)</f>
        <v>89.8</v>
      </c>
      <c r="L78" s="104">
        <f t="shared" si="36"/>
        <v>5163.8</v>
      </c>
      <c r="M78" s="126" t="s">
        <v>109</v>
      </c>
      <c r="N78" s="127">
        <f t="shared" si="45"/>
        <v>0</v>
      </c>
      <c r="O78" s="126"/>
      <c r="P78" s="126"/>
      <c r="Q78" s="126"/>
      <c r="R78" s="126"/>
      <c r="S78" s="126"/>
      <c r="T78" s="126"/>
      <c r="U78" s="126"/>
    </row>
    <row r="79" spans="1:21" ht="45" customHeight="1" thickBot="1" x14ac:dyDescent="0.3">
      <c r="A79" s="123" t="s">
        <v>113</v>
      </c>
      <c r="B79" s="104">
        <f t="shared" ref="B79:K79" si="46">SUM(B80:B81)</f>
        <v>37.299999999999997</v>
      </c>
      <c r="C79" s="105">
        <f t="shared" si="46"/>
        <v>233.89999999999998</v>
      </c>
      <c r="D79" s="104">
        <f t="shared" si="46"/>
        <v>539.70000000000005</v>
      </c>
      <c r="E79" s="104">
        <f t="shared" si="46"/>
        <v>6714.9</v>
      </c>
      <c r="F79" s="104">
        <f t="shared" si="46"/>
        <v>0</v>
      </c>
      <c r="G79" s="104">
        <f t="shared" si="46"/>
        <v>0</v>
      </c>
      <c r="H79" s="104">
        <f t="shared" si="46"/>
        <v>808</v>
      </c>
      <c r="I79" s="104">
        <f t="shared" si="46"/>
        <v>34.700000000000003</v>
      </c>
      <c r="J79" s="104">
        <f t="shared" si="46"/>
        <v>808</v>
      </c>
      <c r="K79" s="104">
        <f t="shared" si="46"/>
        <v>98.800000000000011</v>
      </c>
      <c r="L79" s="104">
        <f t="shared" si="36"/>
        <v>7082.2999999999993</v>
      </c>
      <c r="M79" s="126"/>
      <c r="N79" s="126"/>
      <c r="O79" s="126"/>
      <c r="P79" s="126"/>
      <c r="Q79" s="126"/>
      <c r="R79" s="126"/>
      <c r="S79" s="126"/>
      <c r="T79" s="126"/>
      <c r="U79" s="126"/>
    </row>
    <row r="80" spans="1:21" ht="20.100000000000001" customHeight="1" thickBot="1" x14ac:dyDescent="0.3">
      <c r="A80" s="107" t="s">
        <v>12</v>
      </c>
      <c r="B80" s="124">
        <v>15.2</v>
      </c>
      <c r="C80" s="106">
        <f>ROUNDUP(B80*ТАРИФЫ!$F$23,1)</f>
        <v>92.3</v>
      </c>
      <c r="D80" s="108">
        <v>338.4</v>
      </c>
      <c r="E80" s="106">
        <f>ROUNDUP(D80*ТАРИФЫ!$F$7/1000,1)</f>
        <v>4157.6000000000004</v>
      </c>
      <c r="F80" s="108">
        <v>0</v>
      </c>
      <c r="G80" s="106">
        <f>ROUNDUP(F80*ТАРИФЫ!$F$7/1000,1)</f>
        <v>0</v>
      </c>
      <c r="H80" s="108">
        <v>423.8</v>
      </c>
      <c r="I80" s="106">
        <f>ROUNDUP(H80*ТАРИФЫ!$F$12/1000,1)</f>
        <v>17.900000000000002</v>
      </c>
      <c r="J80" s="108">
        <f>H80</f>
        <v>423.8</v>
      </c>
      <c r="K80" s="106">
        <f>ROUNDUP(J80*ТАРИФЫ!$F$17/1000,1)</f>
        <v>50.5</v>
      </c>
      <c r="L80" s="104">
        <f t="shared" si="36"/>
        <v>4318.3</v>
      </c>
      <c r="M80" s="126" t="s">
        <v>111</v>
      </c>
      <c r="N80" s="127">
        <f t="shared" si="45"/>
        <v>0</v>
      </c>
      <c r="O80" s="126"/>
      <c r="P80" s="126"/>
      <c r="Q80" s="126"/>
      <c r="R80" s="126"/>
      <c r="S80" s="126"/>
      <c r="T80" s="126"/>
      <c r="U80" s="126"/>
    </row>
    <row r="81" spans="1:21" ht="20.100000000000001" customHeight="1" thickBot="1" x14ac:dyDescent="0.3">
      <c r="A81" s="107" t="s">
        <v>13</v>
      </c>
      <c r="B81" s="106">
        <v>22.1</v>
      </c>
      <c r="C81" s="106">
        <f>ROUNDUP(B81*ТАРИФЫ!$G$23,1)</f>
        <v>141.6</v>
      </c>
      <c r="D81" s="108">
        <v>201.3</v>
      </c>
      <c r="E81" s="106">
        <f>ROUNDUP(D81*ТАРИФЫ!$G$7/1000,1)</f>
        <v>2557.2999999999997</v>
      </c>
      <c r="F81" s="108">
        <v>0</v>
      </c>
      <c r="G81" s="106">
        <f>ROUNDUP(F81*ТАРИФЫ!$G$7/1000,1)</f>
        <v>0</v>
      </c>
      <c r="H81" s="108">
        <v>384.2</v>
      </c>
      <c r="I81" s="106">
        <f>ROUNDUP(H81*ТАРИФЫ!$G$12/1000,1)</f>
        <v>16.8</v>
      </c>
      <c r="J81" s="108">
        <f>H81</f>
        <v>384.2</v>
      </c>
      <c r="K81" s="106">
        <f>ROUNDUP(J81*ТАРИФЫ!$G$17/1000,1)</f>
        <v>48.300000000000004</v>
      </c>
      <c r="L81" s="104">
        <f t="shared" si="36"/>
        <v>2764</v>
      </c>
      <c r="M81" s="126" t="s">
        <v>111</v>
      </c>
      <c r="N81" s="127">
        <f t="shared" si="45"/>
        <v>0</v>
      </c>
      <c r="O81" s="126"/>
      <c r="P81" s="126"/>
      <c r="Q81" s="126"/>
      <c r="R81" s="126"/>
      <c r="S81" s="126"/>
      <c r="T81" s="126"/>
      <c r="U81" s="126"/>
    </row>
    <row r="82" spans="1:21" ht="45" customHeight="1" thickBot="1" x14ac:dyDescent="0.3">
      <c r="A82" s="103" t="s">
        <v>18</v>
      </c>
      <c r="B82" s="104">
        <f t="shared" ref="B82:K82" si="47">SUM(B83:B84)</f>
        <v>65.099999999999994</v>
      </c>
      <c r="C82" s="105">
        <f t="shared" si="47"/>
        <v>405.9</v>
      </c>
      <c r="D82" s="104">
        <f t="shared" si="47"/>
        <v>559.6</v>
      </c>
      <c r="E82" s="104">
        <f t="shared" si="47"/>
        <v>6912.9</v>
      </c>
      <c r="F82" s="104">
        <f t="shared" si="47"/>
        <v>0</v>
      </c>
      <c r="G82" s="104">
        <f t="shared" si="47"/>
        <v>0</v>
      </c>
      <c r="H82" s="104">
        <f t="shared" si="47"/>
        <v>389.5</v>
      </c>
      <c r="I82" s="104">
        <f t="shared" si="47"/>
        <v>30.4</v>
      </c>
      <c r="J82" s="104">
        <f t="shared" si="47"/>
        <v>389.5</v>
      </c>
      <c r="K82" s="104">
        <f t="shared" si="47"/>
        <v>14.8</v>
      </c>
      <c r="L82" s="104">
        <f t="shared" si="36"/>
        <v>7363.9999999999991</v>
      </c>
      <c r="M82" s="126"/>
      <c r="N82" s="126"/>
      <c r="O82" s="126"/>
      <c r="P82" s="126"/>
      <c r="Q82" s="126"/>
      <c r="R82" s="126"/>
      <c r="S82" s="126"/>
      <c r="T82" s="126"/>
      <c r="U82" s="126"/>
    </row>
    <row r="83" spans="1:21" ht="20.100000000000001" customHeight="1" thickBot="1" x14ac:dyDescent="0.3">
      <c r="A83" s="107" t="s">
        <v>12</v>
      </c>
      <c r="B83" s="106">
        <v>33.6</v>
      </c>
      <c r="C83" s="106">
        <f>ROUNDUP(B83*ТАРИФЫ!$F$22,1)</f>
        <v>204.1</v>
      </c>
      <c r="D83" s="108">
        <v>323.7</v>
      </c>
      <c r="E83" s="108">
        <f>ROUNDUP(D83*ТАРИФЫ!$F$6/1000,1)</f>
        <v>3931.1</v>
      </c>
      <c r="F83" s="108">
        <v>0</v>
      </c>
      <c r="G83" s="106">
        <f>MROUND(F83*ТАРИФЫ!$F$6/1000,1)</f>
        <v>0</v>
      </c>
      <c r="H83" s="108">
        <v>205</v>
      </c>
      <c r="I83" s="108">
        <f>ROUNDUP(H83*ТАРИФЫ!$F$11/1000,1)</f>
        <v>15.9</v>
      </c>
      <c r="J83" s="108">
        <f t="shared" ref="J83:J84" si="48">H83</f>
        <v>205</v>
      </c>
      <c r="K83" s="108">
        <f>ROUND(J83*ТАРИФЫ!$F$16/1000,1)</f>
        <v>7.7</v>
      </c>
      <c r="L83" s="104">
        <f t="shared" si="36"/>
        <v>4158.7999999999993</v>
      </c>
      <c r="M83" s="126" t="s">
        <v>110</v>
      </c>
      <c r="N83" s="127">
        <f t="shared" si="45"/>
        <v>0</v>
      </c>
      <c r="O83" s="126"/>
      <c r="P83" s="126"/>
      <c r="Q83" s="126"/>
      <c r="R83" s="126"/>
      <c r="S83" s="126"/>
      <c r="T83" s="126"/>
      <c r="U83" s="126"/>
    </row>
    <row r="84" spans="1:21" ht="20.100000000000001" customHeight="1" thickBot="1" x14ac:dyDescent="0.3">
      <c r="A84" s="107" t="s">
        <v>13</v>
      </c>
      <c r="B84" s="106">
        <v>31.5</v>
      </c>
      <c r="C84" s="106">
        <f>ROUNDUP(B84*ТАРИФЫ!$G$22,1)</f>
        <v>201.79999999999998</v>
      </c>
      <c r="D84" s="108">
        <v>235.9</v>
      </c>
      <c r="E84" s="108">
        <f>ROUNDUP(D84*ТАРИФЫ!$G$6/1000,1)</f>
        <v>2981.7999999999997</v>
      </c>
      <c r="F84" s="108">
        <v>0</v>
      </c>
      <c r="G84" s="106">
        <f>MROUND(F84*ТАРИФЫ!$G$6/1000,1)</f>
        <v>0</v>
      </c>
      <c r="H84" s="108">
        <v>184.5</v>
      </c>
      <c r="I84" s="108">
        <f>ROUNDUP(H84*ТАРИФЫ!$G$11/1000,1)</f>
        <v>14.5</v>
      </c>
      <c r="J84" s="108">
        <f t="shared" si="48"/>
        <v>184.5</v>
      </c>
      <c r="K84" s="108">
        <f>ROUND(J84*ТАРИФЫ!$G$16/1000,1)</f>
        <v>7.1</v>
      </c>
      <c r="L84" s="104">
        <f t="shared" si="36"/>
        <v>3205.2</v>
      </c>
      <c r="M84" s="126" t="s">
        <v>110</v>
      </c>
      <c r="N84" s="127">
        <f t="shared" si="45"/>
        <v>0</v>
      </c>
      <c r="O84" s="126"/>
      <c r="P84" s="126"/>
      <c r="Q84" s="126"/>
      <c r="R84" s="126"/>
      <c r="S84" s="126"/>
      <c r="T84" s="126"/>
      <c r="U84" s="126"/>
    </row>
    <row r="85" spans="1:21" ht="45" customHeight="1" thickBot="1" x14ac:dyDescent="0.3">
      <c r="A85" s="103" t="s">
        <v>80</v>
      </c>
      <c r="B85" s="104">
        <f t="shared" ref="B85:K85" si="49">SUM(B86:B87)</f>
        <v>14.3</v>
      </c>
      <c r="C85" s="105">
        <f t="shared" si="49"/>
        <v>89.5</v>
      </c>
      <c r="D85" s="104">
        <f t="shared" si="49"/>
        <v>417.5</v>
      </c>
      <c r="E85" s="104">
        <f t="shared" si="49"/>
        <v>2562.5</v>
      </c>
      <c r="F85" s="104">
        <f t="shared" si="49"/>
        <v>19</v>
      </c>
      <c r="G85" s="104">
        <f t="shared" si="49"/>
        <v>117.3</v>
      </c>
      <c r="H85" s="104">
        <f t="shared" si="49"/>
        <v>425</v>
      </c>
      <c r="I85" s="104">
        <f t="shared" si="49"/>
        <v>18.299999999999997</v>
      </c>
      <c r="J85" s="104">
        <f t="shared" si="49"/>
        <v>425</v>
      </c>
      <c r="K85" s="104">
        <f t="shared" si="49"/>
        <v>34.700000000000003</v>
      </c>
      <c r="L85" s="119">
        <f t="shared" ref="L85:L87" si="50">SUM(C85,E85,G85,I85,K85)</f>
        <v>2822.3</v>
      </c>
      <c r="M85" s="126"/>
      <c r="N85" s="126"/>
      <c r="O85" s="126"/>
      <c r="P85" s="126"/>
      <c r="Q85" s="126"/>
      <c r="R85" s="126"/>
      <c r="S85" s="126"/>
      <c r="T85" s="126"/>
      <c r="U85" s="126"/>
    </row>
    <row r="86" spans="1:21" ht="20.100000000000001" customHeight="1" thickBot="1" x14ac:dyDescent="0.3">
      <c r="A86" s="107" t="s">
        <v>12</v>
      </c>
      <c r="B86" s="106">
        <v>6.5</v>
      </c>
      <c r="C86" s="106">
        <f>ROUNDUP(B86*ТАРИФЫ!$F$21,1)</f>
        <v>39.5</v>
      </c>
      <c r="D86" s="108">
        <v>270.8</v>
      </c>
      <c r="E86" s="108">
        <f>ROUNDUP(D86*ТАРИФЫ!$F$5/1000,1)</f>
        <v>1638.1</v>
      </c>
      <c r="F86" s="108">
        <v>10.3</v>
      </c>
      <c r="G86" s="108">
        <f>ROUNDUP(F86*ТАРИФЫ!$F$5/1000,1)</f>
        <v>62.4</v>
      </c>
      <c r="H86" s="108">
        <v>241.5</v>
      </c>
      <c r="I86" s="108">
        <f>ROUNDUP(H86*ТАРИФЫ!$F$10/1000,1)</f>
        <v>10.199999999999999</v>
      </c>
      <c r="J86" s="108">
        <v>241.5</v>
      </c>
      <c r="K86" s="108">
        <f>ROUND(J86*ТАРИФЫ!$F$15/1000,1)</f>
        <v>19.399999999999999</v>
      </c>
      <c r="L86" s="119">
        <f t="shared" si="50"/>
        <v>1769.6000000000001</v>
      </c>
      <c r="M86" s="126" t="s">
        <v>107</v>
      </c>
      <c r="N86" s="127">
        <f t="shared" si="45"/>
        <v>0</v>
      </c>
      <c r="O86" s="126"/>
      <c r="P86" s="126"/>
      <c r="Q86" s="126"/>
      <c r="R86" s="126"/>
      <c r="S86" s="126"/>
      <c r="T86" s="126"/>
      <c r="U86" s="126"/>
    </row>
    <row r="87" spans="1:21" ht="20.100000000000001" customHeight="1" thickBot="1" x14ac:dyDescent="0.3">
      <c r="A87" s="107" t="s">
        <v>13</v>
      </c>
      <c r="B87" s="106">
        <v>7.8</v>
      </c>
      <c r="C87" s="106">
        <f>ROUNDUP(B87*ТАРИФЫ!$G$21,1)</f>
        <v>50</v>
      </c>
      <c r="D87" s="108">
        <v>146.69999999999999</v>
      </c>
      <c r="E87" s="108">
        <f>ROUNDUP(D87*ТАРИФЫ!$G$5/1000,1)</f>
        <v>924.4</v>
      </c>
      <c r="F87" s="108">
        <v>8.6999999999999993</v>
      </c>
      <c r="G87" s="108">
        <f>ROUNDUP(F87*ТАРИФЫ!$G$5/1000,1)</f>
        <v>54.9</v>
      </c>
      <c r="H87" s="108">
        <v>183.5</v>
      </c>
      <c r="I87" s="108">
        <f>ROUNDUP(H87*ТАРИФЫ!$G$10/1000,1)</f>
        <v>8.1</v>
      </c>
      <c r="J87" s="108">
        <v>183.5</v>
      </c>
      <c r="K87" s="108">
        <f>ROUND(J87*ТАРИФЫ!$G$15/1000,1)</f>
        <v>15.3</v>
      </c>
      <c r="L87" s="119">
        <f t="shared" si="50"/>
        <v>1052.6999999999998</v>
      </c>
      <c r="M87" s="126" t="s">
        <v>107</v>
      </c>
      <c r="N87" s="127">
        <f t="shared" si="45"/>
        <v>0</v>
      </c>
      <c r="O87" s="126"/>
      <c r="P87" s="126"/>
      <c r="Q87" s="126"/>
      <c r="R87" s="126"/>
      <c r="S87" s="126"/>
      <c r="T87" s="126"/>
      <c r="U87" s="126"/>
    </row>
    <row r="88" spans="1:21" ht="45" customHeight="1" thickBot="1" x14ac:dyDescent="0.3">
      <c r="A88" s="109" t="s">
        <v>14</v>
      </c>
      <c r="B88" s="110">
        <f>SUM(B89:B90)</f>
        <v>521.4</v>
      </c>
      <c r="C88" s="110">
        <f t="shared" ref="C88:L88" si="51">SUM(C89:C90)</f>
        <v>3260.2</v>
      </c>
      <c r="D88" s="110">
        <f t="shared" si="51"/>
        <v>4713</v>
      </c>
      <c r="E88" s="110">
        <f t="shared" si="51"/>
        <v>43130</v>
      </c>
      <c r="F88" s="110">
        <f t="shared" si="51"/>
        <v>459.69999999999993</v>
      </c>
      <c r="G88" s="110">
        <f t="shared" si="51"/>
        <v>3478.6000000000004</v>
      </c>
      <c r="H88" s="110">
        <f t="shared" si="51"/>
        <v>16533.7</v>
      </c>
      <c r="I88" s="110">
        <f t="shared" si="51"/>
        <v>872.59999999999991</v>
      </c>
      <c r="J88" s="110">
        <f t="shared" si="51"/>
        <v>15748.8</v>
      </c>
      <c r="K88" s="110">
        <f t="shared" si="51"/>
        <v>1475.1999999999998</v>
      </c>
      <c r="L88" s="110">
        <f t="shared" si="51"/>
        <v>52216.599999999991</v>
      </c>
      <c r="M88" s="128"/>
      <c r="N88" s="128"/>
      <c r="O88" s="126"/>
      <c r="P88" s="126"/>
      <c r="Q88" s="126"/>
      <c r="R88" s="126"/>
      <c r="S88" s="126"/>
      <c r="T88" s="126"/>
      <c r="U88" s="126"/>
    </row>
    <row r="89" spans="1:21" ht="28.5" customHeight="1" thickBot="1" x14ac:dyDescent="0.3">
      <c r="A89" s="109" t="s">
        <v>12</v>
      </c>
      <c r="B89" s="111">
        <f>SUM(B65+B68+B71+B74+B77+B80+B83+B86)</f>
        <v>241.49999999999997</v>
      </c>
      <c r="C89" s="111">
        <f t="shared" ref="C89:L89" si="52">SUM(C65+C68+C71+C74+C77+C80+C83+C86)</f>
        <v>1466.7999999999997</v>
      </c>
      <c r="D89" s="111">
        <f t="shared" si="52"/>
        <v>2903.8</v>
      </c>
      <c r="E89" s="111">
        <f t="shared" si="52"/>
        <v>25962.199999999997</v>
      </c>
      <c r="F89" s="111">
        <f t="shared" si="52"/>
        <v>265.59999999999997</v>
      </c>
      <c r="G89" s="111">
        <f t="shared" si="52"/>
        <v>2098.4</v>
      </c>
      <c r="H89" s="111">
        <f t="shared" si="52"/>
        <v>8567.5</v>
      </c>
      <c r="I89" s="111">
        <f t="shared" si="52"/>
        <v>441.49999999999994</v>
      </c>
      <c r="J89" s="111">
        <f t="shared" si="52"/>
        <v>8567.5</v>
      </c>
      <c r="K89" s="111">
        <f t="shared" si="52"/>
        <v>779.50000000000011</v>
      </c>
      <c r="L89" s="111">
        <f t="shared" si="52"/>
        <v>30748.399999999994</v>
      </c>
      <c r="M89" s="128"/>
      <c r="N89" s="127">
        <f t="shared" si="45"/>
        <v>0</v>
      </c>
      <c r="O89" s="126"/>
      <c r="P89" s="126"/>
      <c r="Q89" s="126"/>
      <c r="R89" s="126"/>
      <c r="S89" s="126"/>
      <c r="T89" s="126"/>
      <c r="U89" s="126"/>
    </row>
    <row r="90" spans="1:21" ht="28.5" customHeight="1" thickBot="1" x14ac:dyDescent="0.3">
      <c r="A90" s="109" t="s">
        <v>13</v>
      </c>
      <c r="B90" s="111">
        <f>SUM(B66+B69+B72+B75+B78+B81+B84+B87)</f>
        <v>279.90000000000003</v>
      </c>
      <c r="C90" s="111">
        <f t="shared" ref="C90:L90" si="53">SUM(C66+C69+C72+C75+C78+C81+C84+C87)</f>
        <v>1793.3999999999999</v>
      </c>
      <c r="D90" s="111">
        <f t="shared" si="53"/>
        <v>1809.2</v>
      </c>
      <c r="E90" s="111">
        <f t="shared" si="53"/>
        <v>17167.8</v>
      </c>
      <c r="F90" s="111">
        <f t="shared" si="53"/>
        <v>194.1</v>
      </c>
      <c r="G90" s="111">
        <f t="shared" si="53"/>
        <v>1380.2</v>
      </c>
      <c r="H90" s="111">
        <f t="shared" si="53"/>
        <v>7966.2</v>
      </c>
      <c r="I90" s="111">
        <f t="shared" si="53"/>
        <v>431.09999999999997</v>
      </c>
      <c r="J90" s="111">
        <f t="shared" si="53"/>
        <v>7181.2999999999993</v>
      </c>
      <c r="K90" s="111">
        <f t="shared" si="53"/>
        <v>695.69999999999982</v>
      </c>
      <c r="L90" s="111">
        <f t="shared" si="53"/>
        <v>21468.2</v>
      </c>
      <c r="M90" s="128"/>
      <c r="N90" s="127">
        <f t="shared" si="45"/>
        <v>784.90000000000055</v>
      </c>
      <c r="O90" s="126"/>
      <c r="P90" s="126"/>
      <c r="Q90" s="126"/>
      <c r="R90" s="126"/>
      <c r="S90" s="126"/>
      <c r="T90" s="126"/>
      <c r="U90" s="126"/>
    </row>
    <row r="91" spans="1:21" ht="25.5" customHeight="1" thickBot="1" x14ac:dyDescent="0.3">
      <c r="A91" s="113" t="s">
        <v>20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29"/>
      <c r="M91" s="128"/>
      <c r="N91" s="128"/>
      <c r="O91" s="126"/>
      <c r="P91" s="126"/>
      <c r="Q91" s="126"/>
      <c r="R91" s="126"/>
      <c r="S91" s="126"/>
      <c r="T91" s="126"/>
      <c r="U91" s="126"/>
    </row>
    <row r="92" spans="1:21" ht="45" customHeight="1" thickBot="1" x14ac:dyDescent="0.3">
      <c r="A92" s="103" t="s">
        <v>21</v>
      </c>
      <c r="B92" s="104">
        <f t="shared" ref="B92:K92" si="54">SUM(B93:B94)</f>
        <v>56.5</v>
      </c>
      <c r="C92" s="105">
        <f t="shared" si="54"/>
        <v>353.5</v>
      </c>
      <c r="D92" s="104">
        <f t="shared" si="54"/>
        <v>303</v>
      </c>
      <c r="E92" s="104">
        <f t="shared" si="54"/>
        <v>1862</v>
      </c>
      <c r="F92" s="104">
        <f t="shared" si="54"/>
        <v>7</v>
      </c>
      <c r="G92" s="104">
        <f t="shared" si="54"/>
        <v>43.2</v>
      </c>
      <c r="H92" s="104">
        <f t="shared" si="54"/>
        <v>1174.5</v>
      </c>
      <c r="I92" s="104">
        <f t="shared" si="54"/>
        <v>50.400000000000006</v>
      </c>
      <c r="J92" s="104">
        <f t="shared" si="54"/>
        <v>1174.5</v>
      </c>
      <c r="K92" s="104">
        <f t="shared" si="54"/>
        <v>96.1</v>
      </c>
      <c r="L92" s="104">
        <f t="shared" ref="L92:L100" si="55">SUM(C92,E92,G92,I92,K92)</f>
        <v>2405.1999999999998</v>
      </c>
      <c r="M92" s="126"/>
      <c r="N92" s="126"/>
      <c r="O92" s="126"/>
      <c r="P92" s="126"/>
      <c r="Q92" s="126"/>
      <c r="R92" s="126"/>
      <c r="S92" s="126"/>
      <c r="T92" s="126"/>
      <c r="U92" s="126"/>
    </row>
    <row r="93" spans="1:21" ht="20.25" customHeight="1" thickBot="1" x14ac:dyDescent="0.3">
      <c r="A93" s="107" t="s">
        <v>12</v>
      </c>
      <c r="B93" s="106">
        <v>25.6</v>
      </c>
      <c r="C93" s="106">
        <f>ROUNDUP(B93*ТАРИФЫ!$F$21,1)</f>
        <v>155.5</v>
      </c>
      <c r="D93" s="108">
        <v>187.9</v>
      </c>
      <c r="E93" s="108">
        <f>ROUNDUP(D93*ТАРИФЫ!$F$5/1000,1)</f>
        <v>1136.6999999999998</v>
      </c>
      <c r="F93" s="108">
        <v>3.9</v>
      </c>
      <c r="G93" s="108">
        <f>ROUNDUP(F93*ТАРИФЫ!$F$5/1000,1)</f>
        <v>23.6</v>
      </c>
      <c r="H93" s="108">
        <v>608.1</v>
      </c>
      <c r="I93" s="108">
        <f>ROUNDUP(H93*ТАРИФЫ!$F$10/1000,1)</f>
        <v>25.6</v>
      </c>
      <c r="J93" s="108">
        <v>608.1</v>
      </c>
      <c r="K93" s="108">
        <f>ROUND(J93*ТАРИФЫ!$F$15/1000,1)</f>
        <v>48.9</v>
      </c>
      <c r="L93" s="104">
        <f t="shared" si="55"/>
        <v>1390.2999999999997</v>
      </c>
      <c r="M93" s="126" t="s">
        <v>107</v>
      </c>
      <c r="N93" s="127">
        <f t="shared" ref="N93:N94" si="56">H93-J93</f>
        <v>0</v>
      </c>
      <c r="O93" s="126"/>
      <c r="P93" s="126"/>
      <c r="Q93" s="126"/>
      <c r="R93" s="126"/>
      <c r="S93" s="126"/>
      <c r="T93" s="126"/>
      <c r="U93" s="126"/>
    </row>
    <row r="94" spans="1:21" ht="20.25" customHeight="1" thickBot="1" x14ac:dyDescent="0.3">
      <c r="A94" s="107" t="s">
        <v>13</v>
      </c>
      <c r="B94" s="106">
        <v>30.9</v>
      </c>
      <c r="C94" s="106">
        <f>ROUNDUP(B94*ТАРИФЫ!$G$21,1)</f>
        <v>198</v>
      </c>
      <c r="D94" s="108">
        <v>115.1</v>
      </c>
      <c r="E94" s="108">
        <f>ROUNDUP(D94*ТАРИФЫ!$G$5/1000,1)</f>
        <v>725.30000000000007</v>
      </c>
      <c r="F94" s="108">
        <v>3.1</v>
      </c>
      <c r="G94" s="108">
        <f>ROUNDUP(F94*ТАРИФЫ!$G$5/1000,1)</f>
        <v>19.600000000000001</v>
      </c>
      <c r="H94" s="108">
        <v>566.4</v>
      </c>
      <c r="I94" s="108">
        <f>ROUNDUP(H94*ТАРИФЫ!$G$10/1000,1)</f>
        <v>24.8</v>
      </c>
      <c r="J94" s="108">
        <v>566.4</v>
      </c>
      <c r="K94" s="108">
        <f>ROUND(J94*ТАРИФЫ!$G$15/1000,1)</f>
        <v>47.2</v>
      </c>
      <c r="L94" s="104">
        <f t="shared" si="55"/>
        <v>1014.9000000000001</v>
      </c>
      <c r="M94" s="126" t="s">
        <v>107</v>
      </c>
      <c r="N94" s="127">
        <f t="shared" si="56"/>
        <v>0</v>
      </c>
      <c r="O94" s="126"/>
      <c r="P94" s="126"/>
      <c r="Q94" s="126"/>
      <c r="R94" s="126"/>
      <c r="S94" s="126"/>
      <c r="T94" s="126"/>
      <c r="U94" s="126"/>
    </row>
    <row r="95" spans="1:21" ht="38.25" customHeight="1" thickBot="1" x14ac:dyDescent="0.3">
      <c r="A95" s="103" t="s">
        <v>70</v>
      </c>
      <c r="B95" s="104">
        <f t="shared" ref="B95:K95" si="57">SUM(B96:B97)</f>
        <v>23.1</v>
      </c>
      <c r="C95" s="105">
        <f t="shared" si="57"/>
        <v>143.9</v>
      </c>
      <c r="D95" s="104">
        <f t="shared" si="57"/>
        <v>129.80000000000001</v>
      </c>
      <c r="E95" s="104">
        <f t="shared" si="57"/>
        <v>1577.8</v>
      </c>
      <c r="F95" s="104">
        <f t="shared" si="57"/>
        <v>0.79999999999999993</v>
      </c>
      <c r="G95" s="104">
        <f t="shared" si="57"/>
        <v>10</v>
      </c>
      <c r="H95" s="104">
        <f t="shared" si="57"/>
        <v>71.5</v>
      </c>
      <c r="I95" s="104">
        <f t="shared" si="57"/>
        <v>5.6</v>
      </c>
      <c r="J95" s="104">
        <f t="shared" si="57"/>
        <v>71.5</v>
      </c>
      <c r="K95" s="104">
        <f t="shared" si="57"/>
        <v>8.6999999999999993</v>
      </c>
      <c r="L95" s="104">
        <f t="shared" si="55"/>
        <v>1746</v>
      </c>
      <c r="M95" s="126"/>
      <c r="N95" s="126"/>
      <c r="O95" s="126"/>
      <c r="P95" s="126"/>
      <c r="Q95" s="126"/>
      <c r="R95" s="126"/>
      <c r="S95" s="126"/>
      <c r="T95" s="126"/>
      <c r="U95" s="126"/>
    </row>
    <row r="96" spans="1:21" ht="20.100000000000001" customHeight="1" thickBot="1" x14ac:dyDescent="0.3">
      <c r="A96" s="107" t="s">
        <v>12</v>
      </c>
      <c r="B96" s="106">
        <v>12.5</v>
      </c>
      <c r="C96" s="106">
        <f>ROUNDUP(B96*ТАРИФЫ!$F$24,1)</f>
        <v>75.900000000000006</v>
      </c>
      <c r="D96" s="108">
        <v>78.599999999999994</v>
      </c>
      <c r="E96" s="108">
        <f>ROUNDUP(D96*ТАРИФЫ!$F$8/1000,1)</f>
        <v>935.4</v>
      </c>
      <c r="F96" s="108">
        <v>0.1</v>
      </c>
      <c r="G96" s="108">
        <f>ROUNDUP(F96*ТАРИФЫ!$F$8/1000,1)</f>
        <v>1.2000000000000002</v>
      </c>
      <c r="H96" s="108">
        <v>37.799999999999997</v>
      </c>
      <c r="I96" s="108">
        <f>ROUNDUP(H96*ТАРИФЫ!$F$13/1000,1)</f>
        <v>2.9</v>
      </c>
      <c r="J96" s="108">
        <f t="shared" ref="J96:J97" si="58">H96</f>
        <v>37.799999999999997</v>
      </c>
      <c r="K96" s="108">
        <f>ROUNDUP(J96*ТАРИФЫ!$F$19/1000,1)</f>
        <v>4.5</v>
      </c>
      <c r="L96" s="104">
        <f t="shared" si="55"/>
        <v>1019.9</v>
      </c>
      <c r="M96" t="s">
        <v>109</v>
      </c>
      <c r="N96" s="39">
        <f t="shared" ref="N96:N97" si="59">H96-J96</f>
        <v>0</v>
      </c>
    </row>
    <row r="97" spans="1:14" ht="20.100000000000001" customHeight="1" thickBot="1" x14ac:dyDescent="0.3">
      <c r="A97" s="107" t="s">
        <v>13</v>
      </c>
      <c r="B97" s="106">
        <v>10.6</v>
      </c>
      <c r="C97" s="106">
        <f>ROUNDUP(B97*ТАРИФЫ!$G$24,1)</f>
        <v>68</v>
      </c>
      <c r="D97" s="108">
        <v>51.2</v>
      </c>
      <c r="E97" s="108">
        <f>ROUNDUP(D97*ТАРИФЫ!$G$8/1000,1)</f>
        <v>642.4</v>
      </c>
      <c r="F97" s="108">
        <v>0.7</v>
      </c>
      <c r="G97" s="108">
        <f>ROUNDUP(F97*ТАРИФЫ!$G$8/1000,1)</f>
        <v>8.7999999999999989</v>
      </c>
      <c r="H97" s="108">
        <v>33.700000000000003</v>
      </c>
      <c r="I97" s="108">
        <f>ROUNDUP(H97*ТАРИФЫ!$G$13/1000,1)</f>
        <v>2.7</v>
      </c>
      <c r="J97" s="108">
        <f t="shared" si="58"/>
        <v>33.700000000000003</v>
      </c>
      <c r="K97" s="108">
        <f>ROUNDUP(J97*ТАРИФЫ!$G$19/1000,1)</f>
        <v>4.1999999999999993</v>
      </c>
      <c r="L97" s="104">
        <f t="shared" si="55"/>
        <v>726.1</v>
      </c>
      <c r="M97" t="s">
        <v>109</v>
      </c>
      <c r="N97" s="39">
        <f t="shared" si="59"/>
        <v>0</v>
      </c>
    </row>
    <row r="98" spans="1:14" ht="45" customHeight="1" thickBot="1" x14ac:dyDescent="0.3">
      <c r="A98" s="103" t="s">
        <v>27</v>
      </c>
      <c r="B98" s="104">
        <f t="shared" ref="B98:K98" si="60">SUM(B99:B100)</f>
        <v>11.4</v>
      </c>
      <c r="C98" s="105">
        <f t="shared" si="60"/>
        <v>71.7</v>
      </c>
      <c r="D98" s="104">
        <f t="shared" si="60"/>
        <v>181.39999999999998</v>
      </c>
      <c r="E98" s="104">
        <f t="shared" si="60"/>
        <v>1483.3000000000002</v>
      </c>
      <c r="F98" s="104">
        <f t="shared" si="60"/>
        <v>3.4000000000000004</v>
      </c>
      <c r="G98" s="104">
        <f t="shared" si="60"/>
        <v>35.900000000000006</v>
      </c>
      <c r="H98" s="104">
        <f t="shared" si="60"/>
        <v>188.9</v>
      </c>
      <c r="I98" s="104">
        <f t="shared" si="60"/>
        <v>12.799999999999999</v>
      </c>
      <c r="J98" s="104">
        <f t="shared" si="60"/>
        <v>188.9</v>
      </c>
      <c r="K98" s="104">
        <f t="shared" si="60"/>
        <v>20</v>
      </c>
      <c r="L98" s="104">
        <f t="shared" si="55"/>
        <v>1623.7000000000003</v>
      </c>
    </row>
    <row r="99" spans="1:14" ht="20.100000000000001" customHeight="1" thickBot="1" x14ac:dyDescent="0.3">
      <c r="A99" s="103" t="s">
        <v>12</v>
      </c>
      <c r="B99" s="105">
        <f t="shared" ref="B99:K99" si="61">SUM(B103+B106+B109+B112)</f>
        <v>5</v>
      </c>
      <c r="C99" s="105">
        <f t="shared" si="61"/>
        <v>30.6</v>
      </c>
      <c r="D99" s="105">
        <f t="shared" si="61"/>
        <v>107.39999999999999</v>
      </c>
      <c r="E99" s="105">
        <f t="shared" si="61"/>
        <v>865.10000000000014</v>
      </c>
      <c r="F99" s="105">
        <f t="shared" si="61"/>
        <v>1.7000000000000002</v>
      </c>
      <c r="G99" s="105">
        <f t="shared" si="61"/>
        <v>17.5</v>
      </c>
      <c r="H99" s="105">
        <f t="shared" si="61"/>
        <v>95.8</v>
      </c>
      <c r="I99" s="105">
        <f t="shared" si="61"/>
        <v>6.3</v>
      </c>
      <c r="J99" s="105">
        <f t="shared" si="61"/>
        <v>95.8</v>
      </c>
      <c r="K99" s="105">
        <f t="shared" si="61"/>
        <v>9.9</v>
      </c>
      <c r="L99" s="104">
        <f t="shared" si="55"/>
        <v>929.40000000000009</v>
      </c>
      <c r="N99" s="39">
        <f t="shared" ref="N99:N100" si="62">H99-J99</f>
        <v>0</v>
      </c>
    </row>
    <row r="100" spans="1:14" ht="20.100000000000001" customHeight="1" thickBot="1" x14ac:dyDescent="0.3">
      <c r="A100" s="103" t="s">
        <v>13</v>
      </c>
      <c r="B100" s="105">
        <f t="shared" ref="B100:K100" si="63">SUM(B104+B107+B110+B113)</f>
        <v>6.4</v>
      </c>
      <c r="C100" s="120">
        <f t="shared" si="63"/>
        <v>41.1</v>
      </c>
      <c r="D100" s="105">
        <f t="shared" si="63"/>
        <v>74</v>
      </c>
      <c r="E100" s="120">
        <f t="shared" si="63"/>
        <v>618.20000000000005</v>
      </c>
      <c r="F100" s="105">
        <f t="shared" si="63"/>
        <v>1.7000000000000002</v>
      </c>
      <c r="G100" s="120">
        <f t="shared" si="63"/>
        <v>18.400000000000002</v>
      </c>
      <c r="H100" s="105">
        <f t="shared" si="63"/>
        <v>93.100000000000009</v>
      </c>
      <c r="I100" s="120">
        <f t="shared" si="63"/>
        <v>6.4999999999999991</v>
      </c>
      <c r="J100" s="105">
        <f t="shared" si="63"/>
        <v>93.100000000000009</v>
      </c>
      <c r="K100" s="105">
        <f t="shared" si="63"/>
        <v>10.1</v>
      </c>
      <c r="L100" s="104">
        <f t="shared" si="55"/>
        <v>694.30000000000007</v>
      </c>
      <c r="N100" s="39">
        <f t="shared" si="62"/>
        <v>0</v>
      </c>
    </row>
    <row r="101" spans="1:14" ht="18" customHeight="1" thickBot="1" x14ac:dyDescent="0.3">
      <c r="A101" s="113" t="s">
        <v>19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5"/>
    </row>
    <row r="102" spans="1:14" ht="45" customHeight="1" thickBot="1" x14ac:dyDescent="0.3">
      <c r="A102" s="103" t="s">
        <v>71</v>
      </c>
      <c r="B102" s="104">
        <f t="shared" ref="B102:K102" si="64">SUM(B103:B104)</f>
        <v>8.6999999999999993</v>
      </c>
      <c r="C102" s="105">
        <f t="shared" si="64"/>
        <v>54.5</v>
      </c>
      <c r="D102" s="104">
        <f t="shared" si="64"/>
        <v>121.19999999999999</v>
      </c>
      <c r="E102" s="104">
        <f t="shared" si="64"/>
        <v>745.90000000000009</v>
      </c>
      <c r="F102" s="104">
        <f t="shared" si="64"/>
        <v>1</v>
      </c>
      <c r="G102" s="104">
        <f t="shared" si="64"/>
        <v>6.3000000000000007</v>
      </c>
      <c r="H102" s="104">
        <f t="shared" si="64"/>
        <v>50.6</v>
      </c>
      <c r="I102" s="104">
        <f t="shared" si="64"/>
        <v>2.2000000000000002</v>
      </c>
      <c r="J102" s="104">
        <f t="shared" si="64"/>
        <v>50.6</v>
      </c>
      <c r="K102" s="104">
        <f t="shared" si="64"/>
        <v>4.2</v>
      </c>
      <c r="L102" s="104">
        <f t="shared" ref="L102:L116" si="65">SUM(C102,E102,G102,I102,K102)</f>
        <v>813.10000000000014</v>
      </c>
    </row>
    <row r="103" spans="1:14" ht="20.100000000000001" customHeight="1" thickBot="1" x14ac:dyDescent="0.3">
      <c r="A103" s="107" t="s">
        <v>12</v>
      </c>
      <c r="B103" s="106">
        <v>3.8</v>
      </c>
      <c r="C103" s="106">
        <f>ROUNDUP(B103*ТАРИФЫ!$F$21,1)</f>
        <v>23.1</v>
      </c>
      <c r="D103" s="108">
        <v>71.3</v>
      </c>
      <c r="E103" s="108">
        <f>ROUNDUP(D103*ТАРИФЫ!$F$5/1000,1)</f>
        <v>431.40000000000003</v>
      </c>
      <c r="F103" s="108">
        <v>0.5</v>
      </c>
      <c r="G103" s="108">
        <f>ROUNDUP(F103*ТАРИФЫ!$F$5/1000,1)</f>
        <v>3.1</v>
      </c>
      <c r="H103" s="108">
        <v>26</v>
      </c>
      <c r="I103" s="108">
        <f>ROUNDUP(H103*ТАРИФЫ!$F$10/1000,1)</f>
        <v>1.1000000000000001</v>
      </c>
      <c r="J103" s="108">
        <v>26</v>
      </c>
      <c r="K103" s="108">
        <f>ROUND(J103*ТАРИФЫ!$F$15/1000,1)</f>
        <v>2.1</v>
      </c>
      <c r="L103" s="104">
        <f t="shared" si="65"/>
        <v>460.80000000000013</v>
      </c>
      <c r="M103" t="s">
        <v>107</v>
      </c>
      <c r="N103" s="39">
        <f t="shared" ref="N103:N104" si="66">H103-J103</f>
        <v>0</v>
      </c>
    </row>
    <row r="104" spans="1:14" ht="20.100000000000001" customHeight="1" thickBot="1" x14ac:dyDescent="0.3">
      <c r="A104" s="32" t="s">
        <v>13</v>
      </c>
      <c r="B104" s="34">
        <v>4.9000000000000004</v>
      </c>
      <c r="C104" s="34">
        <f>ROUNDUP(B104*ТАРИФЫ!$G$21,1)</f>
        <v>31.400000000000002</v>
      </c>
      <c r="D104" s="33">
        <v>49.9</v>
      </c>
      <c r="E104" s="33">
        <f>ROUNDUP(D104*ТАРИФЫ!$G$5/1000,1)</f>
        <v>314.5</v>
      </c>
      <c r="F104" s="33">
        <v>0.5</v>
      </c>
      <c r="G104" s="33">
        <f>ROUNDUP(F104*ТАРИФЫ!$G$5/1000,1)</f>
        <v>3.2</v>
      </c>
      <c r="H104" s="33">
        <v>24.6</v>
      </c>
      <c r="I104" s="33">
        <f>ROUND(H104*ТАРИФЫ!$G$10/1000,1)</f>
        <v>1.1000000000000001</v>
      </c>
      <c r="J104" s="33">
        <v>24.6</v>
      </c>
      <c r="K104" s="33">
        <f>ROUND(J104*ТАРИФЫ!$G$15/1000,1)</f>
        <v>2.1</v>
      </c>
      <c r="L104" s="30">
        <f t="shared" si="65"/>
        <v>352.3</v>
      </c>
      <c r="M104" t="s">
        <v>107</v>
      </c>
      <c r="N104" s="39">
        <f t="shared" si="66"/>
        <v>0</v>
      </c>
    </row>
    <row r="105" spans="1:14" ht="45" customHeight="1" thickBot="1" x14ac:dyDescent="0.3">
      <c r="A105" s="103" t="s">
        <v>59</v>
      </c>
      <c r="B105" s="104">
        <f t="shared" ref="B105:K105" si="67">SUM(B106:B107)</f>
        <v>2.1</v>
      </c>
      <c r="C105" s="105">
        <f t="shared" si="67"/>
        <v>13.2</v>
      </c>
      <c r="D105" s="104">
        <f t="shared" si="67"/>
        <v>37.6</v>
      </c>
      <c r="E105" s="104">
        <f t="shared" si="67"/>
        <v>456.90000000000003</v>
      </c>
      <c r="F105" s="104">
        <f t="shared" si="67"/>
        <v>2.2000000000000002</v>
      </c>
      <c r="G105" s="104">
        <f t="shared" si="67"/>
        <v>27</v>
      </c>
      <c r="H105" s="104">
        <f t="shared" si="67"/>
        <v>115.4</v>
      </c>
      <c r="I105" s="104">
        <f t="shared" si="67"/>
        <v>9</v>
      </c>
      <c r="J105" s="104">
        <f t="shared" si="67"/>
        <v>115.4</v>
      </c>
      <c r="K105" s="104">
        <f t="shared" si="67"/>
        <v>14.099999999999998</v>
      </c>
      <c r="L105" s="104">
        <f t="shared" si="65"/>
        <v>520.20000000000005</v>
      </c>
    </row>
    <row r="106" spans="1:14" ht="20.100000000000001" customHeight="1" thickBot="1" x14ac:dyDescent="0.3">
      <c r="A106" s="107" t="s">
        <v>12</v>
      </c>
      <c r="B106" s="106">
        <v>0.9</v>
      </c>
      <c r="C106" s="34">
        <f>ROUNDUP(B106*ТАРИФЫ!$F$24,1)</f>
        <v>5.5</v>
      </c>
      <c r="D106" s="108">
        <v>23</v>
      </c>
      <c r="E106" s="33">
        <f>ROUNDUP(D106*ТАРИФЫ!$F$8/1000,1)</f>
        <v>273.70000000000005</v>
      </c>
      <c r="F106" s="108">
        <v>1.1000000000000001</v>
      </c>
      <c r="G106" s="33">
        <f>ROUNDUP(F106*ТАРИФЫ!$F$8/1000,1)</f>
        <v>13.1</v>
      </c>
      <c r="H106" s="108">
        <v>58</v>
      </c>
      <c r="I106" s="33">
        <f>ROUNDUP(H106*ТАРИФЫ!$F$13/1000,1)</f>
        <v>4.3999999999999995</v>
      </c>
      <c r="J106" s="108">
        <f t="shared" ref="J106:J107" si="68">H106</f>
        <v>58</v>
      </c>
      <c r="K106" s="33">
        <f>ROUNDUP(J106*ТАРИФЫ!$F$19/1000,1)</f>
        <v>6.8999999999999995</v>
      </c>
      <c r="L106" s="104">
        <f t="shared" si="65"/>
        <v>303.60000000000002</v>
      </c>
      <c r="M106" t="s">
        <v>109</v>
      </c>
      <c r="N106" s="39">
        <f t="shared" ref="N106:N107" si="69">H106-J106</f>
        <v>0</v>
      </c>
    </row>
    <row r="107" spans="1:14" ht="20.100000000000001" customHeight="1" thickBot="1" x14ac:dyDescent="0.3">
      <c r="A107" s="107" t="s">
        <v>13</v>
      </c>
      <c r="B107" s="106">
        <v>1.2</v>
      </c>
      <c r="C107" s="34">
        <f>ROUNDUP(B107*ТАРИФЫ!$G$24,1)</f>
        <v>7.6999999999999993</v>
      </c>
      <c r="D107" s="108">
        <v>14.6</v>
      </c>
      <c r="E107" s="33">
        <f>ROUNDUP(D107*ТАРИФЫ!$G$8/1000,1)</f>
        <v>183.2</v>
      </c>
      <c r="F107" s="108">
        <v>1.1000000000000001</v>
      </c>
      <c r="G107" s="33">
        <f>ROUNDUP(F107*ТАРИФЫ!$G$8/1000,1)</f>
        <v>13.9</v>
      </c>
      <c r="H107" s="108">
        <v>57.4</v>
      </c>
      <c r="I107" s="33">
        <f>ROUNDUP(H107*ТАРИФЫ!$G$13/1000,1)</f>
        <v>4.5999999999999996</v>
      </c>
      <c r="J107" s="108">
        <f t="shared" si="68"/>
        <v>57.4</v>
      </c>
      <c r="K107" s="33">
        <f>ROUNDUP(J107*ТАРИФЫ!$G$19/1000,1)</f>
        <v>7.1999999999999993</v>
      </c>
      <c r="L107" s="104">
        <f t="shared" si="65"/>
        <v>216.59999999999997</v>
      </c>
      <c r="M107" t="s">
        <v>109</v>
      </c>
      <c r="N107" s="39">
        <f t="shared" si="69"/>
        <v>0</v>
      </c>
    </row>
    <row r="108" spans="1:14" ht="45" customHeight="1" thickBot="1" x14ac:dyDescent="0.3">
      <c r="A108" s="103" t="s">
        <v>60</v>
      </c>
      <c r="B108" s="104">
        <f t="shared" ref="B108:K108" si="70">SUM(B109:B110)</f>
        <v>0.4</v>
      </c>
      <c r="C108" s="105">
        <f t="shared" si="70"/>
        <v>2.6</v>
      </c>
      <c r="D108" s="104">
        <f t="shared" si="70"/>
        <v>13.6</v>
      </c>
      <c r="E108" s="104">
        <f t="shared" si="70"/>
        <v>168.2</v>
      </c>
      <c r="F108" s="104">
        <f t="shared" si="70"/>
        <v>0</v>
      </c>
      <c r="G108" s="104">
        <f t="shared" si="70"/>
        <v>0</v>
      </c>
      <c r="H108" s="104">
        <f t="shared" si="70"/>
        <v>15</v>
      </c>
      <c r="I108" s="104">
        <f t="shared" si="70"/>
        <v>1.2</v>
      </c>
      <c r="J108" s="104">
        <f t="shared" si="70"/>
        <v>15</v>
      </c>
      <c r="K108" s="104">
        <f t="shared" si="70"/>
        <v>0.6</v>
      </c>
      <c r="L108" s="104">
        <f t="shared" si="65"/>
        <v>172.59999999999997</v>
      </c>
    </row>
    <row r="109" spans="1:14" ht="20.100000000000001" customHeight="1" thickBot="1" x14ac:dyDescent="0.3">
      <c r="A109" s="107" t="s">
        <v>12</v>
      </c>
      <c r="B109" s="106">
        <v>0.2</v>
      </c>
      <c r="C109" s="106">
        <f>ROUNDUP(B109*ТАРИФЫ!$F$22,1)</f>
        <v>1.3</v>
      </c>
      <c r="D109" s="108">
        <v>7.8</v>
      </c>
      <c r="E109" s="108">
        <f>ROUNDUP(D109*ТАРИФЫ!$F$6/1000,1)</f>
        <v>94.8</v>
      </c>
      <c r="F109" s="108">
        <v>0</v>
      </c>
      <c r="G109" s="106">
        <f>MROUND(F109*ТАРИФЫ!$F$6/1000,1)</f>
        <v>0</v>
      </c>
      <c r="H109" s="108">
        <v>7.6</v>
      </c>
      <c r="I109" s="108">
        <f>ROUNDUP(H109*ТАРИФЫ!$F$11/1000,1)</f>
        <v>0.6</v>
      </c>
      <c r="J109" s="108">
        <f t="shared" ref="J109:J110" si="71">H109</f>
        <v>7.6</v>
      </c>
      <c r="K109" s="108">
        <f>ROUND(J109*ТАРИФЫ!$F$16/1000,1)</f>
        <v>0.3</v>
      </c>
      <c r="L109" s="104">
        <f t="shared" si="65"/>
        <v>96.999999999999986</v>
      </c>
      <c r="M109" t="s">
        <v>110</v>
      </c>
      <c r="N109" s="39">
        <f t="shared" ref="N109:N110" si="72">H109-J109</f>
        <v>0</v>
      </c>
    </row>
    <row r="110" spans="1:14" ht="20.100000000000001" customHeight="1" thickBot="1" x14ac:dyDescent="0.3">
      <c r="A110" s="107" t="s">
        <v>13</v>
      </c>
      <c r="B110" s="106">
        <v>0.2</v>
      </c>
      <c r="C110" s="106">
        <f>ROUNDUP(B110*ТАРИФЫ!$G$22,1)</f>
        <v>1.3</v>
      </c>
      <c r="D110" s="108">
        <v>5.8</v>
      </c>
      <c r="E110" s="108">
        <f>ROUNDUP(D110*ТАРИФЫ!$G$6/1000,1)</f>
        <v>73.399999999999991</v>
      </c>
      <c r="F110" s="108">
        <v>0</v>
      </c>
      <c r="G110" s="106">
        <f>MROUND(F110*ТАРИФЫ!$G$6/1000,1)</f>
        <v>0</v>
      </c>
      <c r="H110" s="108">
        <v>7.4</v>
      </c>
      <c r="I110" s="108">
        <f>ROUNDUP(H110*ТАРИФЫ!$G$11/1000,1)</f>
        <v>0.6</v>
      </c>
      <c r="J110" s="108">
        <f t="shared" si="71"/>
        <v>7.4</v>
      </c>
      <c r="K110" s="108">
        <f>ROUND(J110*ТАРИФЫ!$G$16/1000,1)</f>
        <v>0.3</v>
      </c>
      <c r="L110" s="104">
        <f t="shared" si="65"/>
        <v>75.59999999999998</v>
      </c>
      <c r="M110" t="s">
        <v>110</v>
      </c>
      <c r="N110" s="39">
        <f t="shared" si="72"/>
        <v>0</v>
      </c>
    </row>
    <row r="111" spans="1:14" ht="45" customHeight="1" thickBot="1" x14ac:dyDescent="0.3">
      <c r="A111" s="103" t="s">
        <v>73</v>
      </c>
      <c r="B111" s="104">
        <f t="shared" ref="B111:K111" si="73">SUM(B112:B113)</f>
        <v>0.2</v>
      </c>
      <c r="C111" s="105">
        <f t="shared" si="73"/>
        <v>1.4</v>
      </c>
      <c r="D111" s="104">
        <f t="shared" si="73"/>
        <v>9</v>
      </c>
      <c r="E111" s="104">
        <f t="shared" si="73"/>
        <v>112.29999999999998</v>
      </c>
      <c r="F111" s="104">
        <f t="shared" si="73"/>
        <v>0.2</v>
      </c>
      <c r="G111" s="104">
        <f t="shared" si="73"/>
        <v>2.6</v>
      </c>
      <c r="H111" s="104">
        <f t="shared" si="73"/>
        <v>7.9</v>
      </c>
      <c r="I111" s="104">
        <f t="shared" si="73"/>
        <v>0.4</v>
      </c>
      <c r="J111" s="104">
        <f t="shared" si="73"/>
        <v>7.9</v>
      </c>
      <c r="K111" s="104">
        <f t="shared" si="73"/>
        <v>1.1000000000000001</v>
      </c>
      <c r="L111" s="104">
        <f t="shared" si="65"/>
        <v>117.79999999999998</v>
      </c>
    </row>
    <row r="112" spans="1:14" ht="20.100000000000001" customHeight="1" thickBot="1" x14ac:dyDescent="0.3">
      <c r="A112" s="107" t="s">
        <v>12</v>
      </c>
      <c r="B112" s="106">
        <v>0.1</v>
      </c>
      <c r="C112" s="106">
        <f>ROUNDUP(B112*ТАРИФЫ!$F$23,1)</f>
        <v>0.7</v>
      </c>
      <c r="D112" s="108">
        <v>5.3</v>
      </c>
      <c r="E112" s="106">
        <f>ROUNDUP(D112*ТАРИФЫ!$F$7/1000,1)</f>
        <v>65.199999999999989</v>
      </c>
      <c r="F112" s="108">
        <v>0.1</v>
      </c>
      <c r="G112" s="106">
        <f>ROUNDUP(F112*ТАРИФЫ!$F$7/1000,1)</f>
        <v>1.3</v>
      </c>
      <c r="H112" s="108">
        <v>4.2</v>
      </c>
      <c r="I112" s="106">
        <f>ROUNDUP(H112*ТАРИФЫ!$F$12/1000,1)</f>
        <v>0.2</v>
      </c>
      <c r="J112" s="108">
        <f t="shared" ref="J112:J113" si="74">H112</f>
        <v>4.2</v>
      </c>
      <c r="K112" s="106">
        <f>ROUNDUP(J112*ТАРИФЫ!$F$17/1000,1)</f>
        <v>0.6</v>
      </c>
      <c r="L112" s="104">
        <f t="shared" si="65"/>
        <v>67.999999999999986</v>
      </c>
      <c r="M112" t="s">
        <v>111</v>
      </c>
      <c r="N112" s="39">
        <f t="shared" ref="N112:N113" si="75">H112-J112</f>
        <v>0</v>
      </c>
    </row>
    <row r="113" spans="1:14" ht="20.100000000000001" customHeight="1" thickBot="1" x14ac:dyDescent="0.3">
      <c r="A113" s="107" t="s">
        <v>13</v>
      </c>
      <c r="B113" s="106">
        <v>0.1</v>
      </c>
      <c r="C113" s="106">
        <f>ROUNDUP(B113*ТАРИФЫ!$G$23,1)</f>
        <v>0.7</v>
      </c>
      <c r="D113" s="108">
        <v>3.7</v>
      </c>
      <c r="E113" s="106">
        <f>ROUNDUP(D113*ТАРИФЫ!$G$7/1000,1)</f>
        <v>47.1</v>
      </c>
      <c r="F113" s="108">
        <v>0.1</v>
      </c>
      <c r="G113" s="106">
        <f>ROUNDUP(F113*ТАРИФЫ!$G$7/1000,1)</f>
        <v>1.3</v>
      </c>
      <c r="H113" s="108">
        <v>3.7</v>
      </c>
      <c r="I113" s="106">
        <f>ROUNDUP(H113*ТАРИФЫ!$G$12/1000,1)</f>
        <v>0.2</v>
      </c>
      <c r="J113" s="108">
        <f t="shared" si="74"/>
        <v>3.7</v>
      </c>
      <c r="K113" s="106">
        <f>ROUNDUP(J113*ТАРИФЫ!$G$17/1000,1)</f>
        <v>0.5</v>
      </c>
      <c r="L113" s="104">
        <f t="shared" si="65"/>
        <v>49.800000000000004</v>
      </c>
      <c r="M113" t="s">
        <v>111</v>
      </c>
      <c r="N113" s="39">
        <f t="shared" si="75"/>
        <v>0</v>
      </c>
    </row>
    <row r="114" spans="1:14" ht="38.25" customHeight="1" thickBot="1" x14ac:dyDescent="0.3">
      <c r="A114" s="109" t="s">
        <v>14</v>
      </c>
      <c r="B114" s="110">
        <f t="shared" ref="B114:K114" si="76">SUM(B115:B116)</f>
        <v>91</v>
      </c>
      <c r="C114" s="111">
        <f t="shared" si="76"/>
        <v>569.1</v>
      </c>
      <c r="D114" s="110">
        <f t="shared" si="76"/>
        <v>614.20000000000005</v>
      </c>
      <c r="E114" s="110">
        <f t="shared" si="76"/>
        <v>4923.1000000000004</v>
      </c>
      <c r="F114" s="110">
        <f t="shared" si="76"/>
        <v>11.2</v>
      </c>
      <c r="G114" s="110">
        <f t="shared" si="76"/>
        <v>89.1</v>
      </c>
      <c r="H114" s="110">
        <f t="shared" si="76"/>
        <v>1434.9</v>
      </c>
      <c r="I114" s="110">
        <f t="shared" si="76"/>
        <v>68.8</v>
      </c>
      <c r="J114" s="110">
        <f t="shared" si="76"/>
        <v>1434.9</v>
      </c>
      <c r="K114" s="110">
        <f t="shared" si="76"/>
        <v>124.80000000000001</v>
      </c>
      <c r="L114" s="110">
        <f t="shared" si="65"/>
        <v>5774.9000000000015</v>
      </c>
    </row>
    <row r="115" spans="1:14" ht="20.25" customHeight="1" thickBot="1" x14ac:dyDescent="0.3">
      <c r="A115" s="109" t="s">
        <v>12</v>
      </c>
      <c r="B115" s="111">
        <f t="shared" ref="B115:K115" si="77">SUM(B93+B96+B99)</f>
        <v>43.1</v>
      </c>
      <c r="C115" s="111">
        <f t="shared" si="77"/>
        <v>262</v>
      </c>
      <c r="D115" s="111">
        <f t="shared" si="77"/>
        <v>373.9</v>
      </c>
      <c r="E115" s="111">
        <f t="shared" si="77"/>
        <v>2937.2</v>
      </c>
      <c r="F115" s="111">
        <f t="shared" si="77"/>
        <v>5.7</v>
      </c>
      <c r="G115" s="111">
        <f t="shared" si="77"/>
        <v>42.3</v>
      </c>
      <c r="H115" s="111">
        <f t="shared" si="77"/>
        <v>741.69999999999993</v>
      </c>
      <c r="I115" s="111">
        <f t="shared" si="77"/>
        <v>34.799999999999997</v>
      </c>
      <c r="J115" s="111">
        <f t="shared" si="77"/>
        <v>741.69999999999993</v>
      </c>
      <c r="K115" s="111">
        <f t="shared" si="77"/>
        <v>63.3</v>
      </c>
      <c r="L115" s="110">
        <f t="shared" si="65"/>
        <v>3339.6000000000004</v>
      </c>
      <c r="N115" s="39">
        <f t="shared" ref="N115:N116" si="78">H115-J115</f>
        <v>0</v>
      </c>
    </row>
    <row r="116" spans="1:14" ht="20.25" customHeight="1" thickBot="1" x14ac:dyDescent="0.3">
      <c r="A116" s="109" t="s">
        <v>13</v>
      </c>
      <c r="B116" s="111">
        <f t="shared" ref="B116:K116" si="79">SUM(B94+B97+B100)</f>
        <v>47.9</v>
      </c>
      <c r="C116" s="112">
        <f t="shared" si="79"/>
        <v>307.10000000000002</v>
      </c>
      <c r="D116" s="111">
        <f t="shared" si="79"/>
        <v>240.3</v>
      </c>
      <c r="E116" s="112">
        <f t="shared" si="79"/>
        <v>1985.9</v>
      </c>
      <c r="F116" s="111">
        <f t="shared" si="79"/>
        <v>5.5</v>
      </c>
      <c r="G116" s="112">
        <f t="shared" si="79"/>
        <v>46.8</v>
      </c>
      <c r="H116" s="111">
        <f t="shared" si="79"/>
        <v>693.2</v>
      </c>
      <c r="I116" s="112">
        <f t="shared" si="79"/>
        <v>34</v>
      </c>
      <c r="J116" s="111">
        <f t="shared" si="79"/>
        <v>693.2</v>
      </c>
      <c r="K116" s="111">
        <f t="shared" si="79"/>
        <v>61.500000000000007</v>
      </c>
      <c r="L116" s="110">
        <f t="shared" si="65"/>
        <v>2435.3000000000002</v>
      </c>
      <c r="N116" s="39">
        <f t="shared" si="78"/>
        <v>0</v>
      </c>
    </row>
    <row r="117" spans="1:14" ht="27.75" customHeight="1" thickBot="1" x14ac:dyDescent="0.3">
      <c r="A117" s="113" t="s">
        <v>74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5"/>
    </row>
    <row r="118" spans="1:14" ht="61.5" customHeight="1" thickBot="1" x14ac:dyDescent="0.3">
      <c r="A118" s="109" t="s">
        <v>14</v>
      </c>
      <c r="B118" s="104">
        <f>B119+B120</f>
        <v>1006.2</v>
      </c>
      <c r="C118" s="104">
        <f t="shared" ref="C118:L118" si="80">C119+C120</f>
        <v>6277.6</v>
      </c>
      <c r="D118" s="104">
        <f t="shared" si="80"/>
        <v>1217.6999999999998</v>
      </c>
      <c r="E118" s="104">
        <f t="shared" si="80"/>
        <v>9216.7999999999993</v>
      </c>
      <c r="F118" s="104">
        <f t="shared" si="80"/>
        <v>462.2</v>
      </c>
      <c r="G118" s="104">
        <f t="shared" si="80"/>
        <v>2854.2999999999997</v>
      </c>
      <c r="H118" s="104">
        <f t="shared" si="80"/>
        <v>11568</v>
      </c>
      <c r="I118" s="104">
        <f t="shared" si="80"/>
        <v>494.9</v>
      </c>
      <c r="J118" s="104">
        <f t="shared" si="80"/>
        <v>11568</v>
      </c>
      <c r="K118" s="104">
        <f t="shared" si="80"/>
        <v>946.2</v>
      </c>
      <c r="L118" s="104">
        <f t="shared" si="80"/>
        <v>19789.8</v>
      </c>
    </row>
    <row r="119" spans="1:14" ht="28.5" customHeight="1" thickBot="1" x14ac:dyDescent="0.3">
      <c r="A119" s="109" t="s">
        <v>12</v>
      </c>
      <c r="B119" s="105">
        <f>B123+B133</f>
        <v>504.20000000000005</v>
      </c>
      <c r="C119" s="105">
        <f t="shared" ref="C119:L119" si="81">C123+C133</f>
        <v>3061.6</v>
      </c>
      <c r="D119" s="105">
        <f t="shared" si="81"/>
        <v>692.3</v>
      </c>
      <c r="E119" s="105">
        <f t="shared" si="81"/>
        <v>5230.1000000000004</v>
      </c>
      <c r="F119" s="105">
        <f t="shared" si="81"/>
        <v>231.1</v>
      </c>
      <c r="G119" s="105">
        <f t="shared" si="81"/>
        <v>1398.1</v>
      </c>
      <c r="H119" s="105">
        <f t="shared" si="81"/>
        <v>6169.6</v>
      </c>
      <c r="I119" s="105">
        <f t="shared" si="81"/>
        <v>259.3</v>
      </c>
      <c r="J119" s="105">
        <f t="shared" si="81"/>
        <v>6169.6</v>
      </c>
      <c r="K119" s="105">
        <f t="shared" si="81"/>
        <v>496</v>
      </c>
      <c r="L119" s="105">
        <f t="shared" si="81"/>
        <v>10445.1</v>
      </c>
      <c r="N119" s="39">
        <f t="shared" ref="N119:N120" si="82">H119-J119</f>
        <v>0</v>
      </c>
    </row>
    <row r="120" spans="1:14" ht="28.5" customHeight="1" thickBot="1" x14ac:dyDescent="0.3">
      <c r="A120" s="109" t="s">
        <v>13</v>
      </c>
      <c r="B120" s="105">
        <f>B124+B134</f>
        <v>502</v>
      </c>
      <c r="C120" s="105">
        <f t="shared" ref="C120:L120" si="83">C124+C134</f>
        <v>3216</v>
      </c>
      <c r="D120" s="105">
        <f t="shared" si="83"/>
        <v>525.4</v>
      </c>
      <c r="E120" s="105">
        <f t="shared" si="83"/>
        <v>3986.7</v>
      </c>
      <c r="F120" s="105">
        <f t="shared" si="83"/>
        <v>231.1</v>
      </c>
      <c r="G120" s="105">
        <f t="shared" si="83"/>
        <v>1456.1999999999998</v>
      </c>
      <c r="H120" s="105">
        <f t="shared" si="83"/>
        <v>5398.4000000000005</v>
      </c>
      <c r="I120" s="105">
        <f t="shared" si="83"/>
        <v>235.6</v>
      </c>
      <c r="J120" s="105">
        <f t="shared" si="83"/>
        <v>5398.4000000000005</v>
      </c>
      <c r="K120" s="105">
        <f t="shared" si="83"/>
        <v>450.2</v>
      </c>
      <c r="L120" s="105">
        <f t="shared" si="83"/>
        <v>9344.6999999999989</v>
      </c>
      <c r="N120" s="39">
        <f t="shared" si="82"/>
        <v>0</v>
      </c>
    </row>
    <row r="121" spans="1:14" ht="20.25" customHeight="1" thickBot="1" x14ac:dyDescent="0.3">
      <c r="A121" s="116" t="s">
        <v>19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8"/>
    </row>
    <row r="122" spans="1:14" ht="45" customHeight="1" thickBot="1" x14ac:dyDescent="0.3">
      <c r="A122" s="103" t="s">
        <v>128</v>
      </c>
      <c r="B122" s="104">
        <f t="shared" ref="B122:K122" si="84">SUM(B123:B124)</f>
        <v>33</v>
      </c>
      <c r="C122" s="105">
        <f t="shared" si="84"/>
        <v>205.7</v>
      </c>
      <c r="D122" s="104">
        <f t="shared" si="84"/>
        <v>467.29999999999995</v>
      </c>
      <c r="E122" s="104">
        <f t="shared" si="84"/>
        <v>4590.3999999999996</v>
      </c>
      <c r="F122" s="104">
        <f t="shared" si="84"/>
        <v>1.4</v>
      </c>
      <c r="G122" s="104">
        <f t="shared" si="84"/>
        <v>8.8000000000000007</v>
      </c>
      <c r="H122" s="104">
        <f t="shared" si="84"/>
        <v>203.39999999999998</v>
      </c>
      <c r="I122" s="104">
        <f t="shared" si="84"/>
        <v>8.9</v>
      </c>
      <c r="J122" s="104">
        <f t="shared" si="84"/>
        <v>203.39999999999998</v>
      </c>
      <c r="K122" s="104">
        <f t="shared" si="84"/>
        <v>17.2</v>
      </c>
      <c r="L122" s="119">
        <f>SUM(C122,E122,G122,I122,K122)</f>
        <v>4830.9999999999991</v>
      </c>
    </row>
    <row r="123" spans="1:14" ht="20.100000000000001" customHeight="1" thickBot="1" x14ac:dyDescent="0.3">
      <c r="A123" s="103" t="s">
        <v>12</v>
      </c>
      <c r="B123" s="105">
        <f>SUM(B127+B130)</f>
        <v>17.600000000000001</v>
      </c>
      <c r="C123" s="105">
        <f>SUM(C127+C130)</f>
        <v>106.89999999999999</v>
      </c>
      <c r="D123" s="125">
        <f t="shared" ref="D123:K123" si="85">SUM(D127+D130)</f>
        <v>287.89999999999998</v>
      </c>
      <c r="E123" s="105">
        <f t="shared" si="85"/>
        <v>2783.8</v>
      </c>
      <c r="F123" s="105">
        <f t="shared" si="85"/>
        <v>0.7</v>
      </c>
      <c r="G123" s="105">
        <f t="shared" si="85"/>
        <v>4.3</v>
      </c>
      <c r="H123" s="105">
        <f t="shared" si="85"/>
        <v>45.8</v>
      </c>
      <c r="I123" s="105">
        <f t="shared" si="85"/>
        <v>2</v>
      </c>
      <c r="J123" s="105">
        <f t="shared" si="85"/>
        <v>45.8</v>
      </c>
      <c r="K123" s="105">
        <f t="shared" si="85"/>
        <v>3.8</v>
      </c>
      <c r="L123" s="104">
        <f>SUM(C123,E123,G123,I123,K123)</f>
        <v>2900.8000000000006</v>
      </c>
      <c r="N123" s="39">
        <f t="shared" ref="N123:N124" si="86">H123-J123</f>
        <v>0</v>
      </c>
    </row>
    <row r="124" spans="1:14" ht="20.100000000000001" customHeight="1" thickBot="1" x14ac:dyDescent="0.3">
      <c r="A124" s="103" t="s">
        <v>13</v>
      </c>
      <c r="B124" s="105">
        <f>SUM(B128+B131)</f>
        <v>15.399999999999999</v>
      </c>
      <c r="C124" s="120">
        <f>SUM(C128+C131)</f>
        <v>98.8</v>
      </c>
      <c r="D124" s="105">
        <f t="shared" ref="D124:K124" si="87">SUM(D128+D131)</f>
        <v>179.39999999999998</v>
      </c>
      <c r="E124" s="105">
        <f t="shared" si="87"/>
        <v>1806.6</v>
      </c>
      <c r="F124" s="105">
        <f t="shared" si="87"/>
        <v>0.7</v>
      </c>
      <c r="G124" s="105">
        <f t="shared" si="87"/>
        <v>4.5</v>
      </c>
      <c r="H124" s="105">
        <f t="shared" si="87"/>
        <v>157.6</v>
      </c>
      <c r="I124" s="105">
        <f t="shared" si="87"/>
        <v>6.9</v>
      </c>
      <c r="J124" s="105">
        <f t="shared" si="87"/>
        <v>157.6</v>
      </c>
      <c r="K124" s="105">
        <f t="shared" si="87"/>
        <v>13.4</v>
      </c>
      <c r="L124" s="104">
        <f>SUM(C124,E124,G124,I124,K124)</f>
        <v>1930.2</v>
      </c>
      <c r="N124" s="39">
        <f t="shared" si="86"/>
        <v>0</v>
      </c>
    </row>
    <row r="125" spans="1:14" ht="18" customHeight="1" thickBot="1" x14ac:dyDescent="0.3">
      <c r="A125" s="113" t="s">
        <v>19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2"/>
    </row>
    <row r="126" spans="1:14" ht="60" customHeight="1" thickBot="1" x14ac:dyDescent="0.3">
      <c r="A126" s="103" t="s">
        <v>61</v>
      </c>
      <c r="B126" s="104">
        <f t="shared" ref="B126:K126" si="88">SUM(B127:B128)</f>
        <v>23</v>
      </c>
      <c r="C126" s="105">
        <f t="shared" si="88"/>
        <v>143.29999999999998</v>
      </c>
      <c r="D126" s="104">
        <f t="shared" si="88"/>
        <v>194.6</v>
      </c>
      <c r="E126" s="104">
        <f t="shared" si="88"/>
        <v>1195.8000000000002</v>
      </c>
      <c r="F126" s="104">
        <f t="shared" si="88"/>
        <v>1.4</v>
      </c>
      <c r="G126" s="104">
        <f t="shared" si="88"/>
        <v>8.8000000000000007</v>
      </c>
      <c r="H126" s="104">
        <f t="shared" si="88"/>
        <v>196</v>
      </c>
      <c r="I126" s="104">
        <f t="shared" si="88"/>
        <v>8.5</v>
      </c>
      <c r="J126" s="104">
        <f t="shared" si="88"/>
        <v>196</v>
      </c>
      <c r="K126" s="104">
        <f t="shared" si="88"/>
        <v>16.2</v>
      </c>
      <c r="L126" s="104">
        <f t="shared" ref="L126:L131" si="89">SUM(C126,E126,G126,I126,K126)</f>
        <v>1372.6000000000001</v>
      </c>
    </row>
    <row r="127" spans="1:14" ht="20.100000000000001" customHeight="1" thickBot="1" x14ac:dyDescent="0.3">
      <c r="A127" s="107" t="s">
        <v>12</v>
      </c>
      <c r="B127" s="106">
        <v>12.3</v>
      </c>
      <c r="C127" s="106">
        <f>ROUNDUP(B127*ТАРИФЫ!$F$21,1)</f>
        <v>74.699999999999989</v>
      </c>
      <c r="D127" s="108">
        <v>120.8</v>
      </c>
      <c r="E127" s="108">
        <f>ROUNDUP(D127*ТАРИФЫ!$F$5/1000,1)</f>
        <v>730.80000000000007</v>
      </c>
      <c r="F127" s="108">
        <v>0.7</v>
      </c>
      <c r="G127" s="108">
        <f>ROUNDUP(F127*ТАРИФЫ!$F$5/1000,1)</f>
        <v>4.3</v>
      </c>
      <c r="H127" s="108">
        <v>42.5</v>
      </c>
      <c r="I127" s="108">
        <f>ROUNDUP(H127*ТАРИФЫ!$F$10/1000,1)</f>
        <v>1.8</v>
      </c>
      <c r="J127" s="108">
        <v>42.5</v>
      </c>
      <c r="K127" s="108">
        <f>ROUND(J127*ТАРИФЫ!$F$15/1000,1)</f>
        <v>3.4</v>
      </c>
      <c r="L127" s="104">
        <f t="shared" si="89"/>
        <v>814.99999999999989</v>
      </c>
      <c r="M127" t="s">
        <v>107</v>
      </c>
      <c r="N127" s="39">
        <f t="shared" ref="N127:N128" si="90">H127-J127</f>
        <v>0</v>
      </c>
    </row>
    <row r="128" spans="1:14" ht="20.100000000000001" customHeight="1" thickBot="1" x14ac:dyDescent="0.3">
      <c r="A128" s="32" t="s">
        <v>13</v>
      </c>
      <c r="B128" s="34">
        <v>10.7</v>
      </c>
      <c r="C128" s="34">
        <f>ROUNDUP(B128*ТАРИФЫ!$G$21,1)</f>
        <v>68.599999999999994</v>
      </c>
      <c r="D128" s="33">
        <v>73.8</v>
      </c>
      <c r="E128" s="33">
        <f>ROUNDUP(D128*ТАРИФЫ!$G$5/1000,1)</f>
        <v>465</v>
      </c>
      <c r="F128" s="33">
        <v>0.7</v>
      </c>
      <c r="G128" s="33">
        <f>ROUNDUP(F128*ТАРИФЫ!$G$5/1000,1)</f>
        <v>4.5</v>
      </c>
      <c r="H128" s="33">
        <v>153.5</v>
      </c>
      <c r="I128" s="33">
        <f>ROUND(H128*ТАРИФЫ!$G$10/1000,1)</f>
        <v>6.7</v>
      </c>
      <c r="J128" s="33">
        <v>153.5</v>
      </c>
      <c r="K128" s="33">
        <f>ROUND(J128*ТАРИФЫ!$G$15/1000,1)</f>
        <v>12.8</v>
      </c>
      <c r="L128" s="30">
        <f t="shared" si="89"/>
        <v>557.6</v>
      </c>
      <c r="M128" t="s">
        <v>107</v>
      </c>
      <c r="N128" s="39">
        <f t="shared" si="90"/>
        <v>0</v>
      </c>
    </row>
    <row r="129" spans="1:14" ht="45" customHeight="1" thickBot="1" x14ac:dyDescent="0.3">
      <c r="A129" s="123" t="s">
        <v>69</v>
      </c>
      <c r="B129" s="104">
        <f t="shared" ref="B129:K129" si="91">SUM(B130:B131)</f>
        <v>10</v>
      </c>
      <c r="C129" s="105">
        <f t="shared" si="91"/>
        <v>62.400000000000006</v>
      </c>
      <c r="D129" s="104">
        <f t="shared" si="91"/>
        <v>272.7</v>
      </c>
      <c r="E129" s="104">
        <f t="shared" si="91"/>
        <v>3394.6</v>
      </c>
      <c r="F129" s="104">
        <f t="shared" si="91"/>
        <v>0</v>
      </c>
      <c r="G129" s="104">
        <f t="shared" si="91"/>
        <v>0</v>
      </c>
      <c r="H129" s="104">
        <f t="shared" si="91"/>
        <v>7.3999999999999995</v>
      </c>
      <c r="I129" s="104">
        <f t="shared" si="91"/>
        <v>0.4</v>
      </c>
      <c r="J129" s="104">
        <f t="shared" si="91"/>
        <v>7.3999999999999995</v>
      </c>
      <c r="K129" s="104">
        <f t="shared" si="91"/>
        <v>1</v>
      </c>
      <c r="L129" s="104">
        <f t="shared" si="89"/>
        <v>3458.4</v>
      </c>
      <c r="M129" s="27"/>
      <c r="N129" s="28"/>
    </row>
    <row r="130" spans="1:14" ht="20.100000000000001" customHeight="1" thickBot="1" x14ac:dyDescent="0.3">
      <c r="A130" s="107" t="s">
        <v>12</v>
      </c>
      <c r="B130" s="124">
        <v>5.3</v>
      </c>
      <c r="C130" s="106">
        <f>ROUNDUP(B130*ТАРИФЫ!$F$23,1)</f>
        <v>32.200000000000003</v>
      </c>
      <c r="D130" s="108">
        <v>167.1</v>
      </c>
      <c r="E130" s="106">
        <f>ROUNDUP(D130*ТАРИФЫ!$F$7/1000,1)</f>
        <v>2053</v>
      </c>
      <c r="F130" s="108">
        <v>0</v>
      </c>
      <c r="G130" s="106">
        <f>ROUNDUP(F130*ТАРИФЫ!$F$7/1000,1)</f>
        <v>0</v>
      </c>
      <c r="H130" s="108">
        <v>3.3</v>
      </c>
      <c r="I130" s="106">
        <f>ROUNDUP(H130*ТАРИФЫ!$F$12/1000,1)</f>
        <v>0.2</v>
      </c>
      <c r="J130" s="108">
        <f t="shared" ref="J130:J131" si="92">H130</f>
        <v>3.3</v>
      </c>
      <c r="K130" s="106">
        <f>ROUNDUP(J130*ТАРИФЫ!$F$17/1000,1)</f>
        <v>0.4</v>
      </c>
      <c r="L130" s="104">
        <f t="shared" si="89"/>
        <v>2085.7999999999997</v>
      </c>
      <c r="M130" t="s">
        <v>111</v>
      </c>
      <c r="N130" s="39">
        <f t="shared" ref="N130:N131" si="93">H130-J130</f>
        <v>0</v>
      </c>
    </row>
    <row r="131" spans="1:14" ht="20.100000000000001" customHeight="1" thickBot="1" x14ac:dyDescent="0.3">
      <c r="A131" s="107" t="s">
        <v>13</v>
      </c>
      <c r="B131" s="106">
        <v>4.7</v>
      </c>
      <c r="C131" s="106">
        <f>ROUNDUP(B131*ТАРИФЫ!$G$23,1)</f>
        <v>30.200000000000003</v>
      </c>
      <c r="D131" s="108">
        <v>105.6</v>
      </c>
      <c r="E131" s="106">
        <f>ROUNDUP(D131*ТАРИФЫ!$G$7/1000,1)</f>
        <v>1341.6</v>
      </c>
      <c r="F131" s="108">
        <v>0</v>
      </c>
      <c r="G131" s="106">
        <f>ROUNDUP(F131*ТАРИФЫ!$G$7/1000,1)</f>
        <v>0</v>
      </c>
      <c r="H131" s="108">
        <v>4.0999999999999996</v>
      </c>
      <c r="I131" s="106">
        <f>ROUNDUP(H131*ТАРИФЫ!$G$12/1000,1)</f>
        <v>0.2</v>
      </c>
      <c r="J131" s="108">
        <f t="shared" si="92"/>
        <v>4.0999999999999996</v>
      </c>
      <c r="K131" s="106">
        <f>ROUNDUP(J131*ТАРИФЫ!$G$17/1000,1)</f>
        <v>0.6</v>
      </c>
      <c r="L131" s="104">
        <f t="shared" si="89"/>
        <v>1372.6</v>
      </c>
      <c r="M131" t="s">
        <v>111</v>
      </c>
      <c r="N131" s="39">
        <f t="shared" si="93"/>
        <v>0</v>
      </c>
    </row>
    <row r="132" spans="1:14" ht="45" customHeight="1" thickBot="1" x14ac:dyDescent="0.3">
      <c r="A132" s="123" t="s">
        <v>77</v>
      </c>
      <c r="B132" s="104">
        <f t="shared" ref="B132:K132" si="94">SUM(B133:B134)</f>
        <v>973.2</v>
      </c>
      <c r="C132" s="105">
        <f t="shared" si="94"/>
        <v>6071.9</v>
      </c>
      <c r="D132" s="104">
        <f t="shared" si="94"/>
        <v>750.4</v>
      </c>
      <c r="E132" s="104">
        <f t="shared" si="94"/>
        <v>4626.3999999999996</v>
      </c>
      <c r="F132" s="104">
        <f t="shared" si="94"/>
        <v>460.8</v>
      </c>
      <c r="G132" s="104">
        <f t="shared" si="94"/>
        <v>2845.5</v>
      </c>
      <c r="H132" s="104">
        <f t="shared" si="94"/>
        <v>11364.6</v>
      </c>
      <c r="I132" s="104">
        <f t="shared" si="94"/>
        <v>486</v>
      </c>
      <c r="J132" s="104">
        <f t="shared" si="94"/>
        <v>11364.6</v>
      </c>
      <c r="K132" s="104">
        <f t="shared" si="94"/>
        <v>929</v>
      </c>
      <c r="L132" s="104">
        <f t="shared" ref="L132:L134" si="95">SUM(C132,E132,G132,I132,K132)</f>
        <v>14958.8</v>
      </c>
    </row>
    <row r="133" spans="1:14" ht="20.100000000000001" customHeight="1" thickBot="1" x14ac:dyDescent="0.3">
      <c r="A133" s="107" t="s">
        <v>12</v>
      </c>
      <c r="B133" s="106">
        <v>486.6</v>
      </c>
      <c r="C133" s="106">
        <f>ROUNDUP(B133*ТАРИФЫ!$F$21,1)</f>
        <v>2954.7</v>
      </c>
      <c r="D133" s="108">
        <v>404.4</v>
      </c>
      <c r="E133" s="108">
        <f>ROUNDUP(D133*ТАРИФЫ!$F$5/1000,1)</f>
        <v>2446.2999999999997</v>
      </c>
      <c r="F133" s="108">
        <v>230.4</v>
      </c>
      <c r="G133" s="108">
        <f>ROUNDUP(F133*ТАРИФЫ!$F$5/1000,1)</f>
        <v>1393.8</v>
      </c>
      <c r="H133" s="108">
        <v>6123.8</v>
      </c>
      <c r="I133" s="108">
        <f>ROUNDUP(H133*ТАРИФЫ!$F$10/1000,1)</f>
        <v>257.3</v>
      </c>
      <c r="J133" s="108">
        <v>6123.8</v>
      </c>
      <c r="K133" s="108">
        <f>ROUND(J133*ТАРИФЫ!$F$15/1000,1)</f>
        <v>492.2</v>
      </c>
      <c r="L133" s="104">
        <f t="shared" si="95"/>
        <v>7544.3</v>
      </c>
      <c r="M133" t="s">
        <v>107</v>
      </c>
      <c r="N133" s="39">
        <f t="shared" ref="N133:N134" si="96">H133-J133</f>
        <v>0</v>
      </c>
    </row>
    <row r="134" spans="1:14" ht="20.100000000000001" customHeight="1" thickBot="1" x14ac:dyDescent="0.3">
      <c r="A134" s="107" t="s">
        <v>13</v>
      </c>
      <c r="B134" s="106">
        <v>486.6</v>
      </c>
      <c r="C134" s="106">
        <f>ROUNDUP(B134*ТАРИФЫ!$G$21,1)</f>
        <v>3117.2</v>
      </c>
      <c r="D134" s="108">
        <v>346</v>
      </c>
      <c r="E134" s="108">
        <f>ROUNDUP(D134*ТАРИФЫ!$G$5/1000,1)</f>
        <v>2180.1</v>
      </c>
      <c r="F134" s="108">
        <v>230.4</v>
      </c>
      <c r="G134" s="108">
        <f>ROUNDUP(F134*ТАРИФЫ!$G$5/1000,1)</f>
        <v>1451.6999999999998</v>
      </c>
      <c r="H134" s="108">
        <v>5240.8</v>
      </c>
      <c r="I134" s="108">
        <f>ROUND(H134*ТАРИФЫ!$G$10/1000,1)</f>
        <v>228.7</v>
      </c>
      <c r="J134" s="108">
        <v>5240.8</v>
      </c>
      <c r="K134" s="108">
        <f>ROUND(J134*ТАРИФЫ!$G$15/1000,1)</f>
        <v>436.8</v>
      </c>
      <c r="L134" s="104">
        <f t="shared" si="95"/>
        <v>7414.4999999999991</v>
      </c>
      <c r="M134" t="s">
        <v>107</v>
      </c>
      <c r="N134" s="39">
        <f t="shared" si="96"/>
        <v>0</v>
      </c>
    </row>
    <row r="135" spans="1:14" ht="27.75" customHeight="1" thickBot="1" x14ac:dyDescent="0.3">
      <c r="A135" s="113" t="s">
        <v>22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5"/>
    </row>
    <row r="136" spans="1:14" ht="50.1" customHeight="1" thickBot="1" x14ac:dyDescent="0.3">
      <c r="A136" s="103" t="s">
        <v>72</v>
      </c>
      <c r="B136" s="104">
        <f t="shared" ref="B136:K136" si="97">SUM(B137:B138)</f>
        <v>8.6999999999999993</v>
      </c>
      <c r="C136" s="105">
        <f t="shared" si="97"/>
        <v>54.2</v>
      </c>
      <c r="D136" s="104">
        <f t="shared" si="97"/>
        <v>64.900000000000006</v>
      </c>
      <c r="E136" s="104">
        <f t="shared" si="97"/>
        <v>400.1</v>
      </c>
      <c r="F136" s="104">
        <f t="shared" si="97"/>
        <v>2</v>
      </c>
      <c r="G136" s="104">
        <f t="shared" si="97"/>
        <v>12.399999999999999</v>
      </c>
      <c r="H136" s="104">
        <f t="shared" si="97"/>
        <v>98.8</v>
      </c>
      <c r="I136" s="104">
        <f t="shared" si="97"/>
        <v>4.3000000000000007</v>
      </c>
      <c r="J136" s="104">
        <f t="shared" si="97"/>
        <v>98.8</v>
      </c>
      <c r="K136" s="104">
        <f t="shared" si="97"/>
        <v>8.1</v>
      </c>
      <c r="L136" s="104">
        <f>SUM(C136,E136,G136,I136,K136)</f>
        <v>479.1</v>
      </c>
    </row>
    <row r="137" spans="1:14" ht="28.5" customHeight="1" thickBot="1" x14ac:dyDescent="0.3">
      <c r="A137" s="103" t="s">
        <v>12</v>
      </c>
      <c r="B137" s="120">
        <v>4.8</v>
      </c>
      <c r="C137" s="105">
        <f>ROUNDUP(B137*ТАРИФЫ!$F$21,1)</f>
        <v>29.200000000000003</v>
      </c>
      <c r="D137" s="104">
        <v>35.4</v>
      </c>
      <c r="E137" s="104">
        <f>ROUNDUP(D137*ТАРИФЫ!$F$5/1000,1)</f>
        <v>214.2</v>
      </c>
      <c r="F137" s="104">
        <v>1.2</v>
      </c>
      <c r="G137" s="104">
        <f>ROUNDUP(F137*ТАРИФЫ!$F$5/1000,1)</f>
        <v>7.3</v>
      </c>
      <c r="H137" s="104">
        <v>49.4</v>
      </c>
      <c r="I137" s="104">
        <f>ROUNDUP(H137*ТАРИФЫ!$F$10/1000,1)</f>
        <v>2.1</v>
      </c>
      <c r="J137" s="104">
        <v>49.4</v>
      </c>
      <c r="K137" s="104">
        <f>ROUND(J137*ТАРИФЫ!$F$15/1000,1)</f>
        <v>4</v>
      </c>
      <c r="L137" s="104">
        <f>SUM(C137,E137,G137,I137,K137)</f>
        <v>256.79999999999995</v>
      </c>
      <c r="M137" t="s">
        <v>107</v>
      </c>
      <c r="N137" s="39">
        <f t="shared" ref="N137:N138" si="98">H137-J137</f>
        <v>0</v>
      </c>
    </row>
    <row r="138" spans="1:14" ht="28.5" customHeight="1" thickBot="1" x14ac:dyDescent="0.3">
      <c r="A138" s="103" t="s">
        <v>13</v>
      </c>
      <c r="B138" s="120">
        <v>3.9</v>
      </c>
      <c r="C138" s="105">
        <f>ROUNDUP(B138*ТАРИФЫ!$G$21,1)</f>
        <v>25</v>
      </c>
      <c r="D138" s="104">
        <v>29.5</v>
      </c>
      <c r="E138" s="104">
        <f>ROUNDUP(D138*ТАРИФЫ!$G$5/1000,1)</f>
        <v>185.9</v>
      </c>
      <c r="F138" s="104">
        <v>0.8</v>
      </c>
      <c r="G138" s="104">
        <f>ROUNDUP(F138*ТАРИФЫ!$G$5/1000,1)</f>
        <v>5.0999999999999996</v>
      </c>
      <c r="H138" s="104">
        <v>49.4</v>
      </c>
      <c r="I138" s="104">
        <f>ROUND(H138*ТАРИФЫ!$G$10/1000,1)</f>
        <v>2.2000000000000002</v>
      </c>
      <c r="J138" s="104">
        <v>49.4</v>
      </c>
      <c r="K138" s="104">
        <f>ROUND(J138*ТАРИФЫ!$G$15/1000,1)</f>
        <v>4.0999999999999996</v>
      </c>
      <c r="L138" s="104">
        <f>SUM(C138,E138,G138,I138,K138)</f>
        <v>222.29999999999998</v>
      </c>
      <c r="M138" t="s">
        <v>107</v>
      </c>
      <c r="N138" s="39">
        <f t="shared" si="98"/>
        <v>0</v>
      </c>
    </row>
    <row r="139" spans="1:14" ht="25.5" customHeight="1" thickBot="1" x14ac:dyDescent="0.3">
      <c r="A139" s="72" t="s">
        <v>23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4"/>
    </row>
    <row r="140" spans="1:14" ht="105" customHeight="1" thickBot="1" x14ac:dyDescent="0.3">
      <c r="A140" s="29" t="s">
        <v>57</v>
      </c>
      <c r="B140" s="31">
        <f>B142+B145+B146</f>
        <v>923.32</v>
      </c>
      <c r="C140" s="31">
        <f t="shared" ref="C140:K140" si="99">C142+C145+C146</f>
        <v>5774.4</v>
      </c>
      <c r="D140" s="31">
        <f t="shared" si="99"/>
        <v>0</v>
      </c>
      <c r="E140" s="31">
        <f t="shared" si="99"/>
        <v>0</v>
      </c>
      <c r="F140" s="31">
        <f t="shared" si="99"/>
        <v>0</v>
      </c>
      <c r="G140" s="31">
        <f t="shared" si="99"/>
        <v>0</v>
      </c>
      <c r="H140" s="31">
        <f t="shared" si="99"/>
        <v>0</v>
      </c>
      <c r="I140" s="31">
        <f t="shared" si="99"/>
        <v>0</v>
      </c>
      <c r="J140" s="31">
        <f t="shared" si="99"/>
        <v>0</v>
      </c>
      <c r="K140" s="31">
        <f t="shared" si="99"/>
        <v>0</v>
      </c>
      <c r="L140" s="30">
        <f>SUM(C140,E140,G140,I140,K140)</f>
        <v>5774.4</v>
      </c>
      <c r="M140" s="39"/>
    </row>
    <row r="141" spans="1:14" ht="18" customHeight="1" thickBot="1" x14ac:dyDescent="0.3">
      <c r="A141" s="72" t="s">
        <v>19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4"/>
    </row>
    <row r="142" spans="1:14" s="46" customFormat="1" ht="30" customHeight="1" thickBot="1" x14ac:dyDescent="0.3">
      <c r="A142" s="56" t="s">
        <v>58</v>
      </c>
      <c r="B142" s="34">
        <f>B143+B144</f>
        <v>906</v>
      </c>
      <c r="C142" s="34">
        <f t="shared" ref="C142:K142" si="100">C143+C144</f>
        <v>5663.4</v>
      </c>
      <c r="D142" s="34">
        <f t="shared" si="100"/>
        <v>0</v>
      </c>
      <c r="E142" s="34">
        <f t="shared" si="100"/>
        <v>0</v>
      </c>
      <c r="F142" s="34">
        <f t="shared" si="100"/>
        <v>0</v>
      </c>
      <c r="G142" s="34">
        <f t="shared" si="100"/>
        <v>0</v>
      </c>
      <c r="H142" s="34">
        <f t="shared" si="100"/>
        <v>0</v>
      </c>
      <c r="I142" s="34">
        <f t="shared" si="100"/>
        <v>0</v>
      </c>
      <c r="J142" s="34">
        <f t="shared" si="100"/>
        <v>0</v>
      </c>
      <c r="K142" s="34">
        <f t="shared" si="100"/>
        <v>0</v>
      </c>
      <c r="L142" s="34">
        <f t="shared" ref="L142:L149" si="101">SUM(C142,E142,G142,I142,K142)</f>
        <v>5663.4</v>
      </c>
      <c r="M142" s="46" t="s">
        <v>78</v>
      </c>
    </row>
    <row r="143" spans="1:14" ht="20.100000000000001" customHeight="1" thickBot="1" x14ac:dyDescent="0.3">
      <c r="A143" s="32" t="s">
        <v>12</v>
      </c>
      <c r="B143" s="34">
        <v>420.9</v>
      </c>
      <c r="C143" s="34">
        <f>ROUNDUP(B143*ТАРИФЫ!$F$21,1)</f>
        <v>2555.7999999999997</v>
      </c>
      <c r="D143" s="33"/>
      <c r="E143" s="33">
        <f>ROUND(D143*ТАРИФЫ!$F$5/1000,1)</f>
        <v>0</v>
      </c>
      <c r="F143" s="33"/>
      <c r="G143" s="33">
        <f>ROUND(F143*ТАРИФЫ!$F$5/1000,1)</f>
        <v>0</v>
      </c>
      <c r="H143" s="33">
        <v>0</v>
      </c>
      <c r="I143" s="33">
        <f>ROUNDUP(H143*ТАРИФЫ!$F$10/1000,1)</f>
        <v>0</v>
      </c>
      <c r="J143" s="33">
        <f>H143</f>
        <v>0</v>
      </c>
      <c r="K143" s="33">
        <f>SUM(J143*ТАРИФЫ!$F$15/1000)</f>
        <v>0</v>
      </c>
      <c r="L143" s="30">
        <f t="shared" si="101"/>
        <v>2555.7999999999997</v>
      </c>
      <c r="M143" t="s">
        <v>107</v>
      </c>
      <c r="N143" s="39">
        <f t="shared" ref="N143:N144" si="102">H143-J143</f>
        <v>0</v>
      </c>
    </row>
    <row r="144" spans="1:14" ht="20.100000000000001" customHeight="1" thickBot="1" x14ac:dyDescent="0.3">
      <c r="A144" s="32" t="s">
        <v>13</v>
      </c>
      <c r="B144" s="34">
        <v>485.1</v>
      </c>
      <c r="C144" s="34">
        <f>ROUNDUP(B144*ТАРИФЫ!$G$21,1)</f>
        <v>3107.6</v>
      </c>
      <c r="D144" s="33"/>
      <c r="E144" s="33">
        <f>ROUND(D144*ТАРИФЫ!$G$5/1000,1)</f>
        <v>0</v>
      </c>
      <c r="F144" s="33"/>
      <c r="G144" s="33">
        <f>ROUND(F144*ТАРИФЫ!$G$5/1000,1)</f>
        <v>0</v>
      </c>
      <c r="H144" s="33">
        <v>0</v>
      </c>
      <c r="I144" s="33">
        <f>SUM(H144*ТАРИФЫ!$G$10/1000)</f>
        <v>0</v>
      </c>
      <c r="J144" s="33">
        <f>H144</f>
        <v>0</v>
      </c>
      <c r="K144" s="33">
        <f>SUM(J144*ТАРИФЫ!$G$15/1000)</f>
        <v>0</v>
      </c>
      <c r="L144" s="30">
        <f t="shared" si="101"/>
        <v>3107.6</v>
      </c>
      <c r="M144" t="s">
        <v>107</v>
      </c>
      <c r="N144" s="39">
        <f t="shared" si="102"/>
        <v>0</v>
      </c>
    </row>
    <row r="145" spans="1:13" ht="20.25" customHeight="1" thickBot="1" x14ac:dyDescent="0.3">
      <c r="A145" s="29" t="s">
        <v>25</v>
      </c>
      <c r="B145" s="31">
        <v>8.19</v>
      </c>
      <c r="C145" s="31">
        <f>ROUND(B145*ТАРИФЫ!G20,1)</f>
        <v>52.5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f t="shared" si="101"/>
        <v>52.5</v>
      </c>
    </row>
    <row r="146" spans="1:13" ht="20.25" customHeight="1" thickBot="1" x14ac:dyDescent="0.3">
      <c r="A146" s="29" t="s">
        <v>26</v>
      </c>
      <c r="B146" s="31">
        <v>9.1300000000000008</v>
      </c>
      <c r="C146" s="31">
        <f>ROUND(B146*ТАРИФЫ!G22,1)</f>
        <v>58.5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f t="shared" si="101"/>
        <v>58.5</v>
      </c>
    </row>
    <row r="147" spans="1:13" ht="38.25" customHeight="1" thickBot="1" x14ac:dyDescent="0.3">
      <c r="A147" s="35" t="s">
        <v>32</v>
      </c>
      <c r="B147" s="36">
        <f t="shared" ref="B147:K147" si="103">SUM(B148:B149)</f>
        <v>2785.7200000000003</v>
      </c>
      <c r="C147" s="36">
        <f t="shared" si="103"/>
        <v>17401.400000000001</v>
      </c>
      <c r="D147" s="36">
        <f t="shared" si="103"/>
        <v>7738.38</v>
      </c>
      <c r="E147" s="36">
        <f t="shared" si="103"/>
        <v>65653.899999999994</v>
      </c>
      <c r="F147" s="36">
        <f t="shared" si="103"/>
        <v>962.82999999999993</v>
      </c>
      <c r="G147" s="36">
        <f t="shared" si="103"/>
        <v>6610.8</v>
      </c>
      <c r="H147" s="36">
        <f t="shared" si="103"/>
        <v>31431.43</v>
      </c>
      <c r="I147" s="36">
        <f t="shared" si="103"/>
        <v>1525.8</v>
      </c>
      <c r="J147" s="36">
        <f t="shared" si="103"/>
        <v>31066.400000000001</v>
      </c>
      <c r="K147" s="36">
        <f t="shared" si="103"/>
        <v>2736.2999999999997</v>
      </c>
      <c r="L147" s="36">
        <f t="shared" si="101"/>
        <v>93928.2</v>
      </c>
      <c r="M147" s="26"/>
    </row>
    <row r="148" spans="1:13" ht="38.25" customHeight="1" thickBot="1" x14ac:dyDescent="0.3">
      <c r="A148" s="35" t="s">
        <v>12</v>
      </c>
      <c r="B148" s="37">
        <f t="shared" ref="B148:K148" si="104">SUM(B61+B89+B115+B119+B137+B143+(B145+B146)/2)</f>
        <v>1346.46</v>
      </c>
      <c r="C148" s="37">
        <f t="shared" si="104"/>
        <v>8180.1</v>
      </c>
      <c r="D148" s="37">
        <f t="shared" si="104"/>
        <v>4664.33</v>
      </c>
      <c r="E148" s="37">
        <f t="shared" si="104"/>
        <v>38928.69999999999</v>
      </c>
      <c r="F148" s="37">
        <f t="shared" si="104"/>
        <v>516.29999999999995</v>
      </c>
      <c r="G148" s="37">
        <f t="shared" si="104"/>
        <v>3625.6000000000004</v>
      </c>
      <c r="H148" s="37">
        <f t="shared" si="104"/>
        <v>16459.190000000002</v>
      </c>
      <c r="I148" s="37">
        <f t="shared" si="104"/>
        <v>781.49999999999989</v>
      </c>
      <c r="J148" s="37">
        <f t="shared" si="104"/>
        <v>16666.5</v>
      </c>
      <c r="K148" s="37">
        <f t="shared" si="104"/>
        <v>1434.9</v>
      </c>
      <c r="L148" s="37">
        <f t="shared" si="101"/>
        <v>52950.799999999988</v>
      </c>
    </row>
    <row r="149" spans="1:13" ht="38.25" customHeight="1" thickBot="1" x14ac:dyDescent="0.3">
      <c r="A149" s="35" t="s">
        <v>13</v>
      </c>
      <c r="B149" s="37">
        <f t="shared" ref="B149:K149" si="105">SUM(B62+B90+B116+B120+B138+B144+(B145+B146)/2)</f>
        <v>1439.26</v>
      </c>
      <c r="C149" s="37">
        <f t="shared" si="105"/>
        <v>9221.2999999999993</v>
      </c>
      <c r="D149" s="37">
        <f t="shared" si="105"/>
        <v>3074.05</v>
      </c>
      <c r="E149" s="37">
        <f t="shared" si="105"/>
        <v>26725.200000000004</v>
      </c>
      <c r="F149" s="37">
        <f t="shared" si="105"/>
        <v>446.53000000000003</v>
      </c>
      <c r="G149" s="37">
        <f t="shared" si="105"/>
        <v>2985.2</v>
      </c>
      <c r="H149" s="37">
        <f t="shared" si="105"/>
        <v>14972.24</v>
      </c>
      <c r="I149" s="37">
        <f t="shared" si="105"/>
        <v>744.30000000000007</v>
      </c>
      <c r="J149" s="37">
        <f t="shared" si="105"/>
        <v>14399.9</v>
      </c>
      <c r="K149" s="37">
        <f t="shared" si="105"/>
        <v>1301.3999999999996</v>
      </c>
      <c r="L149" s="37">
        <f t="shared" si="101"/>
        <v>40977.4</v>
      </c>
    </row>
    <row r="150" spans="1:13" x14ac:dyDescent="0.25">
      <c r="B150" s="1"/>
    </row>
  </sheetData>
  <autoFilter ref="A8:O149"/>
  <mergeCells count="28">
    <mergeCell ref="A63:L63"/>
    <mergeCell ref="A13:L13"/>
    <mergeCell ref="A26:L26"/>
    <mergeCell ref="A5:A7"/>
    <mergeCell ref="A9:L9"/>
    <mergeCell ref="A141:L141"/>
    <mergeCell ref="A125:L125"/>
    <mergeCell ref="A135:L135"/>
    <mergeCell ref="A101:L101"/>
    <mergeCell ref="A91:L91"/>
    <mergeCell ref="A117:L117"/>
    <mergeCell ref="A121:L121"/>
    <mergeCell ref="A139:L139"/>
    <mergeCell ref="H1:L1"/>
    <mergeCell ref="H4:L4"/>
    <mergeCell ref="C6:C7"/>
    <mergeCell ref="B5:C5"/>
    <mergeCell ref="H5:I5"/>
    <mergeCell ref="J6:J7"/>
    <mergeCell ref="F6:F7"/>
    <mergeCell ref="J5:K5"/>
    <mergeCell ref="D6:D7"/>
    <mergeCell ref="L5:L7"/>
    <mergeCell ref="H6:H7"/>
    <mergeCell ref="D5:E5"/>
    <mergeCell ref="F5:G5"/>
    <mergeCell ref="A2:L2"/>
    <mergeCell ref="A3:L3"/>
  </mergeCells>
  <phoneticPr fontId="12" type="noConversion"/>
  <printOptions horizontalCentered="1"/>
  <pageMargins left="0.31496062992125984" right="0.31496062992125984" top="1.1811023622047245" bottom="0.35433070866141736" header="0" footer="0"/>
  <pageSetup paperSize="9" scale="85" fitToHeight="1000" orientation="landscape" r:id="rId1"/>
  <ignoredErrors>
    <ignoredError sqref="B17 D17:K17 B36 D36:K36 E39:K39 D39 B39 B42 D42 E42:K42 B45 D45:K45 B48:C48 B64 D64:K64 B67 D67:K67 B70:C70 B73:C73 B76:C76 B79:C79 B82:C82 D92:L92 D95:L95 D102:L102 B85:C85 B92:C92 B95:C95 B102:C102 B105:C105 B108:C108 B111:C111 D48:L48 D70:L70 D73:L73 D76:L76 D79:L79 D82:L82 D105:L105 D108:K108 D111:L111 D85:L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12" sqref="D12"/>
    </sheetView>
  </sheetViews>
  <sheetFormatPr defaultRowHeight="15" x14ac:dyDescent="0.25"/>
  <cols>
    <col min="1" max="1" width="5.140625" customWidth="1"/>
    <col min="2" max="2" width="21.42578125" customWidth="1"/>
    <col min="3" max="3" width="17.5703125" customWidth="1"/>
    <col min="4" max="7" width="13.28515625" customWidth="1"/>
  </cols>
  <sheetData>
    <row r="1" spans="1:10" ht="35.25" customHeight="1" x14ac:dyDescent="0.25">
      <c r="A1" s="87"/>
      <c r="B1" s="87"/>
      <c r="C1" s="87"/>
      <c r="D1" s="87"/>
      <c r="E1" s="87"/>
      <c r="F1" s="87"/>
      <c r="G1" s="87"/>
      <c r="H1" s="20"/>
      <c r="I1" s="20"/>
      <c r="J1" s="20"/>
    </row>
    <row r="2" spans="1:10" ht="35.25" customHeight="1" thickBot="1" x14ac:dyDescent="0.3">
      <c r="A2" s="87" t="s">
        <v>79</v>
      </c>
      <c r="B2" s="87"/>
      <c r="C2" s="87"/>
      <c r="D2" s="87"/>
      <c r="E2" s="87"/>
      <c r="F2" s="87"/>
      <c r="G2" s="87"/>
      <c r="H2" s="20"/>
      <c r="I2" s="20"/>
      <c r="J2" s="20"/>
    </row>
    <row r="3" spans="1:10" ht="29.25" customHeight="1" thickBot="1" x14ac:dyDescent="0.3">
      <c r="A3" s="22" t="s">
        <v>33</v>
      </c>
      <c r="B3" s="23" t="s">
        <v>34</v>
      </c>
      <c r="C3" s="23" t="s">
        <v>35</v>
      </c>
      <c r="D3" s="23" t="s">
        <v>39</v>
      </c>
      <c r="E3" s="23" t="s">
        <v>40</v>
      </c>
      <c r="F3" s="23" t="s">
        <v>41</v>
      </c>
      <c r="G3" s="23" t="s">
        <v>42</v>
      </c>
      <c r="H3" s="20"/>
      <c r="I3" s="20"/>
      <c r="J3" s="20"/>
    </row>
    <row r="4" spans="1:10" ht="35.1" customHeight="1" x14ac:dyDescent="0.25">
      <c r="A4" s="79" t="s">
        <v>36</v>
      </c>
      <c r="B4" s="88" t="s">
        <v>37</v>
      </c>
      <c r="C4" s="60" t="s">
        <v>25</v>
      </c>
      <c r="D4" s="8">
        <v>11219.69</v>
      </c>
      <c r="E4" s="8">
        <v>12630</v>
      </c>
      <c r="F4" s="3">
        <f t="shared" ref="F4:F13" si="0">SUM(D4*1.2)</f>
        <v>13463.628000000001</v>
      </c>
      <c r="G4" s="3">
        <f t="shared" ref="G4:G13" si="1">SUM(E4*1.2)</f>
        <v>15156</v>
      </c>
      <c r="H4" s="20"/>
      <c r="I4" s="20"/>
      <c r="J4" s="20"/>
    </row>
    <row r="5" spans="1:10" ht="35.1" customHeight="1" x14ac:dyDescent="0.25">
      <c r="A5" s="80"/>
      <c r="B5" s="89"/>
      <c r="C5" s="4" t="s">
        <v>30</v>
      </c>
      <c r="D5" s="9">
        <v>5040.91</v>
      </c>
      <c r="E5" s="9">
        <v>5250.63</v>
      </c>
      <c r="F5" s="5">
        <f t="shared" si="0"/>
        <v>6049.0919999999996</v>
      </c>
      <c r="G5" s="5">
        <f t="shared" si="1"/>
        <v>6300.7560000000003</v>
      </c>
      <c r="H5" s="20"/>
      <c r="I5" s="20"/>
      <c r="J5" s="20"/>
    </row>
    <row r="6" spans="1:10" ht="35.1" customHeight="1" x14ac:dyDescent="0.25">
      <c r="A6" s="80"/>
      <c r="B6" s="89"/>
      <c r="C6" s="4" t="s">
        <v>26</v>
      </c>
      <c r="D6" s="9">
        <v>10120</v>
      </c>
      <c r="E6" s="9">
        <v>10533.15</v>
      </c>
      <c r="F6" s="5">
        <f t="shared" si="0"/>
        <v>12144</v>
      </c>
      <c r="G6" s="5">
        <f t="shared" si="1"/>
        <v>12639.779999999999</v>
      </c>
      <c r="H6" s="20"/>
      <c r="I6" s="20"/>
      <c r="J6" s="20"/>
    </row>
    <row r="7" spans="1:10" ht="35.1" customHeight="1" x14ac:dyDescent="0.25">
      <c r="A7" s="80"/>
      <c r="B7" s="89"/>
      <c r="C7" s="4" t="s">
        <v>38</v>
      </c>
      <c r="D7" s="9">
        <v>10238.34</v>
      </c>
      <c r="E7" s="9">
        <v>10586.41</v>
      </c>
      <c r="F7" s="5">
        <f t="shared" si="0"/>
        <v>12286.008</v>
      </c>
      <c r="G7" s="5">
        <f t="shared" si="1"/>
        <v>12703.691999999999</v>
      </c>
      <c r="H7" s="20"/>
      <c r="I7" s="20"/>
      <c r="J7" s="20"/>
    </row>
    <row r="8" spans="1:10" ht="35.1" customHeight="1" thickBot="1" x14ac:dyDescent="0.3">
      <c r="A8" s="81"/>
      <c r="B8" s="90"/>
      <c r="C8" s="6" t="s">
        <v>24</v>
      </c>
      <c r="D8" s="10">
        <v>9916.4500000000007</v>
      </c>
      <c r="E8" s="10">
        <v>10455.629999999999</v>
      </c>
      <c r="F8" s="7">
        <f t="shared" si="0"/>
        <v>11899.74</v>
      </c>
      <c r="G8" s="7">
        <f t="shared" si="1"/>
        <v>12546.755999999999</v>
      </c>
      <c r="H8" s="20"/>
      <c r="I8" s="20"/>
      <c r="J8" s="20"/>
    </row>
    <row r="9" spans="1:10" ht="35.1" customHeight="1" x14ac:dyDescent="0.25">
      <c r="A9" s="79" t="s">
        <v>43</v>
      </c>
      <c r="B9" s="82" t="s">
        <v>44</v>
      </c>
      <c r="C9" s="60" t="s">
        <v>25</v>
      </c>
      <c r="D9" s="8">
        <v>152.71</v>
      </c>
      <c r="E9" s="8">
        <v>163.47999999999999</v>
      </c>
      <c r="F9" s="3">
        <f t="shared" si="0"/>
        <v>183.25200000000001</v>
      </c>
      <c r="G9" s="3">
        <f t="shared" si="1"/>
        <v>196.17599999999999</v>
      </c>
      <c r="H9" s="20"/>
      <c r="I9" s="20"/>
      <c r="J9" s="20"/>
    </row>
    <row r="10" spans="1:10" ht="35.1" customHeight="1" x14ac:dyDescent="0.25">
      <c r="A10" s="80"/>
      <c r="B10" s="83"/>
      <c r="C10" s="4" t="s">
        <v>30</v>
      </c>
      <c r="D10" s="9">
        <v>35.01</v>
      </c>
      <c r="E10" s="9">
        <v>36.36</v>
      </c>
      <c r="F10" s="5">
        <f t="shared" si="0"/>
        <v>42.011999999999993</v>
      </c>
      <c r="G10" s="5">
        <f t="shared" si="1"/>
        <v>43.631999999999998</v>
      </c>
      <c r="H10" s="20"/>
      <c r="I10" s="20"/>
      <c r="J10" s="20"/>
    </row>
    <row r="11" spans="1:10" ht="35.1" customHeight="1" x14ac:dyDescent="0.25">
      <c r="A11" s="80"/>
      <c r="B11" s="83"/>
      <c r="C11" s="4" t="s">
        <v>26</v>
      </c>
      <c r="D11" s="9">
        <v>64.37</v>
      </c>
      <c r="E11" s="9">
        <v>65.069999999999993</v>
      </c>
      <c r="F11" s="5">
        <f t="shared" si="0"/>
        <v>77.244</v>
      </c>
      <c r="G11" s="5">
        <f t="shared" si="1"/>
        <v>78.083999999999989</v>
      </c>
      <c r="H11" s="20"/>
      <c r="I11" s="20"/>
      <c r="J11" s="20"/>
    </row>
    <row r="12" spans="1:10" ht="35.1" customHeight="1" x14ac:dyDescent="0.25">
      <c r="A12" s="80"/>
      <c r="B12" s="83"/>
      <c r="C12" s="4" t="s">
        <v>38</v>
      </c>
      <c r="D12" s="9">
        <v>35.01</v>
      </c>
      <c r="E12" s="9">
        <v>36.36</v>
      </c>
      <c r="F12" s="5">
        <f t="shared" si="0"/>
        <v>42.011999999999993</v>
      </c>
      <c r="G12" s="5">
        <f t="shared" si="1"/>
        <v>43.631999999999998</v>
      </c>
      <c r="H12" s="20"/>
      <c r="I12" s="20"/>
      <c r="J12" s="20"/>
    </row>
    <row r="13" spans="1:10" ht="35.1" customHeight="1" thickBot="1" x14ac:dyDescent="0.3">
      <c r="A13" s="81"/>
      <c r="B13" s="84"/>
      <c r="C13" s="6" t="s">
        <v>24</v>
      </c>
      <c r="D13" s="10">
        <v>63.15</v>
      </c>
      <c r="E13" s="10">
        <v>65.77</v>
      </c>
      <c r="F13" s="7">
        <f t="shared" si="0"/>
        <v>75.78</v>
      </c>
      <c r="G13" s="7">
        <f t="shared" si="1"/>
        <v>78.923999999999992</v>
      </c>
      <c r="H13" s="20"/>
      <c r="I13" s="20"/>
      <c r="J13" s="20"/>
    </row>
    <row r="14" spans="1:10" ht="35.1" customHeight="1" x14ac:dyDescent="0.25">
      <c r="A14" s="79" t="s">
        <v>45</v>
      </c>
      <c r="B14" s="82" t="s">
        <v>46</v>
      </c>
      <c r="C14" s="11" t="s">
        <v>25</v>
      </c>
      <c r="D14" s="12">
        <v>0</v>
      </c>
      <c r="E14" s="12">
        <v>0</v>
      </c>
      <c r="F14" s="13">
        <f>SUM(D14*1.18)</f>
        <v>0</v>
      </c>
      <c r="G14" s="13">
        <f>SUM(E14*1.18)</f>
        <v>0</v>
      </c>
      <c r="H14" s="20"/>
      <c r="I14" s="20"/>
      <c r="J14" s="20"/>
    </row>
    <row r="15" spans="1:10" ht="35.1" customHeight="1" x14ac:dyDescent="0.25">
      <c r="A15" s="80"/>
      <c r="B15" s="83"/>
      <c r="C15" s="4" t="s">
        <v>30</v>
      </c>
      <c r="D15" s="9">
        <v>66.98</v>
      </c>
      <c r="E15" s="9">
        <v>69.45</v>
      </c>
      <c r="F15" s="5">
        <f t="shared" ref="F15:G24" si="2">SUM(D15*1.2)</f>
        <v>80.376000000000005</v>
      </c>
      <c r="G15" s="5">
        <f t="shared" si="2"/>
        <v>83.34</v>
      </c>
      <c r="H15" s="20"/>
      <c r="I15" s="20"/>
      <c r="J15" s="20"/>
    </row>
    <row r="16" spans="1:10" ht="35.1" customHeight="1" x14ac:dyDescent="0.25">
      <c r="A16" s="80"/>
      <c r="B16" s="83"/>
      <c r="C16" s="4" t="s">
        <v>26</v>
      </c>
      <c r="D16" s="9">
        <v>31.15</v>
      </c>
      <c r="E16" s="9">
        <v>32.29</v>
      </c>
      <c r="F16" s="5">
        <f t="shared" si="2"/>
        <v>37.379999999999995</v>
      </c>
      <c r="G16" s="5">
        <f t="shared" si="2"/>
        <v>38.747999999999998</v>
      </c>
      <c r="H16" s="20"/>
      <c r="I16" s="20"/>
      <c r="J16" s="20"/>
    </row>
    <row r="17" spans="1:10" s="43" customFormat="1" ht="35.1" customHeight="1" x14ac:dyDescent="0.25">
      <c r="A17" s="80"/>
      <c r="B17" s="83"/>
      <c r="C17" s="40" t="s">
        <v>38</v>
      </c>
      <c r="D17" s="41">
        <v>99.26</v>
      </c>
      <c r="E17" s="41">
        <v>104.62</v>
      </c>
      <c r="F17" s="42">
        <f t="shared" si="2"/>
        <v>119.11199999999999</v>
      </c>
      <c r="G17" s="42">
        <f t="shared" si="2"/>
        <v>125.544</v>
      </c>
      <c r="H17" s="85"/>
      <c r="I17" s="86"/>
      <c r="J17" s="86"/>
    </row>
    <row r="18" spans="1:10" ht="35.1" customHeight="1" x14ac:dyDescent="0.25">
      <c r="A18" s="93"/>
      <c r="B18" s="94"/>
      <c r="C18" s="91" t="s">
        <v>24</v>
      </c>
      <c r="D18" s="14">
        <v>88.2</v>
      </c>
      <c r="E18" s="14">
        <v>91.46</v>
      </c>
      <c r="F18" s="19">
        <f t="shared" si="2"/>
        <v>105.84</v>
      </c>
      <c r="G18" s="19">
        <f t="shared" si="2"/>
        <v>109.752</v>
      </c>
      <c r="H18" s="21"/>
      <c r="I18" s="21"/>
      <c r="J18" s="21"/>
    </row>
    <row r="19" spans="1:10" s="43" customFormat="1" ht="35.1" customHeight="1" thickBot="1" x14ac:dyDescent="0.3">
      <c r="A19" s="81"/>
      <c r="B19" s="84"/>
      <c r="C19" s="92"/>
      <c r="D19" s="44">
        <v>98.66</v>
      </c>
      <c r="E19" s="44">
        <v>103.59</v>
      </c>
      <c r="F19" s="45">
        <f t="shared" si="2"/>
        <v>118.392</v>
      </c>
      <c r="G19" s="45">
        <f t="shared" si="2"/>
        <v>124.30799999999999</v>
      </c>
      <c r="H19" s="85"/>
      <c r="I19" s="86"/>
      <c r="J19" s="86"/>
    </row>
    <row r="20" spans="1:10" ht="35.1" customHeight="1" thickBot="1" x14ac:dyDescent="0.3">
      <c r="A20" s="79" t="s">
        <v>47</v>
      </c>
      <c r="B20" s="82" t="s">
        <v>48</v>
      </c>
      <c r="C20" s="60" t="s">
        <v>25</v>
      </c>
      <c r="D20" s="8">
        <v>5.0599999999999996</v>
      </c>
      <c r="E20" s="8">
        <f>D20*105.5/100</f>
        <v>5.3382999999999994</v>
      </c>
      <c r="F20" s="3">
        <f t="shared" si="2"/>
        <v>6.0719999999999992</v>
      </c>
      <c r="G20" s="3">
        <f t="shared" si="2"/>
        <v>6.4059599999999994</v>
      </c>
    </row>
    <row r="21" spans="1:10" ht="35.1" customHeight="1" thickBot="1" x14ac:dyDescent="0.3">
      <c r="A21" s="80"/>
      <c r="B21" s="83"/>
      <c r="C21" s="4" t="s">
        <v>30</v>
      </c>
      <c r="D21" s="8">
        <v>5.0599999999999996</v>
      </c>
      <c r="E21" s="8">
        <f t="shared" ref="E21:E24" si="3">D21*105.5/100</f>
        <v>5.3382999999999994</v>
      </c>
      <c r="F21" s="5">
        <f t="shared" si="2"/>
        <v>6.0719999999999992</v>
      </c>
      <c r="G21" s="5">
        <f t="shared" si="2"/>
        <v>6.4059599999999994</v>
      </c>
    </row>
    <row r="22" spans="1:10" ht="35.1" customHeight="1" thickBot="1" x14ac:dyDescent="0.3">
      <c r="A22" s="80"/>
      <c r="B22" s="83"/>
      <c r="C22" s="4" t="s">
        <v>26</v>
      </c>
      <c r="D22" s="8">
        <v>5.0599999999999996</v>
      </c>
      <c r="E22" s="8">
        <f t="shared" si="3"/>
        <v>5.3382999999999994</v>
      </c>
      <c r="F22" s="5">
        <f t="shared" si="2"/>
        <v>6.0719999999999992</v>
      </c>
      <c r="G22" s="5">
        <f t="shared" si="2"/>
        <v>6.4059599999999994</v>
      </c>
    </row>
    <row r="23" spans="1:10" ht="35.1" customHeight="1" thickBot="1" x14ac:dyDescent="0.3">
      <c r="A23" s="80"/>
      <c r="B23" s="83"/>
      <c r="C23" s="4" t="s">
        <v>38</v>
      </c>
      <c r="D23" s="8">
        <v>5.0599999999999996</v>
      </c>
      <c r="E23" s="8">
        <f t="shared" si="3"/>
        <v>5.3382999999999994</v>
      </c>
      <c r="F23" s="5">
        <f t="shared" si="2"/>
        <v>6.0719999999999992</v>
      </c>
      <c r="G23" s="5">
        <f t="shared" si="2"/>
        <v>6.4059599999999994</v>
      </c>
    </row>
    <row r="24" spans="1:10" ht="35.1" customHeight="1" thickBot="1" x14ac:dyDescent="0.3">
      <c r="A24" s="81"/>
      <c r="B24" s="84"/>
      <c r="C24" s="6" t="s">
        <v>24</v>
      </c>
      <c r="D24" s="8">
        <v>5.0599999999999996</v>
      </c>
      <c r="E24" s="8">
        <f t="shared" si="3"/>
        <v>5.3382999999999994</v>
      </c>
      <c r="F24" s="7">
        <f t="shared" si="2"/>
        <v>6.0719999999999992</v>
      </c>
      <c r="G24" s="7">
        <f t="shared" si="2"/>
        <v>6.4059599999999994</v>
      </c>
    </row>
    <row r="27" spans="1:10" x14ac:dyDescent="0.25">
      <c r="D27" s="38"/>
    </row>
  </sheetData>
  <mergeCells count="13">
    <mergeCell ref="H19:J19"/>
    <mergeCell ref="C18:C19"/>
    <mergeCell ref="A20:A24"/>
    <mergeCell ref="B20:B24"/>
    <mergeCell ref="A14:A19"/>
    <mergeCell ref="B14:B19"/>
    <mergeCell ref="A9:A13"/>
    <mergeCell ref="B9:B13"/>
    <mergeCell ref="H17:J17"/>
    <mergeCell ref="A1:G1"/>
    <mergeCell ref="A2:G2"/>
    <mergeCell ref="A4:A8"/>
    <mergeCell ref="B4:B8"/>
  </mergeCells>
  <phoneticPr fontId="12" type="noConversion"/>
  <printOptions horizontalCentered="1"/>
  <pageMargins left="0.31496062992125984" right="0.31496062992125984" top="0.47244094488188981" bottom="0.47244094488188981" header="0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57"/>
  <sheetViews>
    <sheetView topLeftCell="A25" workbookViewId="0">
      <selection activeCell="I47" sqref="I47"/>
    </sheetView>
  </sheetViews>
  <sheetFormatPr defaultRowHeight="15" x14ac:dyDescent="0.25"/>
  <cols>
    <col min="2" max="2" width="28.7109375" customWidth="1"/>
    <col min="3" max="3" width="12.28515625" customWidth="1"/>
    <col min="4" max="4" width="12.85546875" customWidth="1"/>
    <col min="8" max="11" width="9.140625" style="47"/>
    <col min="12" max="12" width="12" style="47" customWidth="1"/>
    <col min="13" max="13" width="9.140625" style="47"/>
    <col min="14" max="14" width="24.140625" customWidth="1"/>
  </cols>
  <sheetData>
    <row r="3" spans="2:24" x14ac:dyDescent="0.25">
      <c r="B3" s="49"/>
      <c r="C3" s="102" t="s">
        <v>82</v>
      </c>
      <c r="D3" s="102"/>
      <c r="E3" s="49" t="s">
        <v>83</v>
      </c>
      <c r="F3" s="49"/>
      <c r="G3" s="49"/>
      <c r="H3" s="50"/>
      <c r="I3" s="50"/>
      <c r="J3" s="50"/>
      <c r="K3" s="50"/>
      <c r="L3" s="50"/>
      <c r="N3" s="49"/>
      <c r="O3" s="102" t="s">
        <v>82</v>
      </c>
      <c r="P3" s="102"/>
      <c r="Q3" s="49" t="s">
        <v>83</v>
      </c>
      <c r="R3" s="49"/>
      <c r="S3" s="49"/>
      <c r="T3" s="50"/>
      <c r="U3" s="50"/>
      <c r="V3" s="50"/>
      <c r="W3" s="50"/>
      <c r="X3" s="50"/>
    </row>
    <row r="4" spans="2:24" x14ac:dyDescent="0.25">
      <c r="B4" s="49" t="s">
        <v>81</v>
      </c>
      <c r="C4" s="49">
        <f>C7</f>
        <v>168</v>
      </c>
      <c r="D4" s="49" t="s">
        <v>29</v>
      </c>
      <c r="E4" s="49" t="s">
        <v>84</v>
      </c>
      <c r="F4" s="49">
        <v>31</v>
      </c>
      <c r="G4" s="49"/>
      <c r="H4" s="50">
        <v>0.77</v>
      </c>
      <c r="I4" s="50" t="s">
        <v>89</v>
      </c>
      <c r="J4" s="51" t="s">
        <v>94</v>
      </c>
      <c r="K4" s="50"/>
      <c r="L4" s="50"/>
      <c r="N4" s="49" t="s">
        <v>98</v>
      </c>
      <c r="O4" s="49">
        <f>O8</f>
        <v>168</v>
      </c>
      <c r="P4" s="49" t="s">
        <v>29</v>
      </c>
      <c r="Q4" s="49" t="s">
        <v>84</v>
      </c>
      <c r="R4" s="49">
        <v>31</v>
      </c>
      <c r="S4" s="49"/>
      <c r="T4" s="50">
        <v>0.77</v>
      </c>
      <c r="U4" s="50" t="s">
        <v>89</v>
      </c>
      <c r="V4" s="51" t="s">
        <v>94</v>
      </c>
      <c r="W4" s="50"/>
      <c r="X4" s="50"/>
    </row>
    <row r="5" spans="2:24" x14ac:dyDescent="0.25">
      <c r="B5" s="49"/>
      <c r="C5" s="49"/>
      <c r="D5" s="49"/>
      <c r="E5" s="49" t="s">
        <v>85</v>
      </c>
      <c r="F5" s="49">
        <v>30</v>
      </c>
      <c r="G5" s="49"/>
      <c r="H5" s="51" t="s">
        <v>95</v>
      </c>
      <c r="I5" s="50"/>
      <c r="J5" s="50"/>
      <c r="K5" s="50"/>
      <c r="L5" s="50"/>
      <c r="N5" s="49" t="s">
        <v>99</v>
      </c>
      <c r="O5" s="49"/>
      <c r="P5" s="49"/>
      <c r="Q5" s="49" t="s">
        <v>85</v>
      </c>
      <c r="R5" s="49">
        <v>30</v>
      </c>
      <c r="S5" s="49"/>
      <c r="T5" s="51" t="s">
        <v>95</v>
      </c>
      <c r="U5" s="50"/>
      <c r="V5" s="50"/>
      <c r="W5" s="50"/>
      <c r="X5" s="50"/>
    </row>
    <row r="6" spans="2:24" x14ac:dyDescent="0.25">
      <c r="B6" s="49" t="s">
        <v>101</v>
      </c>
      <c r="C6" s="49">
        <v>7</v>
      </c>
      <c r="D6" s="49" t="s">
        <v>29</v>
      </c>
      <c r="E6" s="49" t="s">
        <v>86</v>
      </c>
      <c r="F6" s="49">
        <v>31</v>
      </c>
      <c r="G6" s="49"/>
      <c r="H6" s="50"/>
      <c r="I6" s="50"/>
      <c r="J6" s="50"/>
      <c r="K6" s="50"/>
      <c r="L6" s="50"/>
      <c r="N6" s="49"/>
      <c r="O6" s="49"/>
      <c r="P6" s="49"/>
      <c r="Q6" s="49" t="s">
        <v>86</v>
      </c>
      <c r="R6" s="49">
        <v>31</v>
      </c>
      <c r="S6" s="49"/>
      <c r="T6" s="50"/>
      <c r="U6" s="50"/>
      <c r="V6" s="50"/>
      <c r="W6" s="50"/>
      <c r="X6" s="50"/>
    </row>
    <row r="7" spans="2:24" x14ac:dyDescent="0.25">
      <c r="B7" s="49" t="s">
        <v>102</v>
      </c>
      <c r="C7" s="49">
        <f>C6*24</f>
        <v>168</v>
      </c>
      <c r="D7" s="49" t="s">
        <v>29</v>
      </c>
      <c r="E7" s="49" t="s">
        <v>87</v>
      </c>
      <c r="F7" s="49">
        <v>31</v>
      </c>
      <c r="G7" s="49"/>
      <c r="H7" s="50"/>
      <c r="I7" s="50"/>
      <c r="J7" s="50"/>
      <c r="K7" s="50"/>
      <c r="L7" s="50"/>
      <c r="N7" s="49" t="s">
        <v>101</v>
      </c>
      <c r="O7" s="49">
        <v>7</v>
      </c>
      <c r="P7" s="49" t="s">
        <v>29</v>
      </c>
      <c r="Q7" s="49" t="s">
        <v>87</v>
      </c>
      <c r="R7" s="49">
        <v>31</v>
      </c>
      <c r="S7" s="49"/>
      <c r="T7" s="50"/>
      <c r="U7" s="50"/>
      <c r="V7" s="50"/>
      <c r="W7" s="50"/>
      <c r="X7" s="50"/>
    </row>
    <row r="8" spans="2:24" x14ac:dyDescent="0.25">
      <c r="B8" s="49"/>
      <c r="C8" s="49"/>
      <c r="D8" s="49"/>
      <c r="E8" s="49" t="s">
        <v>88</v>
      </c>
      <c r="F8" s="49">
        <v>30</v>
      </c>
      <c r="G8" s="49"/>
      <c r="H8" s="50"/>
      <c r="I8" s="50"/>
      <c r="J8" s="50"/>
      <c r="K8" s="50"/>
      <c r="L8" s="50"/>
      <c r="N8" s="49" t="s">
        <v>102</v>
      </c>
      <c r="O8" s="49">
        <f>O7*24</f>
        <v>168</v>
      </c>
      <c r="P8" s="49" t="s">
        <v>29</v>
      </c>
      <c r="Q8" s="49" t="s">
        <v>88</v>
      </c>
      <c r="R8" s="49">
        <v>30</v>
      </c>
      <c r="S8" s="49"/>
      <c r="T8" s="50"/>
      <c r="U8" s="50"/>
      <c r="V8" s="50"/>
      <c r="W8" s="50"/>
      <c r="X8" s="50"/>
    </row>
    <row r="9" spans="2:24" x14ac:dyDescent="0.25">
      <c r="B9" s="49"/>
      <c r="C9" s="49"/>
      <c r="D9" s="49"/>
      <c r="E9" s="49" t="s">
        <v>96</v>
      </c>
      <c r="F9" s="49">
        <v>15</v>
      </c>
      <c r="G9" s="49"/>
      <c r="H9" s="50"/>
      <c r="I9" s="50"/>
      <c r="J9" s="50"/>
      <c r="K9" s="50"/>
      <c r="L9" s="50"/>
      <c r="N9" s="49"/>
      <c r="O9" s="49"/>
      <c r="P9" s="49"/>
      <c r="Q9" s="49" t="s">
        <v>96</v>
      </c>
      <c r="R9" s="49">
        <v>15</v>
      </c>
      <c r="S9" s="49"/>
      <c r="T9" s="50"/>
      <c r="U9" s="50"/>
      <c r="V9" s="50"/>
      <c r="W9" s="50"/>
      <c r="X9" s="50"/>
    </row>
    <row r="10" spans="2:24" x14ac:dyDescent="0.25">
      <c r="B10" s="49"/>
      <c r="C10" s="49"/>
      <c r="D10" s="49"/>
      <c r="E10" s="52" t="s">
        <v>103</v>
      </c>
      <c r="F10" s="52">
        <f>SUM(F4:F9)</f>
        <v>168</v>
      </c>
      <c r="G10" s="49"/>
      <c r="H10" s="50"/>
      <c r="I10" s="50"/>
      <c r="J10" s="50"/>
      <c r="K10" s="50"/>
      <c r="L10" s="50"/>
      <c r="N10" s="49"/>
      <c r="O10" s="49"/>
      <c r="P10" s="49"/>
      <c r="Q10" s="52" t="s">
        <v>103</v>
      </c>
      <c r="R10" s="52">
        <f>SUM(R4:R9)</f>
        <v>168</v>
      </c>
      <c r="S10" s="49"/>
      <c r="T10" s="50"/>
      <c r="U10" s="50"/>
      <c r="V10" s="50"/>
      <c r="W10" s="50"/>
      <c r="X10" s="50"/>
    </row>
    <row r="11" spans="2:24" x14ac:dyDescent="0.25"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N11" s="49"/>
      <c r="O11" s="49"/>
      <c r="P11" s="49"/>
      <c r="Q11" s="49"/>
      <c r="R11" s="49"/>
      <c r="S11" s="49"/>
      <c r="T11" s="50"/>
      <c r="U11" s="50"/>
      <c r="V11" s="50"/>
      <c r="W11" s="50"/>
      <c r="X11" s="50"/>
    </row>
    <row r="12" spans="2:24" x14ac:dyDescent="0.25">
      <c r="B12" s="49" t="s">
        <v>31</v>
      </c>
      <c r="C12" s="49">
        <f>(F4+F5)*C4*2</f>
        <v>20496</v>
      </c>
      <c r="D12" s="49" t="s">
        <v>92</v>
      </c>
      <c r="E12" s="49"/>
      <c r="F12" s="49">
        <f>(F4+F5)*H4*2</f>
        <v>93.94</v>
      </c>
      <c r="G12" s="50" t="str">
        <f>I4</f>
        <v>м3</v>
      </c>
      <c r="H12" s="50"/>
      <c r="I12" s="50"/>
      <c r="J12" s="50"/>
      <c r="K12" s="50"/>
      <c r="L12" s="50"/>
      <c r="N12" s="49" t="s">
        <v>31</v>
      </c>
      <c r="O12" s="49">
        <f>(R4+R5)*O4</f>
        <v>10248</v>
      </c>
      <c r="P12" s="49" t="s">
        <v>92</v>
      </c>
      <c r="Q12" s="49"/>
      <c r="R12" s="49">
        <f>(R4+R5)*T4</f>
        <v>46.97</v>
      </c>
      <c r="S12" s="50" t="str">
        <f>U4</f>
        <v>м3</v>
      </c>
      <c r="T12" s="50"/>
      <c r="U12" s="50"/>
      <c r="V12" s="50"/>
      <c r="W12" s="50"/>
      <c r="X12" s="50"/>
    </row>
    <row r="13" spans="2:24" x14ac:dyDescent="0.25">
      <c r="B13" s="49" t="s">
        <v>91</v>
      </c>
      <c r="C13" s="49">
        <f>(F6+F7+F8+F9)*C4*2</f>
        <v>35952</v>
      </c>
      <c r="D13" s="49" t="s">
        <v>92</v>
      </c>
      <c r="E13" s="49"/>
      <c r="F13" s="49">
        <f>(F6+F7+F8+F9)*H4*2</f>
        <v>164.78</v>
      </c>
      <c r="G13" s="50" t="s">
        <v>89</v>
      </c>
      <c r="H13" s="50"/>
      <c r="I13" s="50"/>
      <c r="J13" s="50"/>
      <c r="K13" s="50"/>
      <c r="L13" s="50"/>
      <c r="N13" s="49" t="s">
        <v>91</v>
      </c>
      <c r="O13" s="49">
        <f>(R6+R7+R8+R9)*O4</f>
        <v>17976</v>
      </c>
      <c r="P13" s="49" t="s">
        <v>92</v>
      </c>
      <c r="Q13" s="49"/>
      <c r="R13" s="49">
        <f>(R6+R7+R8+R9)*T4</f>
        <v>82.39</v>
      </c>
      <c r="S13" s="50" t="s">
        <v>89</v>
      </c>
      <c r="T13" s="50"/>
      <c r="U13" s="50"/>
      <c r="V13" s="50"/>
      <c r="W13" s="50"/>
      <c r="X13" s="50"/>
    </row>
    <row r="14" spans="2:24" x14ac:dyDescent="0.25">
      <c r="B14" s="52" t="s">
        <v>90</v>
      </c>
      <c r="C14" s="52">
        <f>SUM(C12:C13)</f>
        <v>56448</v>
      </c>
      <c r="D14" s="52" t="s">
        <v>92</v>
      </c>
      <c r="E14" s="49"/>
      <c r="F14" s="52">
        <f>SUM(F12:F13)</f>
        <v>258.72000000000003</v>
      </c>
      <c r="G14" s="53" t="s">
        <v>89</v>
      </c>
      <c r="H14" s="50"/>
      <c r="I14" s="50"/>
      <c r="J14" s="50"/>
      <c r="K14" s="50"/>
      <c r="L14" s="50"/>
      <c r="N14" s="52" t="s">
        <v>90</v>
      </c>
      <c r="O14" s="52">
        <f>SUM(O12:O13)</f>
        <v>28224</v>
      </c>
      <c r="P14" s="52" t="s">
        <v>92</v>
      </c>
      <c r="Q14" s="49"/>
      <c r="R14" s="52">
        <f>SUM(R12:R13)</f>
        <v>129.36000000000001</v>
      </c>
      <c r="S14" s="53" t="s">
        <v>89</v>
      </c>
      <c r="T14" s="50"/>
      <c r="U14" s="50"/>
      <c r="V14" s="50"/>
      <c r="W14" s="50"/>
      <c r="X14" s="50"/>
    </row>
    <row r="15" spans="2:24" x14ac:dyDescent="0.25">
      <c r="B15" s="49" t="s">
        <v>93</v>
      </c>
      <c r="C15" s="49"/>
      <c r="D15" s="49"/>
      <c r="E15" s="49"/>
      <c r="F15" s="49"/>
      <c r="G15" s="49"/>
      <c r="H15" s="50"/>
      <c r="I15" s="50"/>
      <c r="J15" s="50"/>
      <c r="K15" s="50"/>
      <c r="L15" s="50"/>
      <c r="N15" s="49" t="s">
        <v>93</v>
      </c>
      <c r="O15" s="49"/>
      <c r="P15" s="49"/>
      <c r="Q15" s="49"/>
      <c r="R15" s="49"/>
      <c r="S15" s="49"/>
      <c r="T15" s="50"/>
      <c r="U15" s="50"/>
      <c r="V15" s="50"/>
      <c r="W15" s="50"/>
      <c r="X15" s="50"/>
    </row>
    <row r="18" spans="2:24" x14ac:dyDescent="0.25">
      <c r="B18" s="49"/>
      <c r="C18" s="102" t="s">
        <v>82</v>
      </c>
      <c r="D18" s="102"/>
      <c r="E18" s="49" t="s">
        <v>83</v>
      </c>
      <c r="F18" s="49"/>
      <c r="G18" s="49"/>
      <c r="H18" s="50"/>
      <c r="I18" s="50"/>
      <c r="J18" s="50"/>
      <c r="K18" s="50"/>
      <c r="L18" s="50"/>
      <c r="N18" s="49"/>
      <c r="O18" s="102" t="s">
        <v>82</v>
      </c>
      <c r="P18" s="102"/>
      <c r="Q18" s="49" t="s">
        <v>83</v>
      </c>
      <c r="R18" s="49"/>
      <c r="S18" s="49"/>
      <c r="T18" s="50"/>
      <c r="U18" s="50"/>
      <c r="V18" s="50"/>
      <c r="W18" s="50"/>
      <c r="X18" s="50"/>
    </row>
    <row r="19" spans="2:24" x14ac:dyDescent="0.25">
      <c r="B19" s="49" t="s">
        <v>97</v>
      </c>
      <c r="C19" s="49">
        <f>C22</f>
        <v>432</v>
      </c>
      <c r="D19" s="49" t="s">
        <v>29</v>
      </c>
      <c r="E19" s="49" t="s">
        <v>84</v>
      </c>
      <c r="F19" s="49">
        <v>31</v>
      </c>
      <c r="G19" s="49"/>
      <c r="H19" s="50">
        <v>0.77</v>
      </c>
      <c r="I19" s="50" t="s">
        <v>89</v>
      </c>
      <c r="J19" s="51" t="s">
        <v>94</v>
      </c>
      <c r="K19" s="50"/>
      <c r="L19" s="50"/>
      <c r="N19" s="49" t="s">
        <v>100</v>
      </c>
      <c r="O19" s="49">
        <f>O22</f>
        <v>816</v>
      </c>
      <c r="P19" s="49" t="s">
        <v>29</v>
      </c>
      <c r="Q19" s="49" t="s">
        <v>84</v>
      </c>
      <c r="R19" s="49">
        <v>31</v>
      </c>
      <c r="S19" s="49"/>
      <c r="T19" s="50">
        <v>3.85</v>
      </c>
      <c r="U19" s="50" t="s">
        <v>89</v>
      </c>
      <c r="V19" s="51" t="s">
        <v>94</v>
      </c>
      <c r="W19" s="50"/>
      <c r="X19" s="50"/>
    </row>
    <row r="20" spans="2:24" x14ac:dyDescent="0.25">
      <c r="B20" s="49"/>
      <c r="C20" s="49"/>
      <c r="D20" s="49"/>
      <c r="E20" s="49" t="s">
        <v>85</v>
      </c>
      <c r="F20" s="49">
        <v>30</v>
      </c>
      <c r="G20" s="49"/>
      <c r="H20" s="51" t="s">
        <v>95</v>
      </c>
      <c r="I20" s="50"/>
      <c r="J20" s="50"/>
      <c r="K20" s="50"/>
      <c r="L20" s="50"/>
      <c r="N20" s="49"/>
      <c r="O20" s="49"/>
      <c r="P20" s="49"/>
      <c r="Q20" s="49" t="s">
        <v>85</v>
      </c>
      <c r="R20" s="49">
        <v>30</v>
      </c>
      <c r="S20" s="49"/>
      <c r="T20" s="51" t="s">
        <v>95</v>
      </c>
      <c r="U20" s="50"/>
      <c r="V20" s="50"/>
      <c r="W20" s="50"/>
      <c r="X20" s="50"/>
    </row>
    <row r="21" spans="2:24" x14ac:dyDescent="0.25">
      <c r="B21" s="49" t="s">
        <v>101</v>
      </c>
      <c r="C21" s="49">
        <v>18</v>
      </c>
      <c r="D21" s="49" t="s">
        <v>29</v>
      </c>
      <c r="E21" s="49" t="s">
        <v>86</v>
      </c>
      <c r="F21" s="49">
        <v>31</v>
      </c>
      <c r="G21" s="49"/>
      <c r="H21" s="50"/>
      <c r="I21" s="50"/>
      <c r="J21" s="50"/>
      <c r="K21" s="50"/>
      <c r="L21" s="50"/>
      <c r="N21" s="49" t="s">
        <v>101</v>
      </c>
      <c r="O21" s="49">
        <v>34</v>
      </c>
      <c r="P21" s="49" t="s">
        <v>29</v>
      </c>
      <c r="Q21" s="49" t="s">
        <v>86</v>
      </c>
      <c r="R21" s="49">
        <v>31</v>
      </c>
      <c r="S21" s="49"/>
      <c r="T21" s="50"/>
      <c r="U21" s="50"/>
      <c r="V21" s="50"/>
      <c r="W21" s="50"/>
      <c r="X21" s="50"/>
    </row>
    <row r="22" spans="2:24" x14ac:dyDescent="0.25">
      <c r="B22" s="49" t="s">
        <v>102</v>
      </c>
      <c r="C22" s="49">
        <f>C21*24</f>
        <v>432</v>
      </c>
      <c r="D22" s="49" t="s">
        <v>29</v>
      </c>
      <c r="E22" s="49" t="s">
        <v>87</v>
      </c>
      <c r="F22" s="49">
        <v>31</v>
      </c>
      <c r="G22" s="49"/>
      <c r="H22" s="50"/>
      <c r="I22" s="50"/>
      <c r="J22" s="50"/>
      <c r="K22" s="50"/>
      <c r="L22" s="50"/>
      <c r="N22" s="49" t="s">
        <v>102</v>
      </c>
      <c r="O22" s="49">
        <f>O21*24</f>
        <v>816</v>
      </c>
      <c r="P22" s="49" t="s">
        <v>29</v>
      </c>
      <c r="Q22" s="49" t="s">
        <v>87</v>
      </c>
      <c r="R22" s="49">
        <v>31</v>
      </c>
      <c r="S22" s="49"/>
      <c r="T22" s="50"/>
      <c r="U22" s="50"/>
      <c r="V22" s="50"/>
      <c r="W22" s="50"/>
      <c r="X22" s="50"/>
    </row>
    <row r="23" spans="2:24" x14ac:dyDescent="0.25">
      <c r="B23" s="49"/>
      <c r="C23" s="49"/>
      <c r="D23" s="49"/>
      <c r="E23" s="49" t="s">
        <v>88</v>
      </c>
      <c r="F23" s="49">
        <v>30</v>
      </c>
      <c r="G23" s="49"/>
      <c r="H23" s="50"/>
      <c r="I23" s="50"/>
      <c r="J23" s="50"/>
      <c r="K23" s="50"/>
      <c r="L23" s="50"/>
      <c r="N23" s="49"/>
      <c r="O23" s="49"/>
      <c r="P23" s="49"/>
      <c r="Q23" s="49" t="s">
        <v>88</v>
      </c>
      <c r="R23" s="49">
        <v>30</v>
      </c>
      <c r="S23" s="49"/>
      <c r="T23" s="50"/>
      <c r="U23" s="50"/>
      <c r="V23" s="50"/>
      <c r="W23" s="50"/>
      <c r="X23" s="50"/>
    </row>
    <row r="24" spans="2:24" x14ac:dyDescent="0.25">
      <c r="B24" s="49"/>
      <c r="C24" s="49"/>
      <c r="D24" s="49"/>
      <c r="E24" s="49" t="s">
        <v>96</v>
      </c>
      <c r="F24" s="49">
        <v>15</v>
      </c>
      <c r="G24" s="49"/>
      <c r="H24" s="50"/>
      <c r="I24" s="50"/>
      <c r="J24" s="50"/>
      <c r="K24" s="50"/>
      <c r="L24" s="50"/>
      <c r="N24" s="49"/>
      <c r="O24" s="49"/>
      <c r="P24" s="49"/>
      <c r="Q24" s="49" t="s">
        <v>96</v>
      </c>
      <c r="R24" s="49">
        <v>15</v>
      </c>
      <c r="S24" s="49"/>
      <c r="T24" s="50"/>
      <c r="U24" s="50"/>
      <c r="V24" s="50"/>
      <c r="W24" s="50"/>
      <c r="X24" s="50"/>
    </row>
    <row r="25" spans="2:24" x14ac:dyDescent="0.25">
      <c r="B25" s="49"/>
      <c r="C25" s="49"/>
      <c r="D25" s="49"/>
      <c r="E25" s="52" t="s">
        <v>103</v>
      </c>
      <c r="F25" s="52">
        <f>SUM(F19:F24)</f>
        <v>168</v>
      </c>
      <c r="G25" s="49"/>
      <c r="H25" s="50"/>
      <c r="I25" s="50"/>
      <c r="J25" s="50"/>
      <c r="K25" s="50"/>
      <c r="L25" s="50"/>
      <c r="N25" s="49"/>
      <c r="O25" s="49"/>
      <c r="P25" s="49"/>
      <c r="Q25" s="52" t="s">
        <v>103</v>
      </c>
      <c r="R25" s="52">
        <f>SUM(R19:R24)</f>
        <v>168</v>
      </c>
      <c r="S25" s="49"/>
      <c r="T25" s="50"/>
      <c r="U25" s="50"/>
      <c r="V25" s="50"/>
      <c r="W25" s="50"/>
      <c r="X25" s="50"/>
    </row>
    <row r="26" spans="2:24" x14ac:dyDescent="0.25">
      <c r="B26" s="49"/>
      <c r="C26" s="49"/>
      <c r="D26" s="49"/>
      <c r="E26" s="49"/>
      <c r="F26" s="49"/>
      <c r="G26" s="49"/>
      <c r="H26" s="50"/>
      <c r="I26" s="50"/>
      <c r="J26" s="50"/>
      <c r="K26" s="50"/>
      <c r="L26" s="50"/>
      <c r="N26" s="49"/>
      <c r="O26" s="49"/>
      <c r="P26" s="49"/>
      <c r="Q26" s="49"/>
      <c r="R26" s="49"/>
      <c r="S26" s="49"/>
      <c r="T26" s="50"/>
      <c r="U26" s="50"/>
      <c r="V26" s="50"/>
      <c r="W26" s="50"/>
      <c r="X26" s="50"/>
    </row>
    <row r="27" spans="2:24" x14ac:dyDescent="0.25">
      <c r="B27" s="49" t="s">
        <v>31</v>
      </c>
      <c r="C27" s="49">
        <f>(F19+F20)*C19</f>
        <v>26352</v>
      </c>
      <c r="D27" s="49" t="s">
        <v>92</v>
      </c>
      <c r="E27" s="49"/>
      <c r="F27" s="49">
        <f>(F19+F20)*H19</f>
        <v>46.97</v>
      </c>
      <c r="G27" s="50" t="str">
        <f>I19</f>
        <v>м3</v>
      </c>
      <c r="H27" s="50"/>
      <c r="I27" s="50"/>
      <c r="J27" s="50"/>
      <c r="K27" s="50"/>
      <c r="L27" s="50"/>
      <c r="N27" s="49" t="s">
        <v>31</v>
      </c>
      <c r="O27" s="49">
        <f>(R19+R20)*O19</f>
        <v>49776</v>
      </c>
      <c r="P27" s="49" t="s">
        <v>92</v>
      </c>
      <c r="Q27" s="49"/>
      <c r="R27" s="49">
        <f>(R19+R20)*T19</f>
        <v>234.85</v>
      </c>
      <c r="S27" s="50" t="str">
        <f>U19</f>
        <v>м3</v>
      </c>
      <c r="T27" s="50"/>
      <c r="U27" s="50"/>
      <c r="V27" s="50"/>
      <c r="W27" s="50"/>
      <c r="X27" s="50"/>
    </row>
    <row r="28" spans="2:24" x14ac:dyDescent="0.25">
      <c r="B28" s="49" t="s">
        <v>91</v>
      </c>
      <c r="C28" s="49">
        <f>(F21+F22+F23+F24)*C19</f>
        <v>46224</v>
      </c>
      <c r="D28" s="49" t="s">
        <v>92</v>
      </c>
      <c r="E28" s="49"/>
      <c r="F28" s="49">
        <f>(F21+F22+F23+F24)*H19</f>
        <v>82.39</v>
      </c>
      <c r="G28" s="50" t="s">
        <v>89</v>
      </c>
      <c r="H28" s="50"/>
      <c r="I28" s="50"/>
      <c r="J28" s="50"/>
      <c r="K28" s="50"/>
      <c r="L28" s="50"/>
      <c r="N28" s="49" t="s">
        <v>91</v>
      </c>
      <c r="O28" s="49">
        <f>(R21+R22+R23+R24)*O19</f>
        <v>87312</v>
      </c>
      <c r="P28" s="49" t="s">
        <v>92</v>
      </c>
      <c r="Q28" s="49"/>
      <c r="R28" s="49">
        <f>(R21+R22+R23+R24)*T19</f>
        <v>411.95</v>
      </c>
      <c r="S28" s="50" t="s">
        <v>89</v>
      </c>
      <c r="T28" s="50"/>
      <c r="U28" s="50"/>
      <c r="V28" s="50"/>
      <c r="W28" s="50"/>
      <c r="X28" s="50"/>
    </row>
    <row r="29" spans="2:24" x14ac:dyDescent="0.25">
      <c r="B29" s="52" t="s">
        <v>90</v>
      </c>
      <c r="C29" s="52">
        <f>SUM(C27:C28)</f>
        <v>72576</v>
      </c>
      <c r="D29" s="52" t="s">
        <v>92</v>
      </c>
      <c r="E29" s="49"/>
      <c r="F29" s="52">
        <f>SUM(F27:F28)</f>
        <v>129.36000000000001</v>
      </c>
      <c r="G29" s="53" t="s">
        <v>89</v>
      </c>
      <c r="H29" s="50"/>
      <c r="I29" s="50"/>
      <c r="J29" s="50"/>
      <c r="K29" s="50"/>
      <c r="L29" s="50"/>
      <c r="N29" s="52" t="s">
        <v>90</v>
      </c>
      <c r="O29" s="52">
        <f>SUM(O27:O28)</f>
        <v>137088</v>
      </c>
      <c r="P29" s="52" t="s">
        <v>92</v>
      </c>
      <c r="Q29" s="49"/>
      <c r="R29" s="52">
        <f>SUM(R27:R28)</f>
        <v>646.79999999999995</v>
      </c>
      <c r="S29" s="53" t="s">
        <v>89</v>
      </c>
      <c r="T29" s="50"/>
      <c r="U29" s="50"/>
      <c r="V29" s="50"/>
      <c r="W29" s="50"/>
      <c r="X29" s="50"/>
    </row>
    <row r="30" spans="2:24" x14ac:dyDescent="0.25">
      <c r="B30" s="49" t="s">
        <v>93</v>
      </c>
      <c r="C30" s="49"/>
      <c r="D30" s="49"/>
      <c r="E30" s="49"/>
      <c r="F30" s="49"/>
      <c r="G30" s="49"/>
      <c r="H30" s="50"/>
      <c r="I30" s="50"/>
      <c r="J30" s="50"/>
      <c r="K30" s="50"/>
      <c r="L30" s="50"/>
      <c r="N30" s="49" t="s">
        <v>93</v>
      </c>
      <c r="O30" s="49"/>
      <c r="P30" s="49"/>
      <c r="Q30" s="49"/>
      <c r="R30" s="49"/>
      <c r="S30" s="49"/>
      <c r="T30" s="50"/>
      <c r="U30" s="50"/>
      <c r="V30" s="50"/>
      <c r="W30" s="50"/>
      <c r="X30" s="50"/>
    </row>
    <row r="33" spans="2:12" x14ac:dyDescent="0.25">
      <c r="B33" t="s">
        <v>103</v>
      </c>
      <c r="C33" t="s">
        <v>104</v>
      </c>
      <c r="E33" t="s">
        <v>105</v>
      </c>
    </row>
    <row r="34" spans="2:12" x14ac:dyDescent="0.25">
      <c r="B34" t="s">
        <v>31</v>
      </c>
      <c r="C34" s="38">
        <f>C12+C27+O12+O27</f>
        <v>106872</v>
      </c>
      <c r="D34" s="38" t="s">
        <v>106</v>
      </c>
      <c r="E34" s="38">
        <f>F12+R12+R27+F27</f>
        <v>422.73</v>
      </c>
      <c r="F34" s="50" t="s">
        <v>89</v>
      </c>
      <c r="G34" s="38"/>
      <c r="H34" s="54"/>
    </row>
    <row r="35" spans="2:12" x14ac:dyDescent="0.25">
      <c r="B35" t="s">
        <v>91</v>
      </c>
      <c r="C35" s="38">
        <f>C13+O13+O28+C28</f>
        <v>187464</v>
      </c>
      <c r="D35" s="38" t="s">
        <v>106</v>
      </c>
      <c r="E35" s="38">
        <f>F13+R13+R28+F28</f>
        <v>741.51</v>
      </c>
      <c r="F35" s="50" t="s">
        <v>89</v>
      </c>
      <c r="G35" s="38"/>
      <c r="H35" s="54"/>
    </row>
    <row r="36" spans="2:12" x14ac:dyDescent="0.25">
      <c r="B36" s="48" t="s">
        <v>103</v>
      </c>
      <c r="C36" s="55">
        <f>SUM(C34:C35)</f>
        <v>294336</v>
      </c>
      <c r="D36" s="55" t="s">
        <v>106</v>
      </c>
      <c r="E36" s="55">
        <f>SUM(E34:E35)</f>
        <v>1164.24</v>
      </c>
      <c r="F36" s="50" t="s">
        <v>89</v>
      </c>
    </row>
    <row r="39" spans="2:12" x14ac:dyDescent="0.25">
      <c r="B39" s="49" t="s">
        <v>114</v>
      </c>
      <c r="C39" s="97">
        <v>2020</v>
      </c>
      <c r="D39" s="98"/>
      <c r="E39" s="99"/>
      <c r="F39" s="97">
        <v>2021</v>
      </c>
      <c r="G39" s="98"/>
      <c r="H39" s="99"/>
      <c r="I39" s="97">
        <v>2022</v>
      </c>
      <c r="J39" s="98"/>
      <c r="K39" s="99"/>
      <c r="L39" s="57" t="s">
        <v>117</v>
      </c>
    </row>
    <row r="40" spans="2:12" x14ac:dyDescent="0.25">
      <c r="B40" s="49"/>
      <c r="C40" s="57" t="s">
        <v>115</v>
      </c>
      <c r="D40" s="57" t="s">
        <v>116</v>
      </c>
      <c r="E40" s="57" t="s">
        <v>103</v>
      </c>
      <c r="F40" s="57" t="s">
        <v>115</v>
      </c>
      <c r="G40" s="57" t="s">
        <v>116</v>
      </c>
      <c r="H40" s="57" t="s">
        <v>103</v>
      </c>
      <c r="I40" s="57" t="s">
        <v>115</v>
      </c>
      <c r="J40" s="57" t="s">
        <v>116</v>
      </c>
      <c r="K40" s="57" t="s">
        <v>103</v>
      </c>
      <c r="L40" s="57" t="s">
        <v>118</v>
      </c>
    </row>
    <row r="41" spans="2:12" x14ac:dyDescent="0.25">
      <c r="B41" s="49" t="s">
        <v>31</v>
      </c>
      <c r="C41" s="49">
        <f>C34/1000</f>
        <v>106.872</v>
      </c>
      <c r="D41" s="58">
        <f>C41*ТАРИФЫ!F21</f>
        <v>648.92678399999988</v>
      </c>
      <c r="E41" s="100">
        <f>D41+D42</f>
        <v>1849.8136694399996</v>
      </c>
      <c r="F41" s="49">
        <f>C41</f>
        <v>106.872</v>
      </c>
      <c r="G41" s="58">
        <f>F41*6.07</f>
        <v>648.71303999999998</v>
      </c>
      <c r="H41" s="100">
        <f>G41+G42</f>
        <v>1850.3572800000002</v>
      </c>
      <c r="I41" s="49">
        <f>F41</f>
        <v>106.872</v>
      </c>
      <c r="J41" s="58">
        <f>I41*6.38</f>
        <v>681.84335999999996</v>
      </c>
      <c r="K41" s="100">
        <f>J41+J42</f>
        <v>1945.3507199999999</v>
      </c>
      <c r="L41" s="95">
        <f>E41+H41+K41</f>
        <v>5645.5216694399996</v>
      </c>
    </row>
    <row r="42" spans="2:12" x14ac:dyDescent="0.25">
      <c r="B42" s="49" t="s">
        <v>91</v>
      </c>
      <c r="C42" s="49">
        <f>C35/1000</f>
        <v>187.464</v>
      </c>
      <c r="D42" s="58">
        <f>C42*ТАРИФЫ!G21</f>
        <v>1200.8868854399998</v>
      </c>
      <c r="E42" s="101"/>
      <c r="F42" s="49">
        <f>C42</f>
        <v>187.464</v>
      </c>
      <c r="G42" s="58">
        <f>F42*6.41</f>
        <v>1201.6442400000001</v>
      </c>
      <c r="H42" s="101"/>
      <c r="I42" s="49">
        <f>F42</f>
        <v>187.464</v>
      </c>
      <c r="J42" s="58">
        <f>I42*6.74</f>
        <v>1263.5073600000001</v>
      </c>
      <c r="K42" s="101"/>
      <c r="L42" s="96"/>
    </row>
    <row r="43" spans="2:12" x14ac:dyDescent="0.2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7"/>
    </row>
    <row r="44" spans="2:12" x14ac:dyDescent="0.25">
      <c r="B44" s="49" t="s">
        <v>119</v>
      </c>
      <c r="C44" s="97">
        <v>2020</v>
      </c>
      <c r="D44" s="98"/>
      <c r="E44" s="99"/>
      <c r="F44" s="97">
        <v>2021</v>
      </c>
      <c r="G44" s="98"/>
      <c r="H44" s="99"/>
      <c r="I44" s="97">
        <v>2021</v>
      </c>
      <c r="J44" s="98"/>
      <c r="K44" s="99"/>
      <c r="L44" s="57" t="s">
        <v>117</v>
      </c>
    </row>
    <row r="45" spans="2:12" x14ac:dyDescent="0.25">
      <c r="B45" s="49"/>
      <c r="C45" s="57" t="s">
        <v>89</v>
      </c>
      <c r="D45" s="57" t="s">
        <v>116</v>
      </c>
      <c r="E45" s="57" t="s">
        <v>103</v>
      </c>
      <c r="F45" s="57" t="s">
        <v>89</v>
      </c>
      <c r="G45" s="57" t="s">
        <v>116</v>
      </c>
      <c r="H45" s="57" t="s">
        <v>103</v>
      </c>
      <c r="I45" s="57" t="s">
        <v>89</v>
      </c>
      <c r="J45" s="57" t="s">
        <v>116</v>
      </c>
      <c r="K45" s="57" t="s">
        <v>103</v>
      </c>
      <c r="L45" s="57" t="s">
        <v>118</v>
      </c>
    </row>
    <row r="46" spans="2:12" x14ac:dyDescent="0.25">
      <c r="B46" s="49" t="s">
        <v>31</v>
      </c>
      <c r="C46" s="59">
        <f>E34</f>
        <v>422.73</v>
      </c>
      <c r="D46" s="58">
        <f>C46*40.25/1000</f>
        <v>17.014882499999999</v>
      </c>
      <c r="E46" s="100">
        <f>D46+D47</f>
        <v>47.424207599999995</v>
      </c>
      <c r="F46" s="49">
        <f>C46</f>
        <v>422.73</v>
      </c>
      <c r="G46" s="58">
        <f>F46*42.01/1000</f>
        <v>17.758887299999998</v>
      </c>
      <c r="H46" s="100">
        <f>G46+G47</f>
        <v>50.1109686</v>
      </c>
      <c r="I46" s="49">
        <f>F46</f>
        <v>422.73</v>
      </c>
      <c r="J46" s="58">
        <f>I46*43.63/1000</f>
        <v>18.443709900000002</v>
      </c>
      <c r="K46" s="100">
        <f>J46+J47</f>
        <v>51.848735399999995</v>
      </c>
      <c r="L46" s="95">
        <f>E46+H46+K46</f>
        <v>149.38391159999998</v>
      </c>
    </row>
    <row r="47" spans="2:12" x14ac:dyDescent="0.25">
      <c r="B47" s="49" t="s">
        <v>91</v>
      </c>
      <c r="C47" s="59">
        <f>E35</f>
        <v>741.51</v>
      </c>
      <c r="D47" s="58">
        <f>C47*41.01/1000</f>
        <v>30.409325099999997</v>
      </c>
      <c r="E47" s="101"/>
      <c r="F47" s="49">
        <f>C47</f>
        <v>741.51</v>
      </c>
      <c r="G47" s="58">
        <f>F47*43.63/1000</f>
        <v>32.352081300000002</v>
      </c>
      <c r="H47" s="101"/>
      <c r="I47" s="49">
        <f>F47</f>
        <v>741.51</v>
      </c>
      <c r="J47" s="58">
        <f>I47*45.05/1000</f>
        <v>33.405025499999994</v>
      </c>
      <c r="K47" s="101"/>
      <c r="L47" s="96"/>
    </row>
    <row r="48" spans="2:12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7"/>
    </row>
    <row r="50" spans="2:12" x14ac:dyDescent="0.25">
      <c r="B50" s="49" t="s">
        <v>120</v>
      </c>
      <c r="C50" s="97">
        <v>2020</v>
      </c>
      <c r="D50" s="98"/>
      <c r="E50" s="99"/>
      <c r="F50" s="97">
        <v>2021</v>
      </c>
      <c r="G50" s="98"/>
      <c r="H50" s="99"/>
      <c r="I50" s="97">
        <v>2021</v>
      </c>
      <c r="J50" s="98"/>
      <c r="K50" s="99"/>
      <c r="L50" s="57" t="s">
        <v>117</v>
      </c>
    </row>
    <row r="51" spans="2:12" x14ac:dyDescent="0.25">
      <c r="B51" s="49"/>
      <c r="C51" s="57" t="s">
        <v>89</v>
      </c>
      <c r="D51" s="57" t="s">
        <v>116</v>
      </c>
      <c r="E51" s="57" t="s">
        <v>103</v>
      </c>
      <c r="F51" s="57" t="s">
        <v>89</v>
      </c>
      <c r="G51" s="57" t="s">
        <v>116</v>
      </c>
      <c r="H51" s="57" t="s">
        <v>103</v>
      </c>
      <c r="I51" s="57" t="s">
        <v>89</v>
      </c>
      <c r="J51" s="57" t="s">
        <v>116</v>
      </c>
      <c r="K51" s="57" t="s">
        <v>103</v>
      </c>
      <c r="L51" s="57" t="s">
        <v>118</v>
      </c>
    </row>
    <row r="52" spans="2:12" x14ac:dyDescent="0.25">
      <c r="B52" s="49" t="s">
        <v>31</v>
      </c>
      <c r="C52" s="59">
        <f>C46</f>
        <v>422.73</v>
      </c>
      <c r="D52" s="58">
        <v>92.4</v>
      </c>
      <c r="E52" s="100">
        <f>D52+D53</f>
        <v>189.22</v>
      </c>
      <c r="F52" s="49">
        <f>C52</f>
        <v>422.73</v>
      </c>
      <c r="G52" s="58">
        <v>94.8</v>
      </c>
      <c r="H52" s="100">
        <f>G52+G53</f>
        <v>194.13</v>
      </c>
      <c r="I52" s="49">
        <f>F52</f>
        <v>422.73</v>
      </c>
      <c r="J52" s="58">
        <v>97.2</v>
      </c>
      <c r="K52" s="100">
        <f>J52+J53</f>
        <v>198.78</v>
      </c>
      <c r="L52" s="95">
        <f>E52+H52+K52</f>
        <v>582.13</v>
      </c>
    </row>
    <row r="53" spans="2:12" x14ac:dyDescent="0.25">
      <c r="B53" s="49" t="s">
        <v>91</v>
      </c>
      <c r="C53" s="59">
        <f>C47</f>
        <v>741.51</v>
      </c>
      <c r="D53" s="58">
        <v>96.82</v>
      </c>
      <c r="E53" s="101"/>
      <c r="F53" s="49">
        <f>C53</f>
        <v>741.51</v>
      </c>
      <c r="G53" s="58">
        <v>99.33</v>
      </c>
      <c r="H53" s="101"/>
      <c r="I53" s="49">
        <f>F53</f>
        <v>741.51</v>
      </c>
      <c r="J53" s="58">
        <v>101.58</v>
      </c>
      <c r="K53" s="101"/>
      <c r="L53" s="96"/>
    </row>
    <row r="54" spans="2:12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7"/>
    </row>
    <row r="56" spans="2:12" x14ac:dyDescent="0.25">
      <c r="B56" s="49" t="s">
        <v>123</v>
      </c>
      <c r="C56" s="57">
        <f>F7+F8+F9</f>
        <v>76</v>
      </c>
      <c r="D56" s="57">
        <f>C56*O22</f>
        <v>62016</v>
      </c>
      <c r="E56" s="57">
        <v>5.4960000000000004</v>
      </c>
      <c r="F56" s="49">
        <f>D56*E56</f>
        <v>340839.93600000005</v>
      </c>
    </row>
    <row r="57" spans="2:12" x14ac:dyDescent="0.25">
      <c r="B57" s="49" t="s">
        <v>124</v>
      </c>
      <c r="C57" s="57" t="s">
        <v>121</v>
      </c>
      <c r="D57" s="57" t="s">
        <v>106</v>
      </c>
      <c r="E57" s="57" t="s">
        <v>122</v>
      </c>
      <c r="F57" s="57" t="s">
        <v>8</v>
      </c>
      <c r="G57" s="47"/>
    </row>
  </sheetData>
  <mergeCells count="25">
    <mergeCell ref="C3:D3"/>
    <mergeCell ref="C18:D18"/>
    <mergeCell ref="O3:P3"/>
    <mergeCell ref="O18:P18"/>
    <mergeCell ref="C39:E39"/>
    <mergeCell ref="F39:H39"/>
    <mergeCell ref="I39:K39"/>
    <mergeCell ref="E41:E42"/>
    <mergeCell ref="H41:H42"/>
    <mergeCell ref="K41:K42"/>
    <mergeCell ref="L41:L42"/>
    <mergeCell ref="E46:E47"/>
    <mergeCell ref="H46:H47"/>
    <mergeCell ref="K46:K47"/>
    <mergeCell ref="L46:L47"/>
    <mergeCell ref="C44:E44"/>
    <mergeCell ref="F44:H44"/>
    <mergeCell ref="I44:K44"/>
    <mergeCell ref="L52:L53"/>
    <mergeCell ref="C50:E50"/>
    <mergeCell ref="F50:H50"/>
    <mergeCell ref="I50:K50"/>
    <mergeCell ref="E52:E53"/>
    <mergeCell ref="H52:H53"/>
    <mergeCell ref="K52:K53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ЛИМИТЫ</vt:lpstr>
      <vt:lpstr>ТАРИФЫ</vt:lpstr>
      <vt:lpstr>Лист4</vt:lpstr>
      <vt:lpstr>ЛИМИТЫ!Заголовки_для_печати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Дмитрий Валерьевич</dc:creator>
  <cp:lastModifiedBy>Свободный комп</cp:lastModifiedBy>
  <cp:lastPrinted>2019-08-20T03:45:26Z</cp:lastPrinted>
  <dcterms:created xsi:type="dcterms:W3CDTF">2016-11-22T02:25:12Z</dcterms:created>
  <dcterms:modified xsi:type="dcterms:W3CDTF">2019-08-20T03:46:11Z</dcterms:modified>
</cp:coreProperties>
</file>