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8445" windowHeight="4740" activeTab="4"/>
  </bookViews>
  <sheets>
    <sheet name="Ф1 форма ОМС" sheetId="1" r:id="rId1"/>
    <sheet name="Ф2 ПРМЗ" sheetId="2" r:id="rId2"/>
    <sheet name="Ф2 Вемол" sheetId="3" r:id="rId3"/>
    <sheet name="Ф3 Осн показ" sheetId="4" r:id="rId4"/>
    <sheet name="Ф9 МУП" sheetId="5" r:id="rId5"/>
    <sheet name="Ввод ОФ" sheetId="6" r:id="rId6"/>
  </sheets>
  <definedNames>
    <definedName name="_xlnm.Print_Area" localSheetId="2">'Ф2 Вемол'!$A$1:$L$58</definedName>
    <definedName name="_xlnm.Print_Area" localSheetId="1">'Ф2 ПРМЗ'!$A$1:$L$58</definedName>
    <definedName name="_xlnm.Print_Area" localSheetId="3">'Ф3 Осн показ'!$A$1:$N$25</definedName>
  </definedNames>
  <calcPr fullCalcOnLoad="1"/>
</workbook>
</file>

<file path=xl/sharedStrings.xml><?xml version="1.0" encoding="utf-8"?>
<sst xmlns="http://schemas.openxmlformats.org/spreadsheetml/2006/main" count="635" uniqueCount="232">
  <si>
    <t>в сопоставимых ценах к предыдущему году</t>
  </si>
  <si>
    <t>тыс. руб.</t>
  </si>
  <si>
    <t>%</t>
  </si>
  <si>
    <t>в соответ.     ед. измер.</t>
  </si>
  <si>
    <t>Инвестиции</t>
  </si>
  <si>
    <t>человек</t>
  </si>
  <si>
    <t>ПРОГНОЗ</t>
  </si>
  <si>
    <t xml:space="preserve">  прибыли</t>
  </si>
  <si>
    <t>Ввод в действие основных фондов</t>
  </si>
  <si>
    <t xml:space="preserve">  амортизации</t>
  </si>
  <si>
    <t xml:space="preserve">  кредитов банков</t>
  </si>
  <si>
    <t xml:space="preserve">  бюджетных средств</t>
  </si>
  <si>
    <t>Труд (по полному кругу)</t>
  </si>
  <si>
    <t>Объем инвестиций в основной капитал за счет всех источников финансирования в действующих ценах каждого года</t>
  </si>
  <si>
    <t xml:space="preserve">   Объемы инвестиций за счет источников:</t>
  </si>
  <si>
    <t>Форма 1</t>
  </si>
  <si>
    <t>Производство основных видов продукции в натур. выражении</t>
  </si>
  <si>
    <t>Единицы измерения</t>
  </si>
  <si>
    <t>Янв-июнь</t>
  </si>
  <si>
    <t>оценка года</t>
  </si>
  <si>
    <t>Верещагинского муниципального района</t>
  </si>
  <si>
    <r>
      <t xml:space="preserve">Среднесписочная численность работающих (в среднегодовом исчислении) - </t>
    </r>
    <r>
      <rPr>
        <b/>
        <sz val="14"/>
        <rFont val="Times New Roman"/>
        <family val="1"/>
      </rPr>
      <t>всего</t>
    </r>
  </si>
  <si>
    <r>
      <t xml:space="preserve">Фонд заработной платы работников - </t>
    </r>
    <r>
      <rPr>
        <b/>
        <sz val="14"/>
        <rFont val="Times New Roman"/>
        <family val="1"/>
      </rPr>
      <t>всего</t>
    </r>
  </si>
  <si>
    <t>Производство товаров и услуг</t>
  </si>
  <si>
    <t>Выручка предприятий и организаций от продажи товаров, продукции, работ, услуг (за минусом НДС, акцизов и аналогичных обязательных платежей), в действующих ценах каждого года</t>
  </si>
  <si>
    <t>млн. руб.</t>
  </si>
  <si>
    <t>на очередной финансовый год и плановый период бюджетообразующих организаций района</t>
  </si>
  <si>
    <t>Форма 2</t>
  </si>
  <si>
    <t>Единица измерения</t>
  </si>
  <si>
    <t>Январь-июнь отчет</t>
  </si>
  <si>
    <t>тыс.руб.</t>
  </si>
  <si>
    <t>в т.ч. по основному виду деятельности в действующих ценах каждого года</t>
  </si>
  <si>
    <t>Производство основных видов продукции в натуральном выражении</t>
  </si>
  <si>
    <t>в соотв. ед.изм.</t>
  </si>
  <si>
    <t xml:space="preserve">Труд </t>
  </si>
  <si>
    <t>Среднесписочная численность работающих (в среднегодовом исчислении) - всего</t>
  </si>
  <si>
    <t>чел.</t>
  </si>
  <si>
    <t>Фонд заработной платы работников - всего</t>
  </si>
  <si>
    <t>Среднемесячная заработная плата - всего</t>
  </si>
  <si>
    <t>Выплаты соц.характера работников - всего</t>
  </si>
  <si>
    <t>Объем инвестиций в основной капитал за счет всех источников финансирования в действующих ценах каждого года , всего</t>
  </si>
  <si>
    <t>в т.ч. за счет:</t>
  </si>
  <si>
    <t>прибыли</t>
  </si>
  <si>
    <t>амортизации</t>
  </si>
  <si>
    <t>кредитов банков</t>
  </si>
  <si>
    <t>других заемных средств</t>
  </si>
  <si>
    <t>Затраты на производство и реализацию продукции (работ, услуг) - всего</t>
  </si>
  <si>
    <t>Покупные комплектующие изделия и полуфабрикаты</t>
  </si>
  <si>
    <t>Работы и услуги производственного характера, выполненные сторонними организациями</t>
  </si>
  <si>
    <t>Топливо</t>
  </si>
  <si>
    <t>Энергия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</si>
  <si>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</si>
  <si>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</si>
  <si>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</si>
  <si>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</t>
  </si>
  <si>
    <t>Затраты на один рубль производства и реализации продукции (работ, услуг)</t>
  </si>
  <si>
    <t>Финансы</t>
  </si>
  <si>
    <t>Амортизационные отчисления</t>
  </si>
  <si>
    <t>Внешнеэкономическая деятельность</t>
  </si>
  <si>
    <t>Иностранные инвестиции</t>
  </si>
  <si>
    <t>тыс.$ США</t>
  </si>
  <si>
    <t>Экспорт</t>
  </si>
  <si>
    <t>Импорт</t>
  </si>
  <si>
    <t>Выручка предприятий и организаций от продажи товаров, продукции, работ, услуг (за минусом НДС, акцизов и аналогичных обязательных платежей), в действующих ценах каждого года (код 010) *</t>
  </si>
  <si>
    <t xml:space="preserve">   в том числе по статьям:</t>
  </si>
  <si>
    <t>X</t>
  </si>
  <si>
    <t>Сырье  и материалы</t>
  </si>
  <si>
    <t>коп/руб</t>
  </si>
  <si>
    <t xml:space="preserve">Себестоимость производства товаров (услуг), включая расходы на продажу, управленческие расходы  - всего (код 020 + код 030 + код 040)* </t>
  </si>
  <si>
    <t>Валовая прибыль (код 029) *</t>
  </si>
  <si>
    <t>Прибыль (убыток) от продаж (код 050) *</t>
  </si>
  <si>
    <t>Прибыль (убыток) до налогообложения (код 140) *</t>
  </si>
  <si>
    <t>Начисленный налог на прибыль (код 149) *</t>
  </si>
  <si>
    <t>Х</t>
  </si>
  <si>
    <t>* Код строки в Отчете о прибылях и убытках</t>
  </si>
  <si>
    <t>Основные показатели для расчета прогноза социально-экономического развития и формирования бюджета</t>
  </si>
  <si>
    <t>на очередной финансовый год и плановый период</t>
  </si>
  <si>
    <t>Показатели</t>
  </si>
  <si>
    <t>Ед. измер.</t>
  </si>
  <si>
    <t>Численность постоянного населения</t>
  </si>
  <si>
    <t>Численность детей до 18 лет</t>
  </si>
  <si>
    <t>Среднесписочная численность работающих</t>
  </si>
  <si>
    <t>Фонд заработной платы</t>
  </si>
  <si>
    <t>Рост номинальной заработной платы</t>
  </si>
  <si>
    <t>в том числе на платные услуги</t>
  </si>
  <si>
    <t>на оплату тепловой энергии</t>
  </si>
  <si>
    <t>на оплату электроэнергии</t>
  </si>
  <si>
    <t>Основные показатели по муниципальным унитарным предприятиям района</t>
  </si>
  <si>
    <t>Ед. изм.</t>
  </si>
  <si>
    <t>Чел.</t>
  </si>
  <si>
    <t>в том числе по предприятиям:</t>
  </si>
  <si>
    <t>Фонд оплаты труда</t>
  </si>
  <si>
    <t>Выпуск товаров, работ и услуг по основной деятельности</t>
  </si>
  <si>
    <t>Чистая прибыль</t>
  </si>
  <si>
    <t>Тыс. руб.</t>
  </si>
  <si>
    <t>Прогноз социально-экономического развития Верещагинского муниципального района</t>
  </si>
  <si>
    <t xml:space="preserve">Прогноз социально-экономического развития </t>
  </si>
  <si>
    <t>Среднемесячная заработная плата</t>
  </si>
  <si>
    <t>руб.</t>
  </si>
  <si>
    <t>МУП "Вознесенская служба благоустройства"</t>
  </si>
  <si>
    <t>МУП "Бюро технической инвентаризации"</t>
  </si>
  <si>
    <t>МУП "Верещагинский комбинат детского питания"</t>
  </si>
  <si>
    <t>МУП "Комбинат ЖКХ Сепычёвского сельского поселения"</t>
  </si>
  <si>
    <t>МУП "Бородульское ЖКХ"</t>
  </si>
  <si>
    <t>МУП "Зюкайский комбинат ЖКХ"</t>
  </si>
  <si>
    <t>МУП "Верещагинские тепловые сети"</t>
  </si>
  <si>
    <t>МУП "Верещагинское АТП"</t>
  </si>
  <si>
    <t>МУП "Верещагинский комбинат благоустройства"</t>
  </si>
  <si>
    <t>МУП "Верещагинские водоканализационные сети"</t>
  </si>
  <si>
    <t>МУП "Комбинат ЖКХ Нижнегалинского сельского поселения"</t>
  </si>
  <si>
    <t>МУП "Путинский комбинат благоустройства"</t>
  </si>
  <si>
    <t>МУП "Зюкайские тепловые сети"</t>
  </si>
  <si>
    <t>2013 год</t>
  </si>
  <si>
    <t>2014 год</t>
  </si>
  <si>
    <t>2015 год оценка</t>
  </si>
  <si>
    <t>2016 год</t>
  </si>
  <si>
    <t>2018 год</t>
  </si>
  <si>
    <t>пессимист. вариант</t>
  </si>
  <si>
    <t>базовый вариант</t>
  </si>
  <si>
    <t>ИТОГО:</t>
  </si>
  <si>
    <t>2017 год год</t>
  </si>
  <si>
    <t>ОАО "Верещагинский ПРМЗ "Ремпутьмаш"</t>
  </si>
  <si>
    <t>2015 год</t>
  </si>
  <si>
    <t xml:space="preserve">базовый вариант </t>
  </si>
  <si>
    <t>1. Состав для вывозки засорителей  СЗ(7+5)</t>
  </si>
  <si>
    <t>состав</t>
  </si>
  <si>
    <t>2. Поезд снегоуборочный самоходный ПСС 1-К</t>
  </si>
  <si>
    <t>поезд</t>
  </si>
  <si>
    <t xml:space="preserve">2013 год </t>
  </si>
  <si>
    <t>2017 год</t>
  </si>
  <si>
    <t>3. Состав для вывозки засорителей 240-6 ВК</t>
  </si>
  <si>
    <t>вагон</t>
  </si>
  <si>
    <t>оптимис. вариант</t>
  </si>
  <si>
    <t>*Индекс потребительских цен</t>
  </si>
  <si>
    <t>оптимист. вариант</t>
  </si>
  <si>
    <t xml:space="preserve">  1. Цельномолочная продукция</t>
  </si>
  <si>
    <t xml:space="preserve">тонн </t>
  </si>
  <si>
    <t xml:space="preserve">  2. Масло сливочное</t>
  </si>
  <si>
    <t xml:space="preserve">  3. Молоко и сливки в твердых формах</t>
  </si>
  <si>
    <t xml:space="preserve"> 4. Состав для вывозки засорителей  СЗ(7+5)</t>
  </si>
  <si>
    <t xml:space="preserve"> 5. Поезд снегоуборочный самоходный ПСС 1-К</t>
  </si>
  <si>
    <t>-</t>
  </si>
  <si>
    <t xml:space="preserve"> по  Верещагинскому  муниципальному  району</t>
  </si>
  <si>
    <t>№ п/п</t>
  </si>
  <si>
    <t>Наименование  показателя</t>
  </si>
  <si>
    <t>2013 год
отчет</t>
  </si>
  <si>
    <t>2014 год
отчет</t>
  </si>
  <si>
    <t>Январь-июнь, отчет</t>
  </si>
  <si>
    <t>отчет</t>
  </si>
  <si>
    <t>1 вариант (пессимист.)</t>
  </si>
  <si>
    <t>2 вариант (базовый)</t>
  </si>
  <si>
    <t>Детский сад на 140 мест в г.Верещагино</t>
  </si>
  <si>
    <t>мест</t>
  </si>
  <si>
    <t>Распределительный газопровод низкого давления п. Зюкайка Верещагинского района (1 очередь)</t>
  </si>
  <si>
    <t>км</t>
  </si>
  <si>
    <t>Распределительный газопровод низкого давления п. Зюкайка Верещагинского района (2 очередь)</t>
  </si>
  <si>
    <t>Распределительный газопровод  д.Кривчаны, д.Демино, д.Егорово</t>
  </si>
  <si>
    <t>Перепланировка и переустройство нежилого помещения под квартиру в доме 18 по ул. Маяковского, п. Зюкайка</t>
  </si>
  <si>
    <t>м2</t>
  </si>
  <si>
    <t>Капитальный ремонт автомобильной дороги по ул. Карла Маркса в г. Верещагино</t>
  </si>
  <si>
    <t>Капитальный ремонт путепровода</t>
  </si>
  <si>
    <t>Реконструкция автомобильной дороги "Верещагино-Соколово-Ивашково"</t>
  </si>
  <si>
    <t>Реконструкция незаверщенного строительством здания прачечной под патолого-анатомическое  отделение (морг) в г. Верещагино</t>
  </si>
  <si>
    <t>рабочих столов</t>
  </si>
  <si>
    <t>Межпоселковый распределительный газопровод высокого давления "АГРС г. Верещагино-д. Бородули Верещагинского района"</t>
  </si>
  <si>
    <t>Амбулаторно-стационарный педиатрический комплекс г. Верещагино</t>
  </si>
  <si>
    <t>посещение в смену</t>
  </si>
  <si>
    <t>Восстановление пруда  на р. Лысьва в п. Зюкайка</t>
  </si>
  <si>
    <t>га</t>
  </si>
  <si>
    <t xml:space="preserve">Распределительный газопровод низкого  давления по ул. Калинина, Верещагинская 125, 127 в г. Верещагино  </t>
  </si>
  <si>
    <t>Детская школа  искусств г. Верещагино</t>
  </si>
  <si>
    <t>уч-ся</t>
  </si>
  <si>
    <t>Реконструкция незаверщенного строительства одноэтажного кипричного  здания под Вознесенский сельский центр досуга</t>
  </si>
  <si>
    <t>посадочных мест</t>
  </si>
  <si>
    <t xml:space="preserve">Модульная котельная детского сада  в г. Верещагино </t>
  </si>
  <si>
    <t>гКал/час</t>
  </si>
  <si>
    <t>Ремонт автомобильных дорог общего пользования сельских поселений</t>
  </si>
  <si>
    <t>Водопровод в западной части г. Верещагино</t>
  </si>
  <si>
    <t>Строительство газопровода среднего и низкого  давления в п. Ленино, д. Сарапулка, в том числе проектные работы (1 и 2 очередь)</t>
  </si>
  <si>
    <t>Строительство газопровода среднего и низкого  давления в п. Ленино, д. Сарапулка, в том числе проектные работы  (2 очередь)</t>
  </si>
  <si>
    <t xml:space="preserve">Модульная котельная д. Нижнее Галино </t>
  </si>
  <si>
    <t>Гкал/час</t>
  </si>
  <si>
    <t>Газоснабжение жилых домов по улицам д. Бородули</t>
  </si>
  <si>
    <t>Распределительный газопровод низкого и высокого давления по ул. Лермонтова, Урицкого, Чкалова, Осипенко, Горького, Пушкина, Кольцевая в г. Верещагино</t>
  </si>
  <si>
    <t>Распределительный газопровод низкого давления по ул. Мичурина, Профинтерна, Суворова, Рудого, 50 лет Октября, Железнодорожная, Луговская, Ульяновская в г. Верещагино</t>
  </si>
  <si>
    <t>посещений в смену</t>
  </si>
  <si>
    <t>Газоснабжение жилых домов по ул. Мичурина, Горького, Урицкого Андреева, Фрунзе в г. Верещагино</t>
  </si>
  <si>
    <t>Газоснабжение жилых домов по ул. Энгельса в г. Верещагино</t>
  </si>
  <si>
    <t>Распределительный газопровод и газопроводы-вводы к жилым домам по ул. Звезды в г. Верещагино</t>
  </si>
  <si>
    <t>Распределительный газопровод и газопровод-ввод к жилому дому по ул. Луначарского, 7а в г. Верещагино</t>
  </si>
  <si>
    <t>Физкультурно-оздоровительный комплекс, в том числе проектные работы</t>
  </si>
  <si>
    <t>чел/час</t>
  </si>
  <si>
    <t>Универсальная спортивная площадка с искусственным покрытием (межшкольный стадион) в г. Верещагино</t>
  </si>
  <si>
    <t>трибуны пос.места</t>
  </si>
  <si>
    <t>Фельдшерско-акушерский пункт д. Заполье Верещагинского района (в т.ч. инженерная инфраструктура)</t>
  </si>
  <si>
    <t>Распределительный газопровод низкого давления к жилому дому по ул. Свободы, 59а в г. Верещагино</t>
  </si>
  <si>
    <t>м3/ сутки</t>
  </si>
  <si>
    <t>млн.руб.</t>
  </si>
  <si>
    <t>Фельдшерско-акушерский  пункт д.Комары Верещагинского района</t>
  </si>
  <si>
    <t>Фельдшерско-акушерский  пункт д.Нижнее Галино Верещагинского района</t>
  </si>
  <si>
    <t>Фельдшерско-акушерский  пункт д.Соколово  Верещагинского района</t>
  </si>
  <si>
    <t>Фельдшерско-акушерский  пункт д.Елохи  Верещагинского района</t>
  </si>
  <si>
    <t>Распределительный газопровод  по ул. Молодежная, ул. Братская в г. Верещагино</t>
  </si>
  <si>
    <t>Распределительный газопровод низкого давления по ул. Абатурова, Лесная, Зеленая, Молодежная, Заречная, Центральная, Мира, Тетеновых в д. Бородули Верещагинского района Пермского края</t>
  </si>
  <si>
    <t>Реконструкция очистных сооружений г.Верещагино</t>
  </si>
  <si>
    <t xml:space="preserve"> </t>
  </si>
  <si>
    <t>Приложение 1</t>
  </si>
  <si>
    <t>ООО "Вемол"</t>
  </si>
  <si>
    <t>январь-июнь отчет</t>
  </si>
  <si>
    <t>Производство основных видов продукции в натуральном выражении **</t>
  </si>
  <si>
    <t xml:space="preserve">  2. Масло сливочное…</t>
  </si>
  <si>
    <t>Труд</t>
  </si>
  <si>
    <t>рублей</t>
  </si>
  <si>
    <t>Выплаты соц. характера работников - всего</t>
  </si>
  <si>
    <t>Объем инвестиций в основной капитал за счет всех источников финансирования, в действующих ценах каждого года, всего</t>
  </si>
  <si>
    <t>в том числе за счет:</t>
  </si>
  <si>
    <t xml:space="preserve">    прибыли</t>
  </si>
  <si>
    <t xml:space="preserve">    амортизации</t>
  </si>
  <si>
    <t xml:space="preserve">    кредитов банков</t>
  </si>
  <si>
    <t xml:space="preserve">    других заемных средств</t>
  </si>
  <si>
    <t>Себестоимость производства товаров (услуг), включая расходы на продажу, управленческие расходы  - всего (код 020 + код 030 + код 040) *</t>
  </si>
  <si>
    <t>Ввод в действие основных фондов до 2018 года</t>
  </si>
  <si>
    <t>к постановлению адмнистрации</t>
  </si>
  <si>
    <t>от 01.09.2015 г. №589</t>
  </si>
  <si>
    <t>Приложение 2</t>
  </si>
  <si>
    <t>Приложение 3</t>
  </si>
  <si>
    <t>Приложение 4</t>
  </si>
  <si>
    <t xml:space="preserve"> в том числе по основному виду деятельности в действующих ценах каждого года</t>
  </si>
  <si>
    <r>
      <t xml:space="preserve">Производство товаров и услуг  </t>
    </r>
    <r>
      <rPr>
        <sz val="13"/>
        <rFont val="Times New Roman"/>
        <family val="1"/>
      </rPr>
      <t xml:space="preserve">                                                                     </t>
    </r>
  </si>
  <si>
    <t>* ИПЦ установлен на основе сценарных условий для формирования вариантов развития экономики Пермского края и основных показателей прогноза социально-экономического развития Пермского края  до 2018 года,утвержденные губернатором Пермского края (июль 2015 года)</t>
  </si>
  <si>
    <t>нет данных</t>
  </si>
  <si>
    <t>2015 год (оценка)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</si>
</sst>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%"/>
    <numFmt numFmtId="168" formatCode="#,##0.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[$-FC19]d\ mmmm\ yyyy\ &quot;г.&quot;"/>
    <numFmt numFmtId="176" formatCode="_-* #,##0.000_р_._-;\-* #,##0.000_р_._-;_-* &quot;-&quot;??_р_._-;_-@_-"/>
    <numFmt numFmtId="177" formatCode="0.00000"/>
    <numFmt numFmtId="178" formatCode="0.000000"/>
    <numFmt numFmtId="179" formatCode="_-* #,##0.0_р_._-;\-* #,##0.0_р_._-;_-* &quot;-&quot;??_р_._-;_-@_-"/>
    <numFmt numFmtId="180" formatCode="_-* #,##0_р_._-;\-* #,##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68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0" fillId="0" borderId="10" xfId="0" applyNumberFormat="1" applyFont="1" applyBorder="1" applyAlignment="1" applyProtection="1">
      <alignment vertical="top" wrapText="1"/>
      <protection locked="0"/>
    </xf>
    <xf numFmtId="0" fontId="1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/>
    </xf>
    <xf numFmtId="168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/>
    </xf>
    <xf numFmtId="0" fontId="63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10" fillId="33" borderId="0" xfId="0" applyFont="1" applyFill="1" applyAlignment="1">
      <alignment horizontal="center"/>
    </xf>
    <xf numFmtId="4" fontId="5" fillId="33" borderId="10" xfId="53" applyNumberFormat="1" applyFont="1" applyFill="1" applyBorder="1" applyAlignment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19" fillId="0" borderId="0" xfId="53" applyFont="1" applyBorder="1" applyAlignment="1">
      <alignment horizontal="left" wrapText="1"/>
      <protection/>
    </xf>
    <xf numFmtId="0" fontId="3" fillId="0" borderId="0" xfId="53" applyFont="1">
      <alignment/>
      <protection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68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vertical="top"/>
    </xf>
    <xf numFmtId="0" fontId="3" fillId="33" borderId="13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68" fontId="3" fillId="33" borderId="15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>
      <alignment/>
      <protection/>
    </xf>
    <xf numFmtId="0" fontId="10" fillId="33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53" applyFont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53" applyNumberFormat="1" applyFont="1" applyBorder="1" applyAlignment="1">
      <alignment horizontal="center" vertical="center" wrapText="1"/>
      <protection/>
    </xf>
    <xf numFmtId="3" fontId="10" fillId="33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20" fillId="33" borderId="10" xfId="0" applyFont="1" applyFill="1" applyBorder="1" applyAlignment="1">
      <alignment horizontal="left" vertical="center" wrapText="1"/>
    </xf>
    <xf numFmtId="174" fontId="10" fillId="0" borderId="10" xfId="53" applyNumberFormat="1" applyFont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168" fontId="10" fillId="0" borderId="10" xfId="53" applyNumberFormat="1" applyFont="1" applyBorder="1" applyAlignment="1">
      <alignment horizontal="center" vertical="center" wrapText="1"/>
      <protection/>
    </xf>
    <xf numFmtId="168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left" vertical="center" wrapText="1"/>
    </xf>
    <xf numFmtId="0" fontId="10" fillId="0" borderId="12" xfId="5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33" borderId="10" xfId="0" applyFont="1" applyFill="1" applyBorder="1" applyAlignment="1">
      <alignment vertical="top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0" fontId="10" fillId="0" borderId="10" xfId="61" applyNumberFormat="1" applyFont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center" vertical="center" wrapText="1"/>
    </xf>
    <xf numFmtId="43" fontId="10" fillId="33" borderId="10" xfId="61" applyNumberFormat="1" applyFont="1" applyFill="1" applyBorder="1" applyAlignment="1">
      <alignment horizontal="left" vertical="center"/>
    </xf>
    <xf numFmtId="16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  <xf numFmtId="1" fontId="5" fillId="33" borderId="17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0" fillId="33" borderId="18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vertical="center" wrapText="1"/>
    </xf>
    <xf numFmtId="0" fontId="19" fillId="0" borderId="0" xfId="53" applyFont="1" applyBorder="1" applyAlignment="1">
      <alignment horizontal="left" wrapText="1"/>
      <protection/>
    </xf>
    <xf numFmtId="3" fontId="19" fillId="0" borderId="0" xfId="53" applyNumberFormat="1" applyFont="1" applyBorder="1" applyAlignment="1">
      <alignment horizontal="left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view="pageLayout" zoomScaleSheetLayoutView="57" workbookViewId="0" topLeftCell="B1">
      <selection activeCell="H2" sqref="H2"/>
    </sheetView>
  </sheetViews>
  <sheetFormatPr defaultColWidth="9.00390625" defaultRowHeight="12.75"/>
  <cols>
    <col min="1" max="1" width="0.12890625" style="1" customWidth="1"/>
    <col min="2" max="2" width="62.125" style="1" customWidth="1"/>
    <col min="3" max="3" width="14.375" style="1" customWidth="1"/>
    <col min="4" max="4" width="13.25390625" style="1" customWidth="1"/>
    <col min="5" max="8" width="11.75390625" style="1" customWidth="1"/>
    <col min="9" max="9" width="12.875" style="1" customWidth="1"/>
    <col min="10" max="13" width="11.75390625" style="1" customWidth="1"/>
    <col min="14" max="14" width="13.875" style="1" customWidth="1"/>
    <col min="15" max="15" width="12.125" style="1" customWidth="1"/>
    <col min="16" max="16" width="12.75390625" style="1" customWidth="1"/>
    <col min="17" max="16384" width="9.125" style="1" customWidth="1"/>
  </cols>
  <sheetData>
    <row r="1" spans="11:16" ht="18.75">
      <c r="K1" s="14"/>
      <c r="L1" s="14"/>
      <c r="M1" s="109" t="s">
        <v>206</v>
      </c>
      <c r="N1" s="11"/>
      <c r="P1" s="11"/>
    </row>
    <row r="2" spans="11:16" ht="18.75">
      <c r="K2" s="14"/>
      <c r="L2" s="14"/>
      <c r="M2" s="110" t="s">
        <v>222</v>
      </c>
      <c r="N2" s="106"/>
      <c r="P2" s="106"/>
    </row>
    <row r="3" spans="11:16" ht="18.75">
      <c r="K3" s="14"/>
      <c r="L3" s="14"/>
      <c r="M3" s="110" t="s">
        <v>20</v>
      </c>
      <c r="N3" s="106"/>
      <c r="P3" s="106"/>
    </row>
    <row r="4" spans="11:16" ht="18.75">
      <c r="K4" s="14"/>
      <c r="L4" s="14"/>
      <c r="M4" s="110" t="s">
        <v>223</v>
      </c>
      <c r="N4" s="106"/>
      <c r="P4" s="106"/>
    </row>
    <row r="5" spans="11:15" ht="12.75">
      <c r="K5" s="10"/>
      <c r="L5" s="10"/>
      <c r="M5" s="10"/>
      <c r="N5" s="10"/>
      <c r="O5" s="10"/>
    </row>
    <row r="6" spans="2:15" ht="18.75">
      <c r="B6" s="197" t="s">
        <v>95</v>
      </c>
      <c r="C6" s="198"/>
      <c r="D6" s="198"/>
      <c r="E6" s="198"/>
      <c r="F6" s="198"/>
      <c r="G6" s="198"/>
      <c r="H6" s="198"/>
      <c r="I6" s="198"/>
      <c r="J6" s="198"/>
      <c r="K6" s="199"/>
      <c r="L6" s="199"/>
      <c r="M6" s="199"/>
      <c r="N6" s="199"/>
      <c r="O6" s="199"/>
    </row>
    <row r="7" spans="2:15" ht="9.75" customHeight="1">
      <c r="B7" s="200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2:16" ht="15" customHeight="1">
      <c r="B8" s="204" t="s">
        <v>15</v>
      </c>
      <c r="C8" s="205" t="s">
        <v>17</v>
      </c>
      <c r="D8" s="205" t="s">
        <v>112</v>
      </c>
      <c r="E8" s="205" t="s">
        <v>113</v>
      </c>
      <c r="F8" s="207" t="s">
        <v>122</v>
      </c>
      <c r="G8" s="207"/>
      <c r="H8" s="201" t="s">
        <v>6</v>
      </c>
      <c r="I8" s="202"/>
      <c r="J8" s="202"/>
      <c r="K8" s="202"/>
      <c r="L8" s="202"/>
      <c r="M8" s="202"/>
      <c r="N8" s="202"/>
      <c r="O8" s="202"/>
      <c r="P8" s="203"/>
    </row>
    <row r="9" spans="2:16" ht="15.75" customHeight="1">
      <c r="B9" s="204"/>
      <c r="C9" s="205"/>
      <c r="D9" s="205"/>
      <c r="E9" s="205"/>
      <c r="F9" s="205" t="s">
        <v>18</v>
      </c>
      <c r="G9" s="205" t="s">
        <v>19</v>
      </c>
      <c r="H9" s="201" t="s">
        <v>115</v>
      </c>
      <c r="I9" s="202"/>
      <c r="J9" s="203"/>
      <c r="K9" s="201" t="s">
        <v>129</v>
      </c>
      <c r="L9" s="202"/>
      <c r="M9" s="203"/>
      <c r="N9" s="201" t="s">
        <v>116</v>
      </c>
      <c r="O9" s="202"/>
      <c r="P9" s="203"/>
    </row>
    <row r="10" spans="2:16" ht="15" customHeight="1">
      <c r="B10" s="204"/>
      <c r="C10" s="205"/>
      <c r="D10" s="205"/>
      <c r="E10" s="205"/>
      <c r="F10" s="205"/>
      <c r="G10" s="205"/>
      <c r="H10" s="206" t="s">
        <v>117</v>
      </c>
      <c r="I10" s="206" t="s">
        <v>118</v>
      </c>
      <c r="J10" s="206" t="s">
        <v>134</v>
      </c>
      <c r="K10" s="206" t="s">
        <v>117</v>
      </c>
      <c r="L10" s="206" t="s">
        <v>118</v>
      </c>
      <c r="M10" s="206" t="s">
        <v>134</v>
      </c>
      <c r="N10" s="206" t="s">
        <v>117</v>
      </c>
      <c r="O10" s="206" t="s">
        <v>118</v>
      </c>
      <c r="P10" s="206" t="s">
        <v>134</v>
      </c>
    </row>
    <row r="11" spans="2:16" s="2" customFormat="1" ht="12" customHeight="1">
      <c r="B11" s="204"/>
      <c r="C11" s="205"/>
      <c r="D11" s="205"/>
      <c r="E11" s="205"/>
      <c r="F11" s="205"/>
      <c r="G11" s="205"/>
      <c r="H11" s="206"/>
      <c r="I11" s="206"/>
      <c r="J11" s="206"/>
      <c r="K11" s="206"/>
      <c r="L11" s="206"/>
      <c r="M11" s="206"/>
      <c r="N11" s="206"/>
      <c r="O11" s="206"/>
      <c r="P11" s="206"/>
    </row>
    <row r="12" spans="2:16" ht="18.75">
      <c r="B12" s="47" t="s">
        <v>12</v>
      </c>
      <c r="C12" s="4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2:16" ht="56.25">
      <c r="B13" s="3" t="s">
        <v>21</v>
      </c>
      <c r="C13" s="44" t="s">
        <v>5</v>
      </c>
      <c r="D13" s="54">
        <v>8059</v>
      </c>
      <c r="E13" s="54">
        <v>7913</v>
      </c>
      <c r="F13" s="54">
        <v>7534</v>
      </c>
      <c r="G13" s="54">
        <f>E13*94%</f>
        <v>7438.219999999999</v>
      </c>
      <c r="H13" s="54">
        <f>G13*99.6%</f>
        <v>7408.467119999999</v>
      </c>
      <c r="I13" s="54">
        <f>G13*100%</f>
        <v>7438.219999999999</v>
      </c>
      <c r="J13" s="54">
        <f>G13*100.4%</f>
        <v>7467.972879999999</v>
      </c>
      <c r="K13" s="54">
        <f>H13*99.5%</f>
        <v>7371.424784399999</v>
      </c>
      <c r="L13" s="54">
        <f>I13*99.8%</f>
        <v>7423.343559999999</v>
      </c>
      <c r="M13" s="54">
        <f>J13*100%</f>
        <v>7467.972879999999</v>
      </c>
      <c r="N13" s="54">
        <f>K13*99.5%</f>
        <v>7334.567660477999</v>
      </c>
      <c r="O13" s="54">
        <f>L13*99.8%</f>
        <v>7408.4968728799995</v>
      </c>
      <c r="P13" s="54">
        <f>M13*100%</f>
        <v>7467.972879999999</v>
      </c>
    </row>
    <row r="14" spans="2:16" ht="37.5">
      <c r="B14" s="3" t="s">
        <v>22</v>
      </c>
      <c r="C14" s="44" t="s">
        <v>1</v>
      </c>
      <c r="D14" s="54">
        <v>1965463</v>
      </c>
      <c r="E14" s="54">
        <v>2074976</v>
      </c>
      <c r="F14" s="54">
        <v>1008345.6</v>
      </c>
      <c r="G14" s="54">
        <v>2053657.5976034002</v>
      </c>
      <c r="H14" s="54">
        <v>2145669.672606423</v>
      </c>
      <c r="I14" s="54">
        <v>2212816.0614176635</v>
      </c>
      <c r="J14" s="54">
        <v>2246822.166844859</v>
      </c>
      <c r="K14" s="54">
        <v>2282252.2756161853</v>
      </c>
      <c r="L14" s="54">
        <v>2369823.76967628</v>
      </c>
      <c r="M14" s="54">
        <v>2442071.013143677</v>
      </c>
      <c r="N14" s="54">
        <v>2405047.718179576</v>
      </c>
      <c r="O14" s="54">
        <v>2522362.2162590334</v>
      </c>
      <c r="P14" s="54">
        <v>2655019.6054898053</v>
      </c>
    </row>
    <row r="15" spans="2:16" ht="24" customHeight="1">
      <c r="B15" s="47" t="s">
        <v>23</v>
      </c>
      <c r="C15" s="4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</row>
    <row r="16" spans="2:16" ht="96" customHeight="1">
      <c r="B16" s="4" t="s">
        <v>24</v>
      </c>
      <c r="C16" s="44" t="s">
        <v>1</v>
      </c>
      <c r="D16" s="54">
        <v>3876403</v>
      </c>
      <c r="E16" s="54">
        <v>4567928</v>
      </c>
      <c r="F16" s="54">
        <v>2018430</v>
      </c>
      <c r="G16" s="54">
        <f>E16*114.7%</f>
        <v>5239413.416</v>
      </c>
      <c r="H16" s="54">
        <f>G16*95%</f>
        <v>4977442.7452</v>
      </c>
      <c r="I16" s="54">
        <f>G16*105%</f>
        <v>5501384.086800001</v>
      </c>
      <c r="J16" s="54">
        <f>G16*109.8%</f>
        <v>5752875.930768</v>
      </c>
      <c r="K16" s="54">
        <f>H16*100%</f>
        <v>4977442.7452</v>
      </c>
      <c r="L16" s="54">
        <f>I16*106.8%</f>
        <v>5875478.204702401</v>
      </c>
      <c r="M16" s="54">
        <v>5875478</v>
      </c>
      <c r="N16" s="54">
        <f>K16*100%</f>
        <v>4977442.7452</v>
      </c>
      <c r="O16" s="54">
        <f>M16*106.2%</f>
        <v>6239757.636</v>
      </c>
      <c r="P16" s="54">
        <v>6239758</v>
      </c>
    </row>
    <row r="17" spans="2:16" ht="37.5">
      <c r="B17" s="4" t="s">
        <v>16</v>
      </c>
      <c r="C17" s="7" t="s">
        <v>3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4"/>
    </row>
    <row r="18" spans="2:16" ht="16.5">
      <c r="B18" s="49" t="s">
        <v>135</v>
      </c>
      <c r="C18" s="50" t="s">
        <v>136</v>
      </c>
      <c r="D18" s="101">
        <v>13675</v>
      </c>
      <c r="E18" s="101">
        <v>8349</v>
      </c>
      <c r="F18" s="102">
        <v>4130.4</v>
      </c>
      <c r="G18" s="103">
        <v>8260.8</v>
      </c>
      <c r="H18" s="103">
        <v>7847.759999999998</v>
      </c>
      <c r="I18" s="103">
        <v>8673.839999999998</v>
      </c>
      <c r="J18" s="101">
        <v>8673.839999999998</v>
      </c>
      <c r="K18" s="101">
        <v>7847.759999999998</v>
      </c>
      <c r="L18" s="101">
        <v>8673.839999999998</v>
      </c>
      <c r="M18" s="101">
        <v>8673.839999999998</v>
      </c>
      <c r="N18" s="101">
        <v>7847.759999999998</v>
      </c>
      <c r="O18" s="101">
        <v>8673.839999999998</v>
      </c>
      <c r="P18" s="101">
        <v>8673.839999999998</v>
      </c>
    </row>
    <row r="19" spans="2:16" ht="16.5">
      <c r="B19" s="49" t="s">
        <v>137</v>
      </c>
      <c r="C19" s="50" t="s">
        <v>136</v>
      </c>
      <c r="D19" s="101">
        <v>495</v>
      </c>
      <c r="E19" s="101">
        <v>903</v>
      </c>
      <c r="F19" s="102">
        <v>490.4</v>
      </c>
      <c r="G19" s="103">
        <v>800</v>
      </c>
      <c r="H19" s="103">
        <v>760</v>
      </c>
      <c r="I19" s="103">
        <v>840</v>
      </c>
      <c r="J19" s="101">
        <v>840</v>
      </c>
      <c r="K19" s="101">
        <v>760</v>
      </c>
      <c r="L19" s="101">
        <v>840</v>
      </c>
      <c r="M19" s="101">
        <v>840</v>
      </c>
      <c r="N19" s="101">
        <v>760</v>
      </c>
      <c r="O19" s="101">
        <v>840</v>
      </c>
      <c r="P19" s="101">
        <v>840</v>
      </c>
    </row>
    <row r="20" spans="2:16" ht="16.5">
      <c r="B20" s="49" t="s">
        <v>138</v>
      </c>
      <c r="C20" s="50" t="s">
        <v>136</v>
      </c>
      <c r="D20" s="101">
        <v>282</v>
      </c>
      <c r="E20" s="101">
        <v>1074</v>
      </c>
      <c r="F20" s="102">
        <v>560.1</v>
      </c>
      <c r="G20" s="103">
        <v>700</v>
      </c>
      <c r="H20" s="103">
        <v>665</v>
      </c>
      <c r="I20" s="103">
        <v>735</v>
      </c>
      <c r="J20" s="101">
        <v>735</v>
      </c>
      <c r="K20" s="101">
        <v>665</v>
      </c>
      <c r="L20" s="101">
        <v>735</v>
      </c>
      <c r="M20" s="101">
        <v>735</v>
      </c>
      <c r="N20" s="101">
        <v>665</v>
      </c>
      <c r="O20" s="101">
        <v>735</v>
      </c>
      <c r="P20" s="101">
        <v>735</v>
      </c>
    </row>
    <row r="21" spans="2:16" ht="33">
      <c r="B21" s="51" t="s">
        <v>139</v>
      </c>
      <c r="C21" s="52" t="s">
        <v>125</v>
      </c>
      <c r="D21" s="60">
        <v>14</v>
      </c>
      <c r="E21" s="59">
        <v>12</v>
      </c>
      <c r="F21" s="43">
        <v>6</v>
      </c>
      <c r="G21" s="43">
        <v>10</v>
      </c>
      <c r="H21" s="43">
        <v>3</v>
      </c>
      <c r="I21" s="43">
        <v>3</v>
      </c>
      <c r="J21" s="43">
        <v>3</v>
      </c>
      <c r="K21" s="191" t="s">
        <v>230</v>
      </c>
      <c r="L21" s="192"/>
      <c r="M21" s="192"/>
      <c r="N21" s="192"/>
      <c r="O21" s="192"/>
      <c r="P21" s="193"/>
    </row>
    <row r="22" spans="2:16" ht="33">
      <c r="B22" s="51" t="s">
        <v>140</v>
      </c>
      <c r="C22" s="52" t="s">
        <v>127</v>
      </c>
      <c r="D22" s="60">
        <v>16</v>
      </c>
      <c r="E22" s="59">
        <v>28</v>
      </c>
      <c r="F22" s="43">
        <v>10</v>
      </c>
      <c r="G22" s="43">
        <v>29</v>
      </c>
      <c r="H22" s="43">
        <v>28</v>
      </c>
      <c r="I22" s="43">
        <v>30</v>
      </c>
      <c r="J22" s="43">
        <v>30</v>
      </c>
      <c r="K22" s="194"/>
      <c r="L22" s="195"/>
      <c r="M22" s="195"/>
      <c r="N22" s="195"/>
      <c r="O22" s="195"/>
      <c r="P22" s="196"/>
    </row>
    <row r="23" spans="2:16" ht="18.75">
      <c r="B23" s="47" t="s">
        <v>4</v>
      </c>
      <c r="C23" s="53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4"/>
    </row>
    <row r="24" spans="2:16" ht="75">
      <c r="B24" s="3" t="s">
        <v>13</v>
      </c>
      <c r="C24" s="44" t="s">
        <v>1</v>
      </c>
      <c r="D24" s="54">
        <v>609756</v>
      </c>
      <c r="E24" s="54">
        <v>957644</v>
      </c>
      <c r="F24" s="54">
        <v>309815</v>
      </c>
      <c r="G24" s="54">
        <v>1071604</v>
      </c>
      <c r="H24" s="54">
        <f>G24*H25%</f>
        <v>1073747.208</v>
      </c>
      <c r="I24" s="54">
        <f>G24*I25%</f>
        <v>1108038.536</v>
      </c>
      <c r="J24" s="54">
        <f aca="true" t="shared" si="0" ref="J24:P24">G24*J25%</f>
        <v>1125184.2</v>
      </c>
      <c r="K24" s="54">
        <f t="shared" si="0"/>
        <v>1079115.94404</v>
      </c>
      <c r="L24" s="54">
        <f t="shared" si="0"/>
        <v>1125767.1525760002</v>
      </c>
      <c r="M24" s="54">
        <f t="shared" si="0"/>
        <v>1188194.5152</v>
      </c>
      <c r="N24" s="54">
        <f t="shared" si="0"/>
        <v>1116885.0020813998</v>
      </c>
      <c r="O24" s="54">
        <f t="shared" si="0"/>
        <v>1173049.3729841923</v>
      </c>
      <c r="P24" s="54">
        <f t="shared" si="0"/>
        <v>1240475.0738688</v>
      </c>
    </row>
    <row r="25" spans="2:16" ht="37.5">
      <c r="B25" s="3" t="s">
        <v>0</v>
      </c>
      <c r="C25" s="44" t="s">
        <v>2</v>
      </c>
      <c r="D25" s="55">
        <v>97.7</v>
      </c>
      <c r="E25" s="56">
        <f>E24/D24*100</f>
        <v>157.05364112858257</v>
      </c>
      <c r="F25" s="55" t="s">
        <v>141</v>
      </c>
      <c r="G25" s="104">
        <f>G24/E24*100</f>
        <v>111.90003800994941</v>
      </c>
      <c r="H25" s="104">
        <v>100.2</v>
      </c>
      <c r="I25" s="104">
        <v>103.4</v>
      </c>
      <c r="J25" s="104">
        <v>105</v>
      </c>
      <c r="K25" s="104">
        <v>100.5</v>
      </c>
      <c r="L25" s="104">
        <v>101.6</v>
      </c>
      <c r="M25" s="104">
        <v>105.6</v>
      </c>
      <c r="N25" s="104">
        <v>103.5</v>
      </c>
      <c r="O25" s="104">
        <v>104.2</v>
      </c>
      <c r="P25" s="104">
        <v>104.4</v>
      </c>
    </row>
    <row r="26" spans="2:16" ht="18" customHeight="1">
      <c r="B26" s="6" t="s">
        <v>14</v>
      </c>
      <c r="C26" s="4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4"/>
    </row>
    <row r="27" spans="2:16" ht="18.75">
      <c r="B27" s="3" t="s">
        <v>7</v>
      </c>
      <c r="C27" s="44" t="s">
        <v>1</v>
      </c>
      <c r="D27" s="54">
        <v>40617</v>
      </c>
      <c r="E27" s="208">
        <v>144100</v>
      </c>
      <c r="F27" s="208">
        <v>43022</v>
      </c>
      <c r="G27" s="208">
        <v>160.741</v>
      </c>
      <c r="H27" s="208">
        <v>161.06</v>
      </c>
      <c r="I27" s="208">
        <v>166.2</v>
      </c>
      <c r="J27" s="208">
        <v>168.8</v>
      </c>
      <c r="K27" s="208">
        <v>161.9</v>
      </c>
      <c r="L27" s="208">
        <v>168.9</v>
      </c>
      <c r="M27" s="208">
        <v>178.2</v>
      </c>
      <c r="N27" s="208">
        <v>167.5</v>
      </c>
      <c r="O27" s="208">
        <v>176</v>
      </c>
      <c r="P27" s="208">
        <v>186.1</v>
      </c>
    </row>
    <row r="28" spans="2:16" ht="18.75">
      <c r="B28" s="3" t="s">
        <v>9</v>
      </c>
      <c r="C28" s="44" t="s">
        <v>1</v>
      </c>
      <c r="D28" s="54">
        <v>90085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2:16" ht="18.75">
      <c r="B29" s="5" t="s">
        <v>10</v>
      </c>
      <c r="C29" s="44" t="s">
        <v>1</v>
      </c>
      <c r="D29" s="54">
        <v>16954</v>
      </c>
      <c r="E29" s="54">
        <v>49984</v>
      </c>
      <c r="F29" s="54">
        <v>0</v>
      </c>
      <c r="G29" s="54">
        <v>53.58</v>
      </c>
      <c r="H29" s="54">
        <v>53.69</v>
      </c>
      <c r="I29" s="54">
        <v>55.4</v>
      </c>
      <c r="J29" s="54">
        <v>56.3</v>
      </c>
      <c r="K29" s="54">
        <v>54</v>
      </c>
      <c r="L29" s="54">
        <v>56.3</v>
      </c>
      <c r="M29" s="54">
        <v>59.4</v>
      </c>
      <c r="N29" s="54">
        <v>55.8</v>
      </c>
      <c r="O29" s="54">
        <v>58.7</v>
      </c>
      <c r="P29" s="54">
        <v>62</v>
      </c>
    </row>
    <row r="30" spans="2:16" ht="18.75">
      <c r="B30" s="5" t="s">
        <v>11</v>
      </c>
      <c r="C30" s="44" t="s">
        <v>1</v>
      </c>
      <c r="D30" s="54">
        <v>120111</v>
      </c>
      <c r="E30" s="54">
        <v>121994</v>
      </c>
      <c r="F30" s="54">
        <v>12547</v>
      </c>
      <c r="G30" s="54">
        <v>139.308</v>
      </c>
      <c r="H30" s="54">
        <v>139.59</v>
      </c>
      <c r="I30" s="54">
        <v>144</v>
      </c>
      <c r="J30" s="54">
        <v>146.3</v>
      </c>
      <c r="K30" s="54">
        <v>140.3</v>
      </c>
      <c r="L30" s="54">
        <v>146.3</v>
      </c>
      <c r="M30" s="54">
        <v>154.5</v>
      </c>
      <c r="N30" s="54">
        <v>145.2</v>
      </c>
      <c r="O30" s="54">
        <v>152.5</v>
      </c>
      <c r="P30" s="54">
        <v>161.3</v>
      </c>
    </row>
    <row r="31" spans="2:16" s="98" customFormat="1" ht="21" customHeight="1">
      <c r="B31" s="99" t="s">
        <v>8</v>
      </c>
      <c r="C31" s="45" t="s">
        <v>1</v>
      </c>
      <c r="D31" s="100">
        <v>132666</v>
      </c>
      <c r="E31" s="54">
        <v>65766</v>
      </c>
      <c r="F31" s="54">
        <v>5120</v>
      </c>
      <c r="G31" s="54">
        <v>211617</v>
      </c>
      <c r="H31" s="54">
        <v>89240</v>
      </c>
      <c r="I31" s="54">
        <v>89307</v>
      </c>
      <c r="J31" s="54">
        <v>89307</v>
      </c>
      <c r="K31" s="54">
        <v>28884</v>
      </c>
      <c r="L31" s="54">
        <v>28983</v>
      </c>
      <c r="M31" s="54">
        <v>28983</v>
      </c>
      <c r="N31" s="54">
        <v>263215</v>
      </c>
      <c r="O31" s="54">
        <v>279977</v>
      </c>
      <c r="P31" s="54">
        <v>280821</v>
      </c>
    </row>
    <row r="32" spans="2:16" s="98" customFormat="1" ht="31.5">
      <c r="B32" s="97"/>
      <c r="C32" s="95" t="s">
        <v>3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4"/>
    </row>
    <row r="33" spans="2:15" ht="15.75">
      <c r="B33" s="24"/>
      <c r="C33" s="2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6" ht="15.75">
      <c r="B34" s="9"/>
      <c r="C34" s="9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</row>
  </sheetData>
  <sheetProtection/>
  <mergeCells count="35">
    <mergeCell ref="E27:E28"/>
    <mergeCell ref="F27:F28"/>
    <mergeCell ref="G27:G28"/>
    <mergeCell ref="H27:H28"/>
    <mergeCell ref="I27:I28"/>
    <mergeCell ref="J27:J28"/>
    <mergeCell ref="N27:N28"/>
    <mergeCell ref="O27:O28"/>
    <mergeCell ref="P27:P28"/>
    <mergeCell ref="K27:K28"/>
    <mergeCell ref="L27:L28"/>
    <mergeCell ref="M27:M28"/>
    <mergeCell ref="O10:O11"/>
    <mergeCell ref="P10:P11"/>
    <mergeCell ref="M10:M11"/>
    <mergeCell ref="K10:K11"/>
    <mergeCell ref="H10:H11"/>
    <mergeCell ref="I10:I11"/>
    <mergeCell ref="L10:L11"/>
    <mergeCell ref="N10:N11"/>
    <mergeCell ref="F8:G8"/>
    <mergeCell ref="C8:C11"/>
    <mergeCell ref="E8:E11"/>
    <mergeCell ref="J10:J11"/>
    <mergeCell ref="F9:F11"/>
    <mergeCell ref="K21:P22"/>
    <mergeCell ref="B6:O6"/>
    <mergeCell ref="B7:O7"/>
    <mergeCell ref="H8:P8"/>
    <mergeCell ref="H9:J9"/>
    <mergeCell ref="K9:M9"/>
    <mergeCell ref="N9:P9"/>
    <mergeCell ref="B8:B11"/>
    <mergeCell ref="D8:D11"/>
    <mergeCell ref="G9:G11"/>
  </mergeCells>
  <printOptions/>
  <pageMargins left="0.984251968503937" right="0.3937007874015748" top="0.63" bottom="0.7874015748031497" header="0.11811023622047245" footer="0.11811023622047245"/>
  <pageSetup horizontalDpi="120" verticalDpi="120" orientation="landscape" paperSize="9" scale="57" r:id="rId1"/>
  <headerFooter alignWithMargins="0">
    <oddHeader>&amp;C&amp;"Times New Roman,обычный"&amp;14 2</oddHead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8"/>
  <sheetViews>
    <sheetView view="pageLayout" zoomScaleSheetLayoutView="66" workbookViewId="0" topLeftCell="A1">
      <selection activeCell="B1" sqref="B1"/>
    </sheetView>
  </sheetViews>
  <sheetFormatPr defaultColWidth="9.00390625" defaultRowHeight="12.75"/>
  <cols>
    <col min="1" max="1" width="49.625" style="111" customWidth="1"/>
    <col min="2" max="2" width="18.625" style="111" customWidth="1"/>
    <col min="3" max="3" width="14.125" style="111" customWidth="1"/>
    <col min="4" max="4" width="14.00390625" style="111" customWidth="1"/>
    <col min="5" max="5" width="13.00390625" style="111" customWidth="1"/>
    <col min="6" max="6" width="13.875" style="111" customWidth="1"/>
    <col min="7" max="7" width="14.625" style="111" customWidth="1"/>
    <col min="8" max="8" width="15.25390625" style="111" customWidth="1"/>
    <col min="9" max="9" width="15.375" style="111" customWidth="1"/>
    <col min="10" max="10" width="15.00390625" style="111" customWidth="1"/>
    <col min="11" max="12" width="15.625" style="111" customWidth="1"/>
    <col min="13" max="16384" width="9.125" style="112" customWidth="1"/>
  </cols>
  <sheetData>
    <row r="1" spans="8:12" ht="23.25" customHeight="1">
      <c r="H1" s="109"/>
      <c r="J1" s="109" t="s">
        <v>224</v>
      </c>
      <c r="K1" s="109"/>
      <c r="L1" s="109"/>
    </row>
    <row r="2" spans="8:12" ht="21" customHeight="1">
      <c r="H2" s="109"/>
      <c r="J2" s="110" t="s">
        <v>222</v>
      </c>
      <c r="K2" s="110"/>
      <c r="L2" s="110"/>
    </row>
    <row r="3" spans="8:12" ht="19.5" customHeight="1">
      <c r="H3" s="113"/>
      <c r="J3" s="110" t="s">
        <v>20</v>
      </c>
      <c r="K3" s="110"/>
      <c r="L3" s="110"/>
    </row>
    <row r="4" spans="7:12" ht="19.5" customHeight="1">
      <c r="G4" s="114"/>
      <c r="H4" s="109"/>
      <c r="J4" s="110" t="s">
        <v>223</v>
      </c>
      <c r="K4" s="110"/>
      <c r="L4" s="110"/>
    </row>
    <row r="5" spans="10:12" ht="18.75">
      <c r="J5" s="113"/>
      <c r="K5" s="113"/>
      <c r="L5" s="113"/>
    </row>
    <row r="6" spans="1:12" ht="18.75">
      <c r="A6" s="217" t="s">
        <v>96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ht="18.75">
      <c r="A7" s="217" t="s">
        <v>26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</row>
    <row r="8" spans="1:12" ht="18.75">
      <c r="A8" s="217" t="s">
        <v>121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8.7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2" s="116" customFormat="1" ht="18.75">
      <c r="A10" s="216" t="s">
        <v>27</v>
      </c>
      <c r="B10" s="216" t="s">
        <v>28</v>
      </c>
      <c r="C10" s="216" t="s">
        <v>128</v>
      </c>
      <c r="D10" s="216" t="s">
        <v>113</v>
      </c>
      <c r="E10" s="216" t="s">
        <v>122</v>
      </c>
      <c r="F10" s="216"/>
      <c r="G10" s="216" t="s">
        <v>6</v>
      </c>
      <c r="H10" s="216"/>
      <c r="I10" s="216"/>
      <c r="J10" s="216"/>
      <c r="K10" s="216"/>
      <c r="L10" s="216"/>
    </row>
    <row r="11" spans="1:12" s="116" customFormat="1" ht="18.75">
      <c r="A11" s="216"/>
      <c r="B11" s="216"/>
      <c r="C11" s="216"/>
      <c r="D11" s="216"/>
      <c r="E11" s="223" t="s">
        <v>29</v>
      </c>
      <c r="F11" s="216" t="s">
        <v>19</v>
      </c>
      <c r="G11" s="216" t="s">
        <v>115</v>
      </c>
      <c r="H11" s="216"/>
      <c r="I11" s="216" t="s">
        <v>129</v>
      </c>
      <c r="J11" s="216"/>
      <c r="K11" s="216" t="s">
        <v>116</v>
      </c>
      <c r="L11" s="216"/>
    </row>
    <row r="12" spans="1:12" s="116" customFormat="1" ht="42.75" customHeight="1">
      <c r="A12" s="216"/>
      <c r="B12" s="216"/>
      <c r="C12" s="216"/>
      <c r="D12" s="216"/>
      <c r="E12" s="224"/>
      <c r="F12" s="216"/>
      <c r="G12" s="147" t="s">
        <v>117</v>
      </c>
      <c r="H12" s="147" t="s">
        <v>123</v>
      </c>
      <c r="I12" s="147" t="s">
        <v>117</v>
      </c>
      <c r="J12" s="147" t="s">
        <v>123</v>
      </c>
      <c r="K12" s="147" t="s">
        <v>117</v>
      </c>
      <c r="L12" s="147" t="s">
        <v>123</v>
      </c>
    </row>
    <row r="13" spans="1:12" ht="18">
      <c r="A13" s="149" t="s">
        <v>228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ht="91.5" customHeight="1">
      <c r="A14" s="151" t="s">
        <v>63</v>
      </c>
      <c r="B14" s="148" t="s">
        <v>30</v>
      </c>
      <c r="C14" s="152">
        <v>1723541</v>
      </c>
      <c r="D14" s="152">
        <v>2381316</v>
      </c>
      <c r="E14" s="152">
        <v>910278</v>
      </c>
      <c r="F14" s="152">
        <v>2398871</v>
      </c>
      <c r="G14" s="152">
        <v>1836873</v>
      </c>
      <c r="H14" s="152">
        <v>1955149</v>
      </c>
      <c r="I14" s="152">
        <v>2020560</v>
      </c>
      <c r="J14" s="152">
        <v>2150664</v>
      </c>
      <c r="K14" s="152">
        <v>2222616</v>
      </c>
      <c r="L14" s="152">
        <v>2365730</v>
      </c>
    </row>
    <row r="15" spans="1:12" ht="35.25" customHeight="1">
      <c r="A15" s="153" t="s">
        <v>31</v>
      </c>
      <c r="B15" s="147" t="s">
        <v>30</v>
      </c>
      <c r="C15" s="152">
        <v>1529015</v>
      </c>
      <c r="D15" s="152">
        <v>2301465</v>
      </c>
      <c r="E15" s="152">
        <v>897133</v>
      </c>
      <c r="F15" s="152">
        <v>2379815</v>
      </c>
      <c r="G15" s="152">
        <v>1825145</v>
      </c>
      <c r="H15" s="152">
        <v>1943422</v>
      </c>
      <c r="I15" s="152">
        <v>2007660</v>
      </c>
      <c r="J15" s="152">
        <v>2137764</v>
      </c>
      <c r="K15" s="152">
        <v>2208426</v>
      </c>
      <c r="L15" s="152">
        <v>2351540</v>
      </c>
    </row>
    <row r="16" spans="1:12" ht="40.5" customHeight="1">
      <c r="A16" s="154" t="s">
        <v>32</v>
      </c>
      <c r="B16" s="155" t="s">
        <v>33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s="118" customFormat="1" ht="18">
      <c r="A17" s="41" t="s">
        <v>124</v>
      </c>
      <c r="B17" s="42" t="s">
        <v>125</v>
      </c>
      <c r="C17" s="157">
        <v>13</v>
      </c>
      <c r="D17" s="157">
        <v>12</v>
      </c>
      <c r="E17" s="157">
        <v>6</v>
      </c>
      <c r="F17" s="157">
        <v>10</v>
      </c>
      <c r="G17" s="157">
        <v>3</v>
      </c>
      <c r="H17" s="157">
        <v>3</v>
      </c>
      <c r="I17" s="210" t="s">
        <v>230</v>
      </c>
      <c r="J17" s="211"/>
      <c r="K17" s="211"/>
      <c r="L17" s="212"/>
    </row>
    <row r="18" spans="1:12" s="118" customFormat="1" ht="33" customHeight="1">
      <c r="A18" s="41" t="s">
        <v>126</v>
      </c>
      <c r="B18" s="42" t="s">
        <v>127</v>
      </c>
      <c r="C18" s="157">
        <v>16</v>
      </c>
      <c r="D18" s="157">
        <v>28</v>
      </c>
      <c r="E18" s="157">
        <v>10</v>
      </c>
      <c r="F18" s="157">
        <v>29</v>
      </c>
      <c r="G18" s="157">
        <v>28</v>
      </c>
      <c r="H18" s="157">
        <v>30</v>
      </c>
      <c r="I18" s="213"/>
      <c r="J18" s="214"/>
      <c r="K18" s="214"/>
      <c r="L18" s="215"/>
    </row>
    <row r="19" spans="1:12" s="118" customFormat="1" ht="18">
      <c r="A19" s="41" t="s">
        <v>130</v>
      </c>
      <c r="B19" s="42" t="s">
        <v>131</v>
      </c>
      <c r="C19" s="157">
        <v>1</v>
      </c>
      <c r="D19" s="157">
        <v>1</v>
      </c>
      <c r="E19" s="157"/>
      <c r="F19" s="157"/>
      <c r="G19" s="157"/>
      <c r="H19" s="157"/>
      <c r="I19" s="157"/>
      <c r="J19" s="157"/>
      <c r="K19" s="157"/>
      <c r="L19" s="157"/>
    </row>
    <row r="20" spans="1:12" ht="18">
      <c r="A20" s="158" t="s">
        <v>34</v>
      </c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36" customHeight="1">
      <c r="A21" s="159" t="s">
        <v>35</v>
      </c>
      <c r="B21" s="147" t="s">
        <v>36</v>
      </c>
      <c r="C21" s="160">
        <v>777</v>
      </c>
      <c r="D21" s="160">
        <v>702</v>
      </c>
      <c r="E21" s="160">
        <v>659</v>
      </c>
      <c r="F21" s="160">
        <v>663</v>
      </c>
      <c r="G21" s="160">
        <v>623</v>
      </c>
      <c r="H21" s="160">
        <v>653</v>
      </c>
      <c r="I21" s="160">
        <v>588</v>
      </c>
      <c r="J21" s="160">
        <v>653</v>
      </c>
      <c r="K21" s="160">
        <v>594</v>
      </c>
      <c r="L21" s="160">
        <v>653</v>
      </c>
    </row>
    <row r="22" spans="1:12" ht="18">
      <c r="A22" s="159" t="s">
        <v>37</v>
      </c>
      <c r="B22" s="147" t="s">
        <v>30</v>
      </c>
      <c r="C22" s="161">
        <v>239184</v>
      </c>
      <c r="D22" s="152">
        <v>222834</v>
      </c>
      <c r="E22" s="54">
        <v>98353</v>
      </c>
      <c r="F22" s="152">
        <v>248324</v>
      </c>
      <c r="G22" s="152">
        <v>204557</v>
      </c>
      <c r="H22" s="152">
        <v>247025</v>
      </c>
      <c r="I22" s="152">
        <v>194908</v>
      </c>
      <c r="J22" s="152">
        <v>249495</v>
      </c>
      <c r="K22" s="152">
        <v>198826</v>
      </c>
      <c r="L22" s="152">
        <v>251990</v>
      </c>
    </row>
    <row r="23" spans="1:12" ht="18">
      <c r="A23" s="159" t="s">
        <v>38</v>
      </c>
      <c r="B23" s="147" t="s">
        <v>98</v>
      </c>
      <c r="C23" s="161">
        <f>C22/C21/12*1000</f>
        <v>25652.509652509652</v>
      </c>
      <c r="D23" s="161">
        <f aca="true" t="shared" si="0" ref="D23:L23">D22/D21/12*1000</f>
        <v>26452.279202279202</v>
      </c>
      <c r="E23" s="162">
        <f>E22/E21/6*1000</f>
        <v>24874.30450177036</v>
      </c>
      <c r="F23" s="161">
        <f t="shared" si="0"/>
        <v>31212.166918049275</v>
      </c>
      <c r="G23" s="161">
        <f t="shared" si="0"/>
        <v>27361.824505082932</v>
      </c>
      <c r="H23" s="161">
        <f t="shared" si="0"/>
        <v>31524.37468095967</v>
      </c>
      <c r="I23" s="162">
        <f t="shared" si="0"/>
        <v>27623.015873015873</v>
      </c>
      <c r="J23" s="161">
        <f t="shared" si="0"/>
        <v>31839.586523736598</v>
      </c>
      <c r="K23" s="162">
        <f t="shared" si="0"/>
        <v>27893.658810325476</v>
      </c>
      <c r="L23" s="161">
        <f t="shared" si="0"/>
        <v>32157.988769780502</v>
      </c>
    </row>
    <row r="24" spans="1:12" ht="18">
      <c r="A24" s="159" t="s">
        <v>39</v>
      </c>
      <c r="B24" s="147" t="s">
        <v>30</v>
      </c>
      <c r="C24" s="161">
        <v>73653</v>
      </c>
      <c r="D24" s="161">
        <v>4657</v>
      </c>
      <c r="E24" s="161">
        <v>2622</v>
      </c>
      <c r="F24" s="161">
        <v>4400</v>
      </c>
      <c r="G24" s="161">
        <v>3740</v>
      </c>
      <c r="H24" s="161">
        <v>4290</v>
      </c>
      <c r="I24" s="161">
        <v>3815</v>
      </c>
      <c r="J24" s="161">
        <v>4719</v>
      </c>
      <c r="K24" s="161">
        <v>4006</v>
      </c>
      <c r="L24" s="161">
        <v>5191</v>
      </c>
    </row>
    <row r="25" spans="1:12" ht="18">
      <c r="A25" s="158" t="s">
        <v>4</v>
      </c>
      <c r="B25" s="163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60" customHeight="1">
      <c r="A26" s="159" t="s">
        <v>40</v>
      </c>
      <c r="B26" s="148" t="s">
        <v>30</v>
      </c>
      <c r="C26" s="161">
        <v>11328</v>
      </c>
      <c r="D26" s="152">
        <v>2166</v>
      </c>
      <c r="E26" s="152">
        <v>324</v>
      </c>
      <c r="F26" s="152">
        <v>29661</v>
      </c>
      <c r="G26" s="54">
        <f>G29+G31</f>
        <v>2098.8540000000003</v>
      </c>
      <c r="H26" s="152">
        <v>2166</v>
      </c>
      <c r="I26" s="54">
        <f>I29+I30</f>
        <v>2284.3438</v>
      </c>
      <c r="J26" s="152">
        <v>2383</v>
      </c>
      <c r="K26" s="54">
        <f>K29+K30</f>
        <v>2495.4541</v>
      </c>
      <c r="L26" s="152">
        <v>2621</v>
      </c>
    </row>
    <row r="27" spans="1:12" ht="18">
      <c r="A27" s="159" t="s">
        <v>41</v>
      </c>
      <c r="B27" s="147"/>
      <c r="C27" s="161"/>
      <c r="D27" s="161"/>
      <c r="E27" s="161"/>
      <c r="F27" s="161"/>
      <c r="G27" s="162"/>
      <c r="H27" s="161"/>
      <c r="I27" s="162"/>
      <c r="J27" s="161"/>
      <c r="K27" s="162"/>
      <c r="L27" s="161"/>
    </row>
    <row r="28" spans="1:12" ht="18">
      <c r="A28" s="159" t="s">
        <v>42</v>
      </c>
      <c r="B28" s="147" t="s">
        <v>30</v>
      </c>
      <c r="C28" s="161"/>
      <c r="D28" s="161"/>
      <c r="E28" s="161"/>
      <c r="F28" s="161"/>
      <c r="G28" s="162"/>
      <c r="H28" s="161"/>
      <c r="I28" s="162"/>
      <c r="J28" s="161"/>
      <c r="K28" s="162"/>
      <c r="L28" s="161"/>
    </row>
    <row r="29" spans="1:12" ht="18">
      <c r="A29" s="159" t="s">
        <v>43</v>
      </c>
      <c r="B29" s="147" t="s">
        <v>30</v>
      </c>
      <c r="C29" s="161">
        <v>10726</v>
      </c>
      <c r="D29" s="161">
        <v>2166</v>
      </c>
      <c r="E29" s="161">
        <v>324</v>
      </c>
      <c r="F29" s="161">
        <v>9154</v>
      </c>
      <c r="G29" s="162">
        <f>H29*96.9%</f>
        <v>1469.0040000000001</v>
      </c>
      <c r="H29" s="161">
        <v>1516</v>
      </c>
      <c r="I29" s="162">
        <f>J29*95.86%</f>
        <v>1598.9448</v>
      </c>
      <c r="J29" s="161">
        <v>1668</v>
      </c>
      <c r="K29" s="162">
        <f>L29*95.21%</f>
        <v>1747.1035</v>
      </c>
      <c r="L29" s="161">
        <v>1835</v>
      </c>
    </row>
    <row r="30" spans="1:12" ht="18">
      <c r="A30" s="159" t="s">
        <v>44</v>
      </c>
      <c r="B30" s="147" t="s">
        <v>30</v>
      </c>
      <c r="C30" s="161"/>
      <c r="D30" s="161"/>
      <c r="E30" s="161"/>
      <c r="F30" s="161"/>
      <c r="G30" s="162"/>
      <c r="H30" s="161"/>
      <c r="I30" s="162">
        <f>J30*95.86%</f>
        <v>685.399</v>
      </c>
      <c r="J30" s="161">
        <v>715</v>
      </c>
      <c r="K30" s="162">
        <f>L30*95.21%</f>
        <v>748.3506</v>
      </c>
      <c r="L30" s="161">
        <v>786</v>
      </c>
    </row>
    <row r="31" spans="1:12" ht="18">
      <c r="A31" s="159" t="s">
        <v>45</v>
      </c>
      <c r="B31" s="147" t="s">
        <v>30</v>
      </c>
      <c r="C31" s="161">
        <v>602</v>
      </c>
      <c r="D31" s="161"/>
      <c r="E31" s="161"/>
      <c r="F31" s="161">
        <v>20507</v>
      </c>
      <c r="G31" s="162">
        <f>H31*96.9%</f>
        <v>629.85</v>
      </c>
      <c r="H31" s="161">
        <v>650</v>
      </c>
      <c r="I31" s="162"/>
      <c r="J31" s="161" t="s">
        <v>205</v>
      </c>
      <c r="K31" s="162"/>
      <c r="L31" s="161"/>
    </row>
    <row r="32" spans="1:12" ht="18">
      <c r="A32" s="159" t="s">
        <v>8</v>
      </c>
      <c r="B32" s="147" t="s">
        <v>30</v>
      </c>
      <c r="C32" s="161">
        <v>11328</v>
      </c>
      <c r="D32" s="161">
        <v>2166</v>
      </c>
      <c r="E32" s="161">
        <v>324</v>
      </c>
      <c r="F32" s="161">
        <v>29661</v>
      </c>
      <c r="G32" s="162">
        <v>2099</v>
      </c>
      <c r="H32" s="161">
        <v>2166</v>
      </c>
      <c r="I32" s="162">
        <v>2284</v>
      </c>
      <c r="J32" s="161">
        <v>2383</v>
      </c>
      <c r="K32" s="162">
        <v>2495</v>
      </c>
      <c r="L32" s="161">
        <v>2621</v>
      </c>
    </row>
    <row r="33" spans="1:12" ht="36.75" customHeight="1">
      <c r="A33" s="164" t="s">
        <v>46</v>
      </c>
      <c r="B33" s="107" t="s">
        <v>25</v>
      </c>
      <c r="C33" s="165">
        <f>SUM(C35:C43)/1000</f>
        <v>1742.434</v>
      </c>
      <c r="D33" s="165">
        <f aca="true" t="shared" si="1" ref="D33:L33">SUM(D35:D43)/1000</f>
        <v>2387.531</v>
      </c>
      <c r="E33" s="165">
        <f t="shared" si="1"/>
        <v>934.955</v>
      </c>
      <c r="F33" s="165">
        <f t="shared" si="1"/>
        <v>2339.288</v>
      </c>
      <c r="G33" s="165">
        <f t="shared" si="1"/>
        <v>1839.064</v>
      </c>
      <c r="H33" s="165">
        <f t="shared" si="1"/>
        <v>1949.408</v>
      </c>
      <c r="I33" s="165">
        <f>SUM(I35:I43)/1000</f>
        <v>2022.971</v>
      </c>
      <c r="J33" s="165">
        <f t="shared" si="1"/>
        <v>2144.349</v>
      </c>
      <c r="K33" s="165">
        <f t="shared" si="1"/>
        <v>2225.269</v>
      </c>
      <c r="L33" s="165">
        <f t="shared" si="1"/>
        <v>2358.783</v>
      </c>
    </row>
    <row r="34" spans="1:12" ht="18">
      <c r="A34" s="151" t="s">
        <v>64</v>
      </c>
      <c r="B34" s="166" t="s">
        <v>65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1:12" ht="18">
      <c r="A35" s="151" t="s">
        <v>66</v>
      </c>
      <c r="B35" s="147" t="s">
        <v>30</v>
      </c>
      <c r="C35" s="161">
        <v>173066</v>
      </c>
      <c r="D35" s="152">
        <v>221413</v>
      </c>
      <c r="E35" s="152">
        <v>260229</v>
      </c>
      <c r="F35" s="152">
        <v>316289</v>
      </c>
      <c r="G35" s="54">
        <v>248655</v>
      </c>
      <c r="H35" s="152">
        <v>263575</v>
      </c>
      <c r="I35" s="152">
        <v>273521</v>
      </c>
      <c r="J35" s="152">
        <v>289932</v>
      </c>
      <c r="K35" s="152">
        <v>300873</v>
      </c>
      <c r="L35" s="152">
        <v>318925</v>
      </c>
    </row>
    <row r="36" spans="1:12" ht="39.75" customHeight="1">
      <c r="A36" s="151" t="s">
        <v>47</v>
      </c>
      <c r="B36" s="147" t="s">
        <v>30</v>
      </c>
      <c r="C36" s="161">
        <v>1264994</v>
      </c>
      <c r="D36" s="152">
        <v>1772285</v>
      </c>
      <c r="E36" s="152">
        <v>450000</v>
      </c>
      <c r="F36" s="152">
        <v>1672876</v>
      </c>
      <c r="G36" s="54">
        <v>1315154</v>
      </c>
      <c r="H36" s="152">
        <v>1394063</v>
      </c>
      <c r="I36" s="152">
        <v>1446669</v>
      </c>
      <c r="J36" s="152">
        <v>1533470</v>
      </c>
      <c r="K36" s="152">
        <v>1591336</v>
      </c>
      <c r="L36" s="152">
        <v>1686816</v>
      </c>
    </row>
    <row r="37" spans="1:12" ht="40.5" customHeight="1">
      <c r="A37" s="151" t="s">
        <v>48</v>
      </c>
      <c r="B37" s="147" t="s">
        <v>30</v>
      </c>
      <c r="C37" s="161"/>
      <c r="D37" s="152"/>
      <c r="E37" s="152">
        <v>8079</v>
      </c>
      <c r="F37" s="152">
        <v>41746</v>
      </c>
      <c r="G37" s="54">
        <v>32820</v>
      </c>
      <c r="H37" s="152">
        <v>34789</v>
      </c>
      <c r="I37" s="152">
        <v>36102</v>
      </c>
      <c r="J37" s="152">
        <v>38268</v>
      </c>
      <c r="K37" s="152">
        <v>39712</v>
      </c>
      <c r="L37" s="152">
        <v>42094</v>
      </c>
    </row>
    <row r="38" spans="1:12" ht="18">
      <c r="A38" s="151" t="s">
        <v>49</v>
      </c>
      <c r="B38" s="147" t="s">
        <v>30</v>
      </c>
      <c r="C38" s="161">
        <v>7069</v>
      </c>
      <c r="D38" s="152">
        <v>5689</v>
      </c>
      <c r="E38" s="152">
        <v>3789</v>
      </c>
      <c r="F38" s="152">
        <v>1157</v>
      </c>
      <c r="G38" s="54">
        <v>910</v>
      </c>
      <c r="H38" s="152">
        <v>964</v>
      </c>
      <c r="I38" s="152">
        <v>1001</v>
      </c>
      <c r="J38" s="152">
        <v>1061</v>
      </c>
      <c r="K38" s="152">
        <v>1101</v>
      </c>
      <c r="L38" s="152">
        <v>1167</v>
      </c>
    </row>
    <row r="39" spans="1:12" ht="18">
      <c r="A39" s="151" t="s">
        <v>50</v>
      </c>
      <c r="B39" s="147" t="s">
        <v>30</v>
      </c>
      <c r="C39" s="161">
        <v>4820</v>
      </c>
      <c r="D39" s="152">
        <v>9267</v>
      </c>
      <c r="E39" s="152">
        <v>5715</v>
      </c>
      <c r="F39" s="152">
        <v>30977</v>
      </c>
      <c r="G39" s="54">
        <v>24353</v>
      </c>
      <c r="H39" s="152">
        <v>25814</v>
      </c>
      <c r="I39" s="152">
        <v>26788</v>
      </c>
      <c r="J39" s="152">
        <v>28395</v>
      </c>
      <c r="K39" s="152">
        <v>29467</v>
      </c>
      <c r="L39" s="152">
        <v>31235</v>
      </c>
    </row>
    <row r="40" spans="1:12" ht="18">
      <c r="A40" s="151" t="s">
        <v>51</v>
      </c>
      <c r="B40" s="147" t="s">
        <v>30</v>
      </c>
      <c r="C40" s="161">
        <v>183534</v>
      </c>
      <c r="D40" s="152">
        <v>248053</v>
      </c>
      <c r="E40" s="152">
        <v>144957</v>
      </c>
      <c r="F40" s="152">
        <v>185786</v>
      </c>
      <c r="G40" s="54">
        <v>146058</v>
      </c>
      <c r="H40" s="152">
        <v>154822</v>
      </c>
      <c r="I40" s="152">
        <v>160664</v>
      </c>
      <c r="J40" s="152">
        <v>170304</v>
      </c>
      <c r="K40" s="152">
        <v>176731</v>
      </c>
      <c r="L40" s="152">
        <v>187334</v>
      </c>
    </row>
    <row r="41" spans="1:12" ht="18">
      <c r="A41" s="151" t="s">
        <v>52</v>
      </c>
      <c r="B41" s="147" t="s">
        <v>30</v>
      </c>
      <c r="C41" s="161">
        <v>54894</v>
      </c>
      <c r="D41" s="152">
        <v>79395</v>
      </c>
      <c r="E41" s="152">
        <v>44776</v>
      </c>
      <c r="F41" s="152">
        <v>58139</v>
      </c>
      <c r="G41" s="54">
        <v>45707</v>
      </c>
      <c r="H41" s="152">
        <v>48449</v>
      </c>
      <c r="I41" s="152">
        <v>50278</v>
      </c>
      <c r="J41" s="152">
        <v>53294</v>
      </c>
      <c r="K41" s="152">
        <v>55305</v>
      </c>
      <c r="L41" s="152">
        <v>58624</v>
      </c>
    </row>
    <row r="42" spans="1:12" ht="18">
      <c r="A42" s="151" t="s">
        <v>53</v>
      </c>
      <c r="B42" s="147" t="s">
        <v>30</v>
      </c>
      <c r="C42" s="161">
        <v>7890</v>
      </c>
      <c r="D42" s="152">
        <v>10579</v>
      </c>
      <c r="E42" s="152">
        <v>6498</v>
      </c>
      <c r="F42" s="152">
        <v>5101</v>
      </c>
      <c r="G42" s="54">
        <v>4010</v>
      </c>
      <c r="H42" s="152">
        <v>4251</v>
      </c>
      <c r="I42" s="152">
        <v>4411</v>
      </c>
      <c r="J42" s="152">
        <v>4676</v>
      </c>
      <c r="K42" s="152">
        <v>4853</v>
      </c>
      <c r="L42" s="152">
        <v>5144</v>
      </c>
    </row>
    <row r="43" spans="1:12" ht="18">
      <c r="A43" s="151" t="s">
        <v>54</v>
      </c>
      <c r="B43" s="147" t="s">
        <v>30</v>
      </c>
      <c r="C43" s="161">
        <v>46167</v>
      </c>
      <c r="D43" s="152">
        <v>40850</v>
      </c>
      <c r="E43" s="152">
        <v>10912</v>
      </c>
      <c r="F43" s="152">
        <v>27217</v>
      </c>
      <c r="G43" s="152">
        <v>21397</v>
      </c>
      <c r="H43" s="152">
        <v>22681</v>
      </c>
      <c r="I43" s="152">
        <v>23537</v>
      </c>
      <c r="J43" s="152">
        <v>24949</v>
      </c>
      <c r="K43" s="152">
        <v>25891</v>
      </c>
      <c r="L43" s="152">
        <v>27444</v>
      </c>
    </row>
    <row r="44" spans="1:12" ht="39.75" customHeight="1">
      <c r="A44" s="151" t="s">
        <v>68</v>
      </c>
      <c r="B44" s="147" t="s">
        <v>30</v>
      </c>
      <c r="C44" s="161">
        <v>1748555</v>
      </c>
      <c r="D44" s="161">
        <v>2389258</v>
      </c>
      <c r="E44" s="161">
        <v>937385</v>
      </c>
      <c r="F44" s="161">
        <v>2346462</v>
      </c>
      <c r="G44" s="161">
        <v>1844703</v>
      </c>
      <c r="H44" s="161">
        <v>1955385</v>
      </c>
      <c r="I44" s="161">
        <v>2029173</v>
      </c>
      <c r="J44" s="161">
        <v>2150924</v>
      </c>
      <c r="K44" s="161">
        <v>2232091</v>
      </c>
      <c r="L44" s="161">
        <v>2366016</v>
      </c>
    </row>
    <row r="45" spans="1:12" ht="27" customHeight="1">
      <c r="A45" s="151" t="s">
        <v>55</v>
      </c>
      <c r="B45" s="107" t="s">
        <v>67</v>
      </c>
      <c r="C45" s="167">
        <f>C44/C14</f>
        <v>1.0145131447409723</v>
      </c>
      <c r="D45" s="167">
        <f aca="true" t="shared" si="2" ref="D45:L45">D44/D14</f>
        <v>1.0033351306588458</v>
      </c>
      <c r="E45" s="167">
        <f t="shared" si="2"/>
        <v>1.0297788148236033</v>
      </c>
      <c r="F45" s="167">
        <f t="shared" si="2"/>
        <v>0.9781526393040726</v>
      </c>
      <c r="G45" s="167">
        <f t="shared" si="2"/>
        <v>1.0042626790202698</v>
      </c>
      <c r="H45" s="167">
        <f t="shared" si="2"/>
        <v>1.0001207069128746</v>
      </c>
      <c r="I45" s="167">
        <f t="shared" si="2"/>
        <v>1.0042626796531655</v>
      </c>
      <c r="J45" s="167">
        <f t="shared" si="2"/>
        <v>1.0001208928963334</v>
      </c>
      <c r="K45" s="167">
        <f t="shared" si="2"/>
        <v>1.0042629945973574</v>
      </c>
      <c r="L45" s="167">
        <f t="shared" si="2"/>
        <v>1.0001208929167742</v>
      </c>
    </row>
    <row r="46" spans="1:12" ht="18">
      <c r="A46" s="164" t="s">
        <v>56</v>
      </c>
      <c r="B46" s="147" t="s">
        <v>73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</row>
    <row r="47" spans="1:12" ht="18">
      <c r="A47" s="151" t="s">
        <v>69</v>
      </c>
      <c r="B47" s="147" t="s">
        <v>30</v>
      </c>
      <c r="C47" s="161">
        <v>-4274</v>
      </c>
      <c r="D47" s="152">
        <v>-6125</v>
      </c>
      <c r="E47" s="152">
        <v>-24677</v>
      </c>
      <c r="F47" s="152">
        <v>59581</v>
      </c>
      <c r="G47" s="152">
        <v>-2192</v>
      </c>
      <c r="H47" s="152">
        <v>5741</v>
      </c>
      <c r="I47" s="152">
        <v>-2411</v>
      </c>
      <c r="J47" s="152">
        <v>6315</v>
      </c>
      <c r="K47" s="152">
        <v>-2652</v>
      </c>
      <c r="L47" s="152">
        <v>6947</v>
      </c>
    </row>
    <row r="48" spans="1:12" ht="18">
      <c r="A48" s="151" t="s">
        <v>70</v>
      </c>
      <c r="B48" s="147" t="s">
        <v>30</v>
      </c>
      <c r="C48" s="161">
        <v>-10395</v>
      </c>
      <c r="D48" s="152">
        <v>-7942</v>
      </c>
      <c r="E48" s="152">
        <v>-27107</v>
      </c>
      <c r="F48" s="152">
        <v>52408</v>
      </c>
      <c r="G48" s="152">
        <v>-2892</v>
      </c>
      <c r="H48" s="152">
        <v>1241</v>
      </c>
      <c r="I48" s="152">
        <v>-3181</v>
      </c>
      <c r="J48" s="152">
        <v>1365</v>
      </c>
      <c r="K48" s="152">
        <v>-3499</v>
      </c>
      <c r="L48" s="152">
        <v>1502</v>
      </c>
    </row>
    <row r="49" spans="1:12" ht="26.25" customHeight="1">
      <c r="A49" s="151" t="s">
        <v>71</v>
      </c>
      <c r="B49" s="147" t="s">
        <v>30</v>
      </c>
      <c r="C49" s="161">
        <v>-36100</v>
      </c>
      <c r="D49" s="152">
        <v>-37055</v>
      </c>
      <c r="E49" s="152">
        <v>-31355</v>
      </c>
      <c r="F49" s="152">
        <v>47025</v>
      </c>
      <c r="G49" s="152">
        <v>-5892</v>
      </c>
      <c r="H49" s="152">
        <v>241</v>
      </c>
      <c r="I49" s="152">
        <v>-6481</v>
      </c>
      <c r="J49" s="152">
        <v>265</v>
      </c>
      <c r="K49" s="152">
        <v>-7129</v>
      </c>
      <c r="L49" s="152">
        <v>292</v>
      </c>
    </row>
    <row r="50" spans="1:12" ht="18">
      <c r="A50" s="151" t="s">
        <v>72</v>
      </c>
      <c r="B50" s="147" t="s">
        <v>30</v>
      </c>
      <c r="C50" s="168"/>
      <c r="D50" s="161">
        <v>100</v>
      </c>
      <c r="E50" s="152">
        <v>-4134</v>
      </c>
      <c r="F50" s="152">
        <v>12225</v>
      </c>
      <c r="G50" s="152">
        <v>-884</v>
      </c>
      <c r="H50" s="152">
        <v>36</v>
      </c>
      <c r="I50" s="152">
        <v>-972</v>
      </c>
      <c r="J50" s="152">
        <v>40</v>
      </c>
      <c r="K50" s="152">
        <v>-1069</v>
      </c>
      <c r="L50" s="152">
        <v>44</v>
      </c>
    </row>
    <row r="51" spans="1:12" ht="18">
      <c r="A51" s="151" t="s">
        <v>57</v>
      </c>
      <c r="B51" s="147" t="s">
        <v>30</v>
      </c>
      <c r="C51" s="156">
        <v>7890</v>
      </c>
      <c r="D51" s="152">
        <f>D42</f>
        <v>10579</v>
      </c>
      <c r="E51" s="152">
        <v>4643</v>
      </c>
      <c r="F51" s="152">
        <v>9154</v>
      </c>
      <c r="G51" s="152">
        <v>4010</v>
      </c>
      <c r="H51" s="152">
        <v>4251</v>
      </c>
      <c r="I51" s="152">
        <v>4411</v>
      </c>
      <c r="J51" s="152">
        <v>4676</v>
      </c>
      <c r="K51" s="152">
        <v>4853</v>
      </c>
      <c r="L51" s="152">
        <v>5144</v>
      </c>
    </row>
    <row r="52" spans="1:12" ht="18">
      <c r="A52" s="164" t="s">
        <v>58</v>
      </c>
      <c r="B52" s="148" t="s">
        <v>73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</row>
    <row r="53" spans="1:12" ht="18">
      <c r="A53" s="151" t="s">
        <v>59</v>
      </c>
      <c r="B53" s="107" t="s">
        <v>60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ht="18">
      <c r="A54" s="151" t="s">
        <v>61</v>
      </c>
      <c r="B54" s="107" t="s">
        <v>60</v>
      </c>
      <c r="C54" s="170">
        <v>2758.424</v>
      </c>
      <c r="D54" s="170"/>
      <c r="E54" s="169"/>
      <c r="F54" s="169"/>
      <c r="G54" s="169"/>
      <c r="H54" s="169"/>
      <c r="I54" s="169"/>
      <c r="J54" s="169"/>
      <c r="K54" s="169"/>
      <c r="L54" s="169"/>
    </row>
    <row r="55" spans="1:12" ht="46.5" customHeight="1">
      <c r="A55" s="151"/>
      <c r="B55" s="107" t="s">
        <v>3</v>
      </c>
      <c r="C55" s="170">
        <v>2</v>
      </c>
      <c r="D55" s="170"/>
      <c r="E55" s="169"/>
      <c r="F55" s="169"/>
      <c r="G55" s="169"/>
      <c r="H55" s="169"/>
      <c r="I55" s="169"/>
      <c r="J55" s="169"/>
      <c r="K55" s="169"/>
      <c r="L55" s="169"/>
    </row>
    <row r="56" spans="1:12" ht="18">
      <c r="A56" s="151" t="s">
        <v>62</v>
      </c>
      <c r="B56" s="107" t="s">
        <v>60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</row>
    <row r="57" spans="1:12" ht="42" customHeight="1">
      <c r="A57" s="171"/>
      <c r="B57" s="108" t="s">
        <v>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</row>
    <row r="58" spans="1:12" ht="21" customHeight="1">
      <c r="A58" s="219" t="s">
        <v>74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</row>
    <row r="59" spans="1:12" ht="18.75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</row>
    <row r="60" spans="1:12" ht="18.7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</row>
    <row r="61" spans="1:12" ht="18.75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</row>
    <row r="62" spans="1:12" ht="18.7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</row>
    <row r="63" spans="1:12" ht="18.75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ht="18.75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ht="18.75">
      <c r="A65" s="125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1:12" ht="18.75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1:12" ht="18.7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</row>
    <row r="68" spans="1:12" ht="18.75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</row>
    <row r="69" spans="1:12" ht="18.7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1:12" ht="18.75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1:12" ht="18.75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1:12" ht="18.7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 ht="18.75">
      <c r="A73" s="221"/>
      <c r="B73" s="221"/>
      <c r="C73" s="221"/>
      <c r="D73" s="221"/>
      <c r="E73" s="221"/>
      <c r="F73" s="128"/>
      <c r="G73" s="128"/>
      <c r="H73" s="128"/>
      <c r="I73" s="128"/>
      <c r="J73" s="128"/>
      <c r="K73" s="128"/>
      <c r="L73" s="128"/>
    </row>
    <row r="74" spans="1:12" ht="18.75">
      <c r="A74" s="222"/>
      <c r="B74" s="222"/>
      <c r="C74" s="222"/>
      <c r="D74" s="222"/>
      <c r="E74" s="222"/>
      <c r="F74" s="222"/>
      <c r="G74" s="128"/>
      <c r="H74" s="128"/>
      <c r="I74" s="128"/>
      <c r="J74" s="128"/>
      <c r="K74" s="128"/>
      <c r="L74" s="128"/>
    </row>
    <row r="75" spans="1:12" ht="18.75">
      <c r="A75" s="125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ht="18.75">
      <c r="A76" s="125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ht="18.75">
      <c r="A77" s="125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ht="18.75">
      <c r="A78" s="125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ht="18.75">
      <c r="A79" s="125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ht="18.75">
      <c r="A80" s="125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ht="18.75">
      <c r="A81" s="125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ht="18.75">
      <c r="A82" s="125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</row>
    <row r="83" ht="18.75">
      <c r="A83" s="125"/>
    </row>
    <row r="84" ht="18.75">
      <c r="A84" s="125"/>
    </row>
    <row r="85" ht="18.75">
      <c r="A85" s="125"/>
    </row>
    <row r="86" ht="18.75">
      <c r="A86" s="125"/>
    </row>
    <row r="87" ht="18.75">
      <c r="A87" s="125"/>
    </row>
    <row r="88" ht="18.75">
      <c r="A88" s="125"/>
    </row>
    <row r="89" ht="18.75">
      <c r="A89" s="125"/>
    </row>
    <row r="90" ht="18.75">
      <c r="A90" s="125"/>
    </row>
    <row r="91" ht="18.75">
      <c r="A91" s="125"/>
    </row>
    <row r="92" ht="18.75">
      <c r="A92" s="125"/>
    </row>
    <row r="93" ht="18.75">
      <c r="A93" s="125"/>
    </row>
    <row r="94" ht="18.75">
      <c r="A94" s="125"/>
    </row>
    <row r="95" ht="18.75">
      <c r="A95" s="125"/>
    </row>
    <row r="96" ht="18.75">
      <c r="A96" s="125"/>
    </row>
    <row r="97" s="111" customFormat="1" ht="18.75">
      <c r="A97" s="125"/>
    </row>
    <row r="98" s="111" customFormat="1" ht="18.75">
      <c r="A98" s="125"/>
    </row>
    <row r="99" s="111" customFormat="1" ht="18.75">
      <c r="A99" s="125"/>
    </row>
    <row r="100" s="111" customFormat="1" ht="18.75">
      <c r="A100" s="125"/>
    </row>
    <row r="101" s="111" customFormat="1" ht="18.75">
      <c r="A101" s="125"/>
    </row>
    <row r="102" s="111" customFormat="1" ht="18.75">
      <c r="A102" s="125"/>
    </row>
    <row r="103" s="111" customFormat="1" ht="18.75">
      <c r="A103" s="125"/>
    </row>
    <row r="104" s="111" customFormat="1" ht="18.75">
      <c r="A104" s="125"/>
    </row>
    <row r="105" s="111" customFormat="1" ht="18.75">
      <c r="A105" s="125"/>
    </row>
    <row r="106" s="111" customFormat="1" ht="18.75">
      <c r="A106" s="125"/>
    </row>
    <row r="107" s="111" customFormat="1" ht="18.75">
      <c r="A107" s="125"/>
    </row>
    <row r="108" s="111" customFormat="1" ht="18.75">
      <c r="A108" s="125"/>
    </row>
    <row r="109" s="111" customFormat="1" ht="18.75">
      <c r="A109" s="125"/>
    </row>
    <row r="110" s="111" customFormat="1" ht="18.75">
      <c r="A110" s="125"/>
    </row>
    <row r="111" s="111" customFormat="1" ht="18.75">
      <c r="A111" s="125"/>
    </row>
    <row r="112" s="111" customFormat="1" ht="18.75">
      <c r="A112" s="125"/>
    </row>
    <row r="113" s="111" customFormat="1" ht="18.75">
      <c r="A113" s="125"/>
    </row>
    <row r="114" s="111" customFormat="1" ht="18.75">
      <c r="A114" s="125"/>
    </row>
    <row r="115" s="111" customFormat="1" ht="18.75">
      <c r="A115" s="125"/>
    </row>
    <row r="116" s="111" customFormat="1" ht="18.75">
      <c r="A116" s="125"/>
    </row>
    <row r="117" s="111" customFormat="1" ht="18.75">
      <c r="A117" s="125"/>
    </row>
    <row r="118" s="111" customFormat="1" ht="18.75">
      <c r="A118" s="125"/>
    </row>
    <row r="119" s="111" customFormat="1" ht="18.75">
      <c r="A119" s="125"/>
    </row>
    <row r="120" s="111" customFormat="1" ht="18.75">
      <c r="A120" s="125"/>
    </row>
    <row r="121" s="111" customFormat="1" ht="18.75">
      <c r="A121" s="125"/>
    </row>
    <row r="122" s="111" customFormat="1" ht="18.75">
      <c r="A122" s="125"/>
    </row>
    <row r="123" s="111" customFormat="1" ht="18.75">
      <c r="A123" s="125"/>
    </row>
    <row r="124" s="111" customFormat="1" ht="18.75">
      <c r="A124" s="125"/>
    </row>
    <row r="125" s="111" customFormat="1" ht="18.75">
      <c r="A125" s="125"/>
    </row>
    <row r="126" s="111" customFormat="1" ht="18.75">
      <c r="A126" s="125"/>
    </row>
    <row r="127" s="111" customFormat="1" ht="18.75">
      <c r="A127" s="125"/>
    </row>
    <row r="128" s="111" customFormat="1" ht="18.75">
      <c r="A128" s="125"/>
    </row>
    <row r="129" s="111" customFormat="1" ht="18.75">
      <c r="A129" s="125"/>
    </row>
    <row r="130" s="111" customFormat="1" ht="18.75">
      <c r="A130" s="125"/>
    </row>
    <row r="131" s="111" customFormat="1" ht="18.75">
      <c r="A131" s="125"/>
    </row>
    <row r="132" s="111" customFormat="1" ht="18.75">
      <c r="A132" s="125"/>
    </row>
    <row r="133" s="111" customFormat="1" ht="18.75">
      <c r="A133" s="125"/>
    </row>
    <row r="134" s="111" customFormat="1" ht="18.75">
      <c r="A134" s="125"/>
    </row>
    <row r="135" s="111" customFormat="1" ht="18.75">
      <c r="A135" s="125"/>
    </row>
    <row r="136" s="111" customFormat="1" ht="18.75">
      <c r="A136" s="125"/>
    </row>
    <row r="137" s="111" customFormat="1" ht="18.75">
      <c r="A137" s="125"/>
    </row>
    <row r="138" s="111" customFormat="1" ht="18.75">
      <c r="A138" s="125"/>
    </row>
    <row r="139" s="111" customFormat="1" ht="18.75">
      <c r="A139" s="125"/>
    </row>
    <row r="140" s="111" customFormat="1" ht="18.75">
      <c r="A140" s="125"/>
    </row>
    <row r="141" s="111" customFormat="1" ht="18.75">
      <c r="A141" s="125"/>
    </row>
    <row r="142" s="111" customFormat="1" ht="18.75">
      <c r="A142" s="125"/>
    </row>
    <row r="143" s="111" customFormat="1" ht="18.75">
      <c r="A143" s="125"/>
    </row>
    <row r="144" s="111" customFormat="1" ht="18.75">
      <c r="A144" s="125"/>
    </row>
    <row r="145" s="111" customFormat="1" ht="18.75">
      <c r="A145" s="125"/>
    </row>
    <row r="146" s="111" customFormat="1" ht="18.75">
      <c r="A146" s="125"/>
    </row>
    <row r="147" s="111" customFormat="1" ht="18.75">
      <c r="A147" s="125"/>
    </row>
    <row r="148" s="111" customFormat="1" ht="18.75">
      <c r="A148" s="125"/>
    </row>
    <row r="149" s="111" customFormat="1" ht="18.75">
      <c r="A149" s="125"/>
    </row>
    <row r="150" s="111" customFormat="1" ht="18.75">
      <c r="A150" s="125"/>
    </row>
    <row r="151" s="111" customFormat="1" ht="18.75">
      <c r="A151" s="125"/>
    </row>
    <row r="152" s="111" customFormat="1" ht="18.75">
      <c r="A152" s="125"/>
    </row>
    <row r="153" s="111" customFormat="1" ht="18.75">
      <c r="A153" s="125"/>
    </row>
    <row r="154" s="111" customFormat="1" ht="18.75">
      <c r="A154" s="125"/>
    </row>
    <row r="155" s="111" customFormat="1" ht="18.75">
      <c r="A155" s="125"/>
    </row>
    <row r="156" s="111" customFormat="1" ht="18.75">
      <c r="A156" s="125"/>
    </row>
    <row r="157" s="111" customFormat="1" ht="18.75">
      <c r="A157" s="125"/>
    </row>
    <row r="158" s="111" customFormat="1" ht="18.75">
      <c r="A158" s="125"/>
    </row>
    <row r="159" s="111" customFormat="1" ht="18.75">
      <c r="A159" s="125"/>
    </row>
    <row r="160" s="111" customFormat="1" ht="18.75">
      <c r="A160" s="125"/>
    </row>
    <row r="161" s="111" customFormat="1" ht="18.75">
      <c r="A161" s="125"/>
    </row>
    <row r="162" s="111" customFormat="1" ht="18.75">
      <c r="A162" s="125"/>
    </row>
    <row r="163" s="111" customFormat="1" ht="18.75">
      <c r="A163" s="125"/>
    </row>
    <row r="164" s="111" customFormat="1" ht="18.75">
      <c r="A164" s="125"/>
    </row>
    <row r="165" s="111" customFormat="1" ht="18.75">
      <c r="A165" s="125"/>
    </row>
    <row r="166" s="111" customFormat="1" ht="18.75">
      <c r="A166" s="125"/>
    </row>
    <row r="167" s="111" customFormat="1" ht="18.75">
      <c r="A167" s="125"/>
    </row>
    <row r="168" s="111" customFormat="1" ht="18.75">
      <c r="A168" s="125"/>
    </row>
    <row r="169" s="111" customFormat="1" ht="18.75">
      <c r="A169" s="125"/>
    </row>
    <row r="170" s="111" customFormat="1" ht="18.75">
      <c r="A170" s="125"/>
    </row>
    <row r="171" s="111" customFormat="1" ht="18.75">
      <c r="A171" s="125"/>
    </row>
    <row r="172" s="111" customFormat="1" ht="18.75">
      <c r="A172" s="125"/>
    </row>
    <row r="173" s="111" customFormat="1" ht="18.75">
      <c r="A173" s="125"/>
    </row>
    <row r="174" s="111" customFormat="1" ht="18.75">
      <c r="A174" s="125"/>
    </row>
    <row r="175" s="111" customFormat="1" ht="18.75">
      <c r="A175" s="125"/>
    </row>
    <row r="176" s="111" customFormat="1" ht="18.75">
      <c r="A176" s="125"/>
    </row>
    <row r="177" s="111" customFormat="1" ht="18.75">
      <c r="A177" s="125"/>
    </row>
    <row r="178" s="111" customFormat="1" ht="18.75">
      <c r="A178" s="125"/>
    </row>
    <row r="179" s="111" customFormat="1" ht="18.75">
      <c r="A179" s="125"/>
    </row>
    <row r="180" s="111" customFormat="1" ht="18.75">
      <c r="A180" s="125"/>
    </row>
    <row r="181" s="111" customFormat="1" ht="18.75">
      <c r="A181" s="125"/>
    </row>
    <row r="182" s="111" customFormat="1" ht="18.75">
      <c r="A182" s="125"/>
    </row>
    <row r="183" s="111" customFormat="1" ht="18.75">
      <c r="A183" s="125"/>
    </row>
    <row r="184" s="111" customFormat="1" ht="18.75">
      <c r="A184" s="125"/>
    </row>
    <row r="185" s="111" customFormat="1" ht="18.75">
      <c r="A185" s="125"/>
    </row>
    <row r="186" s="111" customFormat="1" ht="18.75">
      <c r="A186" s="125"/>
    </row>
    <row r="187" s="111" customFormat="1" ht="18.75">
      <c r="A187" s="125"/>
    </row>
    <row r="188" s="111" customFormat="1" ht="18.75">
      <c r="A188" s="125"/>
    </row>
    <row r="189" s="111" customFormat="1" ht="18.75">
      <c r="A189" s="125"/>
    </row>
    <row r="190" s="111" customFormat="1" ht="18.75">
      <c r="A190" s="125"/>
    </row>
    <row r="191" s="111" customFormat="1" ht="18.75">
      <c r="A191" s="125"/>
    </row>
    <row r="192" s="111" customFormat="1" ht="18.75">
      <c r="A192" s="125"/>
    </row>
    <row r="193" s="111" customFormat="1" ht="18.75">
      <c r="A193" s="125"/>
    </row>
    <row r="194" s="111" customFormat="1" ht="18.75">
      <c r="A194" s="125"/>
    </row>
    <row r="195" s="111" customFormat="1" ht="18.75">
      <c r="A195" s="125"/>
    </row>
    <row r="196" s="111" customFormat="1" ht="18.75">
      <c r="A196" s="125"/>
    </row>
    <row r="197" s="111" customFormat="1" ht="18.75">
      <c r="A197" s="125"/>
    </row>
    <row r="198" s="111" customFormat="1" ht="18.75">
      <c r="A198" s="125"/>
    </row>
    <row r="199" s="111" customFormat="1" ht="18.75">
      <c r="A199" s="125"/>
    </row>
    <row r="200" s="111" customFormat="1" ht="18.75">
      <c r="A200" s="125"/>
    </row>
    <row r="201" s="111" customFormat="1" ht="18.75">
      <c r="A201" s="125"/>
    </row>
    <row r="202" s="111" customFormat="1" ht="18.75">
      <c r="A202" s="125"/>
    </row>
    <row r="203" s="111" customFormat="1" ht="18.75">
      <c r="A203" s="125"/>
    </row>
    <row r="204" s="111" customFormat="1" ht="18.75">
      <c r="A204" s="125"/>
    </row>
    <row r="205" s="111" customFormat="1" ht="18.75">
      <c r="A205" s="125"/>
    </row>
    <row r="206" s="111" customFormat="1" ht="18.75">
      <c r="A206" s="125"/>
    </row>
    <row r="207" s="111" customFormat="1" ht="18.75">
      <c r="A207" s="125"/>
    </row>
    <row r="208" s="111" customFormat="1" ht="18.75">
      <c r="A208" s="125"/>
    </row>
    <row r="209" s="111" customFormat="1" ht="18.75">
      <c r="A209" s="125"/>
    </row>
    <row r="210" s="111" customFormat="1" ht="18.75">
      <c r="A210" s="125"/>
    </row>
    <row r="211" s="111" customFormat="1" ht="18.75">
      <c r="A211" s="125"/>
    </row>
    <row r="212" s="111" customFormat="1" ht="18.75">
      <c r="A212" s="125"/>
    </row>
    <row r="213" s="111" customFormat="1" ht="18.75">
      <c r="A213" s="125"/>
    </row>
    <row r="214" s="111" customFormat="1" ht="18.75">
      <c r="A214" s="125"/>
    </row>
    <row r="215" s="111" customFormat="1" ht="18.75">
      <c r="A215" s="125"/>
    </row>
    <row r="216" s="111" customFormat="1" ht="18.75">
      <c r="A216" s="125"/>
    </row>
    <row r="217" s="111" customFormat="1" ht="18.75">
      <c r="A217" s="125"/>
    </row>
    <row r="218" s="111" customFormat="1" ht="18.75">
      <c r="A218" s="125"/>
    </row>
    <row r="219" s="111" customFormat="1" ht="18.75">
      <c r="A219" s="125"/>
    </row>
    <row r="220" s="111" customFormat="1" ht="18.75">
      <c r="A220" s="125"/>
    </row>
    <row r="221" s="111" customFormat="1" ht="18.75">
      <c r="A221" s="125"/>
    </row>
    <row r="222" s="111" customFormat="1" ht="18.75">
      <c r="A222" s="125"/>
    </row>
    <row r="223" s="111" customFormat="1" ht="18.75">
      <c r="A223" s="125"/>
    </row>
    <row r="224" s="111" customFormat="1" ht="18.75">
      <c r="A224" s="125"/>
    </row>
    <row r="225" s="111" customFormat="1" ht="18.75">
      <c r="A225" s="125"/>
    </row>
    <row r="226" s="111" customFormat="1" ht="18.75">
      <c r="A226" s="125"/>
    </row>
    <row r="227" s="111" customFormat="1" ht="18.75">
      <c r="A227" s="125"/>
    </row>
    <row r="228" s="111" customFormat="1" ht="18.75">
      <c r="A228" s="125"/>
    </row>
    <row r="229" s="111" customFormat="1" ht="18.75">
      <c r="A229" s="125"/>
    </row>
    <row r="230" s="111" customFormat="1" ht="18.75">
      <c r="A230" s="125"/>
    </row>
    <row r="231" s="111" customFormat="1" ht="18.75">
      <c r="A231" s="125"/>
    </row>
    <row r="232" s="111" customFormat="1" ht="18.75">
      <c r="A232" s="125"/>
    </row>
    <row r="233" s="111" customFormat="1" ht="18.75">
      <c r="A233" s="125"/>
    </row>
    <row r="234" s="111" customFormat="1" ht="18.75">
      <c r="A234" s="125"/>
    </row>
    <row r="235" s="111" customFormat="1" ht="18.75">
      <c r="A235" s="125"/>
    </row>
    <row r="236" s="111" customFormat="1" ht="18.75">
      <c r="A236" s="125"/>
    </row>
    <row r="237" s="111" customFormat="1" ht="18.75">
      <c r="A237" s="125"/>
    </row>
    <row r="238" s="111" customFormat="1" ht="18.75">
      <c r="A238" s="125"/>
    </row>
    <row r="239" s="111" customFormat="1" ht="18.75">
      <c r="A239" s="125"/>
    </row>
    <row r="240" s="111" customFormat="1" ht="18.75">
      <c r="A240" s="125"/>
    </row>
    <row r="241" s="111" customFormat="1" ht="18.75">
      <c r="A241" s="125"/>
    </row>
    <row r="242" s="111" customFormat="1" ht="18.75">
      <c r="A242" s="125"/>
    </row>
    <row r="243" s="111" customFormat="1" ht="18.75">
      <c r="A243" s="125"/>
    </row>
    <row r="244" s="111" customFormat="1" ht="18.75">
      <c r="A244" s="125"/>
    </row>
    <row r="245" s="111" customFormat="1" ht="18.75">
      <c r="A245" s="125"/>
    </row>
    <row r="246" s="111" customFormat="1" ht="18.75">
      <c r="A246" s="125"/>
    </row>
    <row r="247" s="111" customFormat="1" ht="18.75">
      <c r="A247" s="125"/>
    </row>
    <row r="248" s="111" customFormat="1" ht="18.75">
      <c r="A248" s="125"/>
    </row>
    <row r="249" s="111" customFormat="1" ht="18.75">
      <c r="A249" s="125"/>
    </row>
    <row r="250" s="111" customFormat="1" ht="18.75">
      <c r="A250" s="125"/>
    </row>
    <row r="251" s="111" customFormat="1" ht="18.75">
      <c r="A251" s="125"/>
    </row>
    <row r="252" s="111" customFormat="1" ht="18.75">
      <c r="A252" s="125"/>
    </row>
    <row r="253" s="111" customFormat="1" ht="18.75">
      <c r="A253" s="125"/>
    </row>
    <row r="254" s="111" customFormat="1" ht="18.75">
      <c r="A254" s="125"/>
    </row>
    <row r="255" s="111" customFormat="1" ht="18.75">
      <c r="A255" s="125"/>
    </row>
    <row r="256" s="111" customFormat="1" ht="18.75">
      <c r="A256" s="125"/>
    </row>
    <row r="257" s="111" customFormat="1" ht="18.75">
      <c r="A257" s="125"/>
    </row>
    <row r="258" s="111" customFormat="1" ht="18.75">
      <c r="A258" s="125"/>
    </row>
    <row r="259" s="111" customFormat="1" ht="18.75">
      <c r="A259" s="125"/>
    </row>
    <row r="260" s="111" customFormat="1" ht="18.75">
      <c r="A260" s="125"/>
    </row>
    <row r="261" s="111" customFormat="1" ht="18.75">
      <c r="A261" s="125"/>
    </row>
    <row r="262" s="111" customFormat="1" ht="18.75">
      <c r="A262" s="125"/>
    </row>
    <row r="263" s="111" customFormat="1" ht="18.75">
      <c r="A263" s="125"/>
    </row>
    <row r="264" s="111" customFormat="1" ht="18.75">
      <c r="A264" s="125"/>
    </row>
    <row r="265" s="111" customFormat="1" ht="18.75">
      <c r="A265" s="125"/>
    </row>
    <row r="266" s="111" customFormat="1" ht="18.75">
      <c r="A266" s="125"/>
    </row>
    <row r="267" s="111" customFormat="1" ht="18.75">
      <c r="A267" s="125"/>
    </row>
    <row r="268" s="111" customFormat="1" ht="18.75">
      <c r="A268" s="125"/>
    </row>
    <row r="269" s="111" customFormat="1" ht="18.75">
      <c r="A269" s="125"/>
    </row>
    <row r="270" s="111" customFormat="1" ht="18.75">
      <c r="A270" s="125"/>
    </row>
    <row r="271" s="111" customFormat="1" ht="18.75">
      <c r="A271" s="125"/>
    </row>
    <row r="272" s="111" customFormat="1" ht="18.75">
      <c r="A272" s="125"/>
    </row>
    <row r="273" s="111" customFormat="1" ht="18.75">
      <c r="A273" s="125"/>
    </row>
    <row r="274" s="111" customFormat="1" ht="18.75">
      <c r="A274" s="125"/>
    </row>
    <row r="275" s="111" customFormat="1" ht="18.75">
      <c r="A275" s="125"/>
    </row>
    <row r="276" s="111" customFormat="1" ht="18.75">
      <c r="A276" s="125"/>
    </row>
    <row r="277" s="111" customFormat="1" ht="18.75">
      <c r="A277" s="125"/>
    </row>
    <row r="278" s="111" customFormat="1" ht="18.75">
      <c r="A278" s="125"/>
    </row>
    <row r="279" s="111" customFormat="1" ht="18.75">
      <c r="A279" s="125"/>
    </row>
    <row r="280" s="111" customFormat="1" ht="18.75">
      <c r="A280" s="125"/>
    </row>
    <row r="281" s="111" customFormat="1" ht="18.75">
      <c r="A281" s="125"/>
    </row>
    <row r="282" s="111" customFormat="1" ht="18.75">
      <c r="A282" s="125"/>
    </row>
    <row r="283" s="111" customFormat="1" ht="18.75">
      <c r="A283" s="125"/>
    </row>
    <row r="284" s="111" customFormat="1" ht="18.75">
      <c r="A284" s="125"/>
    </row>
    <row r="285" s="111" customFormat="1" ht="18.75">
      <c r="A285" s="125"/>
    </row>
    <row r="286" s="111" customFormat="1" ht="18.75">
      <c r="A286" s="125"/>
    </row>
    <row r="287" s="111" customFormat="1" ht="18.75">
      <c r="A287" s="125"/>
    </row>
    <row r="288" s="111" customFormat="1" ht="18.75">
      <c r="A288" s="125"/>
    </row>
    <row r="289" s="111" customFormat="1" ht="18.75">
      <c r="A289" s="125"/>
    </row>
    <row r="290" s="111" customFormat="1" ht="18.75">
      <c r="A290" s="125"/>
    </row>
    <row r="291" s="111" customFormat="1" ht="18.75">
      <c r="A291" s="125"/>
    </row>
    <row r="292" s="111" customFormat="1" ht="18.75">
      <c r="A292" s="125"/>
    </row>
    <row r="293" s="111" customFormat="1" ht="18.75">
      <c r="A293" s="125"/>
    </row>
    <row r="294" s="111" customFormat="1" ht="18.75">
      <c r="A294" s="125"/>
    </row>
    <row r="295" s="111" customFormat="1" ht="18.75">
      <c r="A295" s="125"/>
    </row>
    <row r="296" s="111" customFormat="1" ht="18.75">
      <c r="A296" s="125"/>
    </row>
    <row r="297" s="111" customFormat="1" ht="18.75">
      <c r="A297" s="125"/>
    </row>
    <row r="298" s="111" customFormat="1" ht="18.75">
      <c r="A298" s="125"/>
    </row>
    <row r="299" s="111" customFormat="1" ht="18.75">
      <c r="A299" s="125"/>
    </row>
    <row r="300" s="111" customFormat="1" ht="18.75">
      <c r="A300" s="125"/>
    </row>
    <row r="301" s="111" customFormat="1" ht="18.75">
      <c r="A301" s="125"/>
    </row>
    <row r="302" s="111" customFormat="1" ht="18.75">
      <c r="A302" s="125"/>
    </row>
    <row r="303" s="111" customFormat="1" ht="18.75">
      <c r="A303" s="125"/>
    </row>
    <row r="304" s="111" customFormat="1" ht="18.75">
      <c r="A304" s="125"/>
    </row>
    <row r="305" s="111" customFormat="1" ht="18.75">
      <c r="A305" s="125"/>
    </row>
    <row r="306" s="111" customFormat="1" ht="18.75">
      <c r="A306" s="125"/>
    </row>
    <row r="307" s="111" customFormat="1" ht="18.75">
      <c r="A307" s="125"/>
    </row>
    <row r="308" s="111" customFormat="1" ht="18.75">
      <c r="A308" s="125"/>
    </row>
    <row r="309" s="111" customFormat="1" ht="18.75">
      <c r="A309" s="125"/>
    </row>
    <row r="310" s="111" customFormat="1" ht="18.75">
      <c r="A310" s="125"/>
    </row>
    <row r="311" s="111" customFormat="1" ht="18.75">
      <c r="A311" s="125"/>
    </row>
    <row r="312" s="111" customFormat="1" ht="18.75">
      <c r="A312" s="125"/>
    </row>
    <row r="313" s="111" customFormat="1" ht="18.75">
      <c r="A313" s="125"/>
    </row>
    <row r="314" s="111" customFormat="1" ht="18.75">
      <c r="A314" s="125"/>
    </row>
    <row r="315" s="111" customFormat="1" ht="18.75">
      <c r="A315" s="125"/>
    </row>
    <row r="316" s="111" customFormat="1" ht="18.75">
      <c r="A316" s="125"/>
    </row>
    <row r="317" s="111" customFormat="1" ht="18.75">
      <c r="A317" s="125"/>
    </row>
    <row r="318" s="111" customFormat="1" ht="18.75">
      <c r="A318" s="125"/>
    </row>
    <row r="319" s="111" customFormat="1" ht="18.75">
      <c r="A319" s="125"/>
    </row>
    <row r="320" s="111" customFormat="1" ht="18.75">
      <c r="A320" s="125"/>
    </row>
    <row r="321" s="111" customFormat="1" ht="18.75">
      <c r="A321" s="125"/>
    </row>
    <row r="322" s="111" customFormat="1" ht="18.75">
      <c r="A322" s="125"/>
    </row>
    <row r="323" s="111" customFormat="1" ht="18.75">
      <c r="A323" s="125"/>
    </row>
    <row r="324" s="111" customFormat="1" ht="18.75">
      <c r="A324" s="125"/>
    </row>
    <row r="325" s="111" customFormat="1" ht="18.75">
      <c r="A325" s="125"/>
    </row>
    <row r="326" s="111" customFormat="1" ht="18.75">
      <c r="A326" s="125"/>
    </row>
    <row r="327" s="111" customFormat="1" ht="18.75">
      <c r="A327" s="125"/>
    </row>
    <row r="328" s="111" customFormat="1" ht="18.75">
      <c r="A328" s="125"/>
    </row>
  </sheetData>
  <sheetProtection/>
  <mergeCells count="18">
    <mergeCell ref="A58:L58"/>
    <mergeCell ref="A73:E73"/>
    <mergeCell ref="A74:F74"/>
    <mergeCell ref="A10:A12"/>
    <mergeCell ref="B10:B12"/>
    <mergeCell ref="C10:C12"/>
    <mergeCell ref="D10:D12"/>
    <mergeCell ref="E10:F10"/>
    <mergeCell ref="G10:L10"/>
    <mergeCell ref="E11:E12"/>
    <mergeCell ref="I17:L18"/>
    <mergeCell ref="F11:F12"/>
    <mergeCell ref="G11:H11"/>
    <mergeCell ref="I11:J11"/>
    <mergeCell ref="A6:L6"/>
    <mergeCell ref="A7:L7"/>
    <mergeCell ref="A8:L8"/>
    <mergeCell ref="K11:L11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landscape" paperSize="9" scale="57" r:id="rId1"/>
  <headerFooter differentOddEven="1">
    <oddHeader>&amp;C&amp;"Times New Roman,обычный"&amp;14 5</oddHeader>
    <evenHeader>&amp;C&amp;"Times New Roman,обычный"&amp;14 6</evenHeader>
  </headerFooter>
  <rowBreaks count="1" manualBreakCount="1">
    <brk id="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view="pageLayout" zoomScaleNormal="78" workbookViewId="0" topLeftCell="A28">
      <selection activeCell="A32" sqref="A32"/>
    </sheetView>
  </sheetViews>
  <sheetFormatPr defaultColWidth="9.00390625" defaultRowHeight="12.75"/>
  <cols>
    <col min="1" max="1" width="56.375" style="129" customWidth="1"/>
    <col min="2" max="2" width="14.25390625" style="130" customWidth="1"/>
    <col min="3" max="3" width="15.375" style="130" customWidth="1"/>
    <col min="4" max="4" width="15.00390625" style="130" customWidth="1"/>
    <col min="5" max="5" width="15.25390625" style="130" customWidth="1"/>
    <col min="6" max="6" width="16.00390625" style="130" customWidth="1"/>
    <col min="7" max="7" width="16.375" style="130" customWidth="1"/>
    <col min="8" max="8" width="15.375" style="130" customWidth="1"/>
    <col min="9" max="9" width="16.75390625" style="130" customWidth="1"/>
    <col min="10" max="10" width="16.25390625" style="130" customWidth="1"/>
    <col min="11" max="11" width="16.625" style="130" customWidth="1"/>
    <col min="12" max="12" width="17.625" style="130" customWidth="1"/>
    <col min="13" max="16384" width="9.125" style="130" customWidth="1"/>
  </cols>
  <sheetData>
    <row r="1" spans="10:12" ht="18.75">
      <c r="J1" s="109" t="s">
        <v>224</v>
      </c>
      <c r="K1" s="109"/>
      <c r="L1" s="109"/>
    </row>
    <row r="2" spans="10:12" ht="18.75">
      <c r="J2" s="110" t="s">
        <v>222</v>
      </c>
      <c r="K2" s="110"/>
      <c r="L2" s="110"/>
    </row>
    <row r="3" spans="10:12" ht="21" customHeight="1">
      <c r="J3" s="110" t="s">
        <v>20</v>
      </c>
      <c r="K3" s="110"/>
      <c r="L3" s="110"/>
    </row>
    <row r="4" spans="10:12" ht="19.5" customHeight="1">
      <c r="J4" s="110" t="s">
        <v>223</v>
      </c>
      <c r="K4" s="110"/>
      <c r="L4" s="110"/>
    </row>
    <row r="5" spans="1:12" ht="36" customHeight="1">
      <c r="A5" s="217" t="s">
        <v>96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ht="18.75">
      <c r="A6" s="217" t="s">
        <v>26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1:12" ht="18.75">
      <c r="A7" s="217" t="s">
        <v>207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2" ht="18.7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12" ht="18.75">
      <c r="A9" s="225" t="s">
        <v>27</v>
      </c>
      <c r="B9" s="226" t="s">
        <v>28</v>
      </c>
      <c r="C9" s="226" t="s">
        <v>112</v>
      </c>
      <c r="D9" s="226" t="s">
        <v>113</v>
      </c>
      <c r="E9" s="226" t="s">
        <v>122</v>
      </c>
      <c r="F9" s="226"/>
      <c r="G9" s="225" t="s">
        <v>6</v>
      </c>
      <c r="H9" s="225"/>
      <c r="I9" s="225"/>
      <c r="J9" s="225"/>
      <c r="K9" s="225"/>
      <c r="L9" s="225"/>
    </row>
    <row r="10" spans="1:12" ht="22.5" customHeight="1">
      <c r="A10" s="225"/>
      <c r="B10" s="226"/>
      <c r="C10" s="226"/>
      <c r="D10" s="226"/>
      <c r="E10" s="226"/>
      <c r="F10" s="226"/>
      <c r="G10" s="225" t="s">
        <v>115</v>
      </c>
      <c r="H10" s="225"/>
      <c r="I10" s="225" t="s">
        <v>129</v>
      </c>
      <c r="J10" s="225"/>
      <c r="K10" s="225" t="s">
        <v>116</v>
      </c>
      <c r="L10" s="225"/>
    </row>
    <row r="11" spans="1:12" ht="48" customHeight="1">
      <c r="A11" s="225"/>
      <c r="B11" s="226"/>
      <c r="C11" s="226"/>
      <c r="D11" s="226"/>
      <c r="E11" s="121" t="s">
        <v>208</v>
      </c>
      <c r="F11" s="121" t="s">
        <v>19</v>
      </c>
      <c r="G11" s="115" t="s">
        <v>117</v>
      </c>
      <c r="H11" s="115" t="s">
        <v>123</v>
      </c>
      <c r="I11" s="115" t="s">
        <v>117</v>
      </c>
      <c r="J11" s="115" t="s">
        <v>123</v>
      </c>
      <c r="K11" s="115" t="s">
        <v>117</v>
      </c>
      <c r="L11" s="115" t="s">
        <v>123</v>
      </c>
    </row>
    <row r="12" spans="1:12" ht="18.75">
      <c r="A12" s="120" t="s">
        <v>23</v>
      </c>
      <c r="B12" s="117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8" ht="99" customHeight="1">
      <c r="A13" s="117" t="s">
        <v>63</v>
      </c>
      <c r="B13" s="121" t="s">
        <v>1</v>
      </c>
      <c r="C13" s="119">
        <v>704500</v>
      </c>
      <c r="D13" s="119">
        <v>869465</v>
      </c>
      <c r="E13" s="119">
        <v>478936</v>
      </c>
      <c r="F13" s="131">
        <f>E13*2</f>
        <v>957872</v>
      </c>
      <c r="G13" s="131">
        <f aca="true" t="shared" si="0" ref="G13:L13">$F13*M13/100</f>
        <v>909978.4</v>
      </c>
      <c r="H13" s="131">
        <f>$F13*N13/100</f>
        <v>1005765.6</v>
      </c>
      <c r="I13" s="131">
        <f t="shared" si="0"/>
        <v>909978.4</v>
      </c>
      <c r="J13" s="131">
        <f t="shared" si="0"/>
        <v>1005765.6</v>
      </c>
      <c r="K13" s="131">
        <f t="shared" si="0"/>
        <v>909978.4</v>
      </c>
      <c r="L13" s="131">
        <f t="shared" si="0"/>
        <v>1005765.6</v>
      </c>
      <c r="M13" s="130">
        <v>95</v>
      </c>
      <c r="N13" s="130">
        <v>105</v>
      </c>
      <c r="O13" s="130">
        <v>95</v>
      </c>
      <c r="P13" s="130">
        <v>105</v>
      </c>
      <c r="Q13" s="130">
        <v>95</v>
      </c>
      <c r="R13" s="130">
        <v>105</v>
      </c>
    </row>
    <row r="14" spans="1:12" ht="56.25">
      <c r="A14" s="117" t="s">
        <v>227</v>
      </c>
      <c r="B14" s="121" t="s">
        <v>1</v>
      </c>
      <c r="C14" s="119">
        <f>C13</f>
        <v>704500</v>
      </c>
      <c r="D14" s="119">
        <f>D13</f>
        <v>869465</v>
      </c>
      <c r="E14" s="119">
        <f aca="true" t="shared" si="1" ref="E14:L14">E13</f>
        <v>478936</v>
      </c>
      <c r="F14" s="119">
        <f t="shared" si="1"/>
        <v>957872</v>
      </c>
      <c r="G14" s="131">
        <f t="shared" si="1"/>
        <v>909978.4</v>
      </c>
      <c r="H14" s="131">
        <f t="shared" si="1"/>
        <v>1005765.6</v>
      </c>
      <c r="I14" s="131">
        <f t="shared" si="1"/>
        <v>909978.4</v>
      </c>
      <c r="J14" s="131">
        <f t="shared" si="1"/>
        <v>1005765.6</v>
      </c>
      <c r="K14" s="131">
        <f t="shared" si="1"/>
        <v>909978.4</v>
      </c>
      <c r="L14" s="131">
        <f t="shared" si="1"/>
        <v>1005765.6</v>
      </c>
    </row>
    <row r="15" spans="1:24" ht="37.5">
      <c r="A15" s="117" t="s">
        <v>209</v>
      </c>
      <c r="B15" s="132" t="s">
        <v>136</v>
      </c>
      <c r="C15" s="119">
        <f>C16+C17+C18</f>
        <v>14452</v>
      </c>
      <c r="D15" s="131">
        <v>10324.9</v>
      </c>
      <c r="E15" s="119">
        <f aca="true" t="shared" si="2" ref="E15:L15">E16+E17+E18</f>
        <v>5180.9</v>
      </c>
      <c r="F15" s="119">
        <f t="shared" si="2"/>
        <v>9760.8</v>
      </c>
      <c r="G15" s="119">
        <f t="shared" si="2"/>
        <v>9272.759999999998</v>
      </c>
      <c r="H15" s="119">
        <f t="shared" si="2"/>
        <v>10248.839999999998</v>
      </c>
      <c r="I15" s="119">
        <f t="shared" si="2"/>
        <v>9272.759999999998</v>
      </c>
      <c r="J15" s="119">
        <f t="shared" si="2"/>
        <v>10248.839999999998</v>
      </c>
      <c r="K15" s="119">
        <f t="shared" si="2"/>
        <v>9272.759999999998</v>
      </c>
      <c r="L15" s="119">
        <f t="shared" si="2"/>
        <v>10248.839999999998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ht="18.75">
      <c r="A16" s="134" t="s">
        <v>135</v>
      </c>
      <c r="B16" s="132" t="s">
        <v>136</v>
      </c>
      <c r="C16" s="119">
        <v>13675</v>
      </c>
      <c r="D16" s="131">
        <f>D15-D17-D18</f>
        <v>8348.65</v>
      </c>
      <c r="E16" s="119">
        <v>4130.4</v>
      </c>
      <c r="F16" s="131">
        <f>E16*2</f>
        <v>8260.8</v>
      </c>
      <c r="G16" s="131">
        <f aca="true" t="shared" si="3" ref="G16:L18">$F16*M16/100</f>
        <v>7847.759999999998</v>
      </c>
      <c r="H16" s="131">
        <f t="shared" si="3"/>
        <v>8673.839999999998</v>
      </c>
      <c r="I16" s="131">
        <f t="shared" si="3"/>
        <v>7847.759999999998</v>
      </c>
      <c r="J16" s="131">
        <f t="shared" si="3"/>
        <v>8673.839999999998</v>
      </c>
      <c r="K16" s="131">
        <f t="shared" si="3"/>
        <v>7847.759999999998</v>
      </c>
      <c r="L16" s="131">
        <f t="shared" si="3"/>
        <v>8673.839999999998</v>
      </c>
      <c r="M16" s="130">
        <v>95</v>
      </c>
      <c r="N16" s="130">
        <v>105</v>
      </c>
      <c r="O16" s="130">
        <v>95</v>
      </c>
      <c r="P16" s="130">
        <v>105</v>
      </c>
      <c r="Q16" s="130">
        <v>95</v>
      </c>
      <c r="R16" s="130">
        <v>105</v>
      </c>
      <c r="S16" s="133"/>
      <c r="T16" s="133"/>
      <c r="U16" s="133"/>
      <c r="V16" s="133"/>
      <c r="W16" s="133"/>
      <c r="X16" s="133"/>
    </row>
    <row r="17" spans="1:24" ht="18.75">
      <c r="A17" s="134" t="s">
        <v>210</v>
      </c>
      <c r="B17" s="132" t="s">
        <v>136</v>
      </c>
      <c r="C17" s="119">
        <v>495</v>
      </c>
      <c r="D17" s="131">
        <v>902.73</v>
      </c>
      <c r="E17" s="131">
        <v>490.4</v>
      </c>
      <c r="F17" s="131">
        <v>800</v>
      </c>
      <c r="G17" s="131">
        <f t="shared" si="3"/>
        <v>760</v>
      </c>
      <c r="H17" s="131">
        <f>$F17*N17/100</f>
        <v>840</v>
      </c>
      <c r="I17" s="131">
        <f t="shared" si="3"/>
        <v>760</v>
      </c>
      <c r="J17" s="131">
        <f t="shared" si="3"/>
        <v>840</v>
      </c>
      <c r="K17" s="131">
        <f t="shared" si="3"/>
        <v>760</v>
      </c>
      <c r="L17" s="131">
        <f t="shared" si="3"/>
        <v>840</v>
      </c>
      <c r="M17" s="130">
        <v>95</v>
      </c>
      <c r="N17" s="130">
        <v>105</v>
      </c>
      <c r="O17" s="130">
        <v>95</v>
      </c>
      <c r="P17" s="130">
        <v>105</v>
      </c>
      <c r="Q17" s="130">
        <v>95</v>
      </c>
      <c r="R17" s="130">
        <v>105</v>
      </c>
      <c r="S17" s="133"/>
      <c r="T17" s="133"/>
      <c r="U17" s="133"/>
      <c r="V17" s="133"/>
      <c r="W17" s="133"/>
      <c r="X17" s="133"/>
    </row>
    <row r="18" spans="1:24" ht="18.75">
      <c r="A18" s="134" t="s">
        <v>138</v>
      </c>
      <c r="B18" s="132" t="s">
        <v>136</v>
      </c>
      <c r="C18" s="119">
        <v>282</v>
      </c>
      <c r="D18" s="131">
        <v>1073.52</v>
      </c>
      <c r="E18" s="131">
        <v>560.1</v>
      </c>
      <c r="F18" s="131">
        <v>700</v>
      </c>
      <c r="G18" s="131">
        <f t="shared" si="3"/>
        <v>665</v>
      </c>
      <c r="H18" s="131">
        <f t="shared" si="3"/>
        <v>735</v>
      </c>
      <c r="I18" s="131">
        <f t="shared" si="3"/>
        <v>665</v>
      </c>
      <c r="J18" s="131">
        <f t="shared" si="3"/>
        <v>735</v>
      </c>
      <c r="K18" s="131">
        <f t="shared" si="3"/>
        <v>665</v>
      </c>
      <c r="L18" s="131">
        <f t="shared" si="3"/>
        <v>735</v>
      </c>
      <c r="M18" s="130">
        <v>95</v>
      </c>
      <c r="N18" s="130">
        <v>105</v>
      </c>
      <c r="O18" s="130">
        <v>95</v>
      </c>
      <c r="P18" s="130">
        <v>105</v>
      </c>
      <c r="Q18" s="130">
        <v>95</v>
      </c>
      <c r="R18" s="130">
        <v>105</v>
      </c>
      <c r="S18" s="133"/>
      <c r="T18" s="133"/>
      <c r="U18" s="133"/>
      <c r="V18" s="133"/>
      <c r="W18" s="133"/>
      <c r="X18" s="133"/>
    </row>
    <row r="19" spans="1:12" ht="18.75">
      <c r="A19" s="120" t="s">
        <v>211</v>
      </c>
      <c r="B19" s="122"/>
      <c r="C19" s="135"/>
      <c r="D19" s="131"/>
      <c r="E19" s="135"/>
      <c r="F19" s="135"/>
      <c r="G19" s="135"/>
      <c r="H19" s="135"/>
      <c r="I19" s="135"/>
      <c r="J19" s="135"/>
      <c r="K19" s="135"/>
      <c r="L19" s="136"/>
    </row>
    <row r="20" spans="1:12" ht="56.25">
      <c r="A20" s="117" t="s">
        <v>35</v>
      </c>
      <c r="B20" s="121" t="s">
        <v>5</v>
      </c>
      <c r="C20" s="135">
        <v>262</v>
      </c>
      <c r="D20" s="119">
        <v>262</v>
      </c>
      <c r="E20" s="135">
        <v>262</v>
      </c>
      <c r="F20" s="135">
        <v>262</v>
      </c>
      <c r="G20" s="135">
        <v>240</v>
      </c>
      <c r="H20" s="135">
        <v>240</v>
      </c>
      <c r="I20" s="135">
        <v>230</v>
      </c>
      <c r="J20" s="135">
        <v>230</v>
      </c>
      <c r="K20" s="135">
        <v>220</v>
      </c>
      <c r="L20" s="135">
        <v>220</v>
      </c>
    </row>
    <row r="21" spans="1:12" ht="24" customHeight="1">
      <c r="A21" s="117" t="s">
        <v>37</v>
      </c>
      <c r="B21" s="121" t="s">
        <v>1</v>
      </c>
      <c r="C21" s="119">
        <v>70238</v>
      </c>
      <c r="D21" s="119">
        <f>D39</f>
        <v>76000</v>
      </c>
      <c r="E21" s="119">
        <v>39600</v>
      </c>
      <c r="F21" s="119">
        <f>E21*2</f>
        <v>79200</v>
      </c>
      <c r="G21" s="119">
        <v>67000</v>
      </c>
      <c r="H21" s="119">
        <v>67000</v>
      </c>
      <c r="I21" s="119">
        <v>67000</v>
      </c>
      <c r="J21" s="119">
        <v>67000</v>
      </c>
      <c r="K21" s="119">
        <v>67000</v>
      </c>
      <c r="L21" s="119">
        <v>67000</v>
      </c>
    </row>
    <row r="22" spans="1:12" ht="24" customHeight="1">
      <c r="A22" s="117" t="s">
        <v>38</v>
      </c>
      <c r="B22" s="121" t="s">
        <v>212</v>
      </c>
      <c r="C22" s="119">
        <f>C21/C20/12*1000</f>
        <v>22340.33078880407</v>
      </c>
      <c r="D22" s="119">
        <f>D21/D20/12*1000</f>
        <v>24173.027989821887</v>
      </c>
      <c r="E22" s="119">
        <f>E21/E20/6*1000</f>
        <v>25190.83969465649</v>
      </c>
      <c r="F22" s="119">
        <f aca="true" t="shared" si="4" ref="F22:L22">F21/F20/12*1000</f>
        <v>25190.83969465649</v>
      </c>
      <c r="G22" s="119">
        <f t="shared" si="4"/>
        <v>23263.88888888889</v>
      </c>
      <c r="H22" s="119">
        <f t="shared" si="4"/>
        <v>23263.88888888889</v>
      </c>
      <c r="I22" s="119">
        <f t="shared" si="4"/>
        <v>24275.36231884058</v>
      </c>
      <c r="J22" s="119">
        <f t="shared" si="4"/>
        <v>24275.36231884058</v>
      </c>
      <c r="K22" s="119">
        <f t="shared" si="4"/>
        <v>25378.78787878788</v>
      </c>
      <c r="L22" s="119">
        <f t="shared" si="4"/>
        <v>25378.78787878788</v>
      </c>
    </row>
    <row r="23" spans="1:12" ht="24" customHeight="1">
      <c r="A23" s="117" t="s">
        <v>213</v>
      </c>
      <c r="B23" s="121" t="s">
        <v>1</v>
      </c>
      <c r="C23" s="119">
        <v>2900</v>
      </c>
      <c r="D23" s="119">
        <v>3500</v>
      </c>
      <c r="E23" s="119">
        <v>500</v>
      </c>
      <c r="F23" s="119">
        <v>1000</v>
      </c>
      <c r="G23" s="119">
        <v>1500</v>
      </c>
      <c r="H23" s="119">
        <v>1500</v>
      </c>
      <c r="I23" s="119">
        <v>1500</v>
      </c>
      <c r="J23" s="119">
        <v>1500</v>
      </c>
      <c r="K23" s="119">
        <v>1500</v>
      </c>
      <c r="L23" s="119">
        <v>1500</v>
      </c>
    </row>
    <row r="24" spans="1:12" ht="18.75">
      <c r="A24" s="120" t="s">
        <v>4</v>
      </c>
      <c r="B24" s="122"/>
      <c r="C24" s="131"/>
      <c r="D24" s="131"/>
      <c r="E24" s="131"/>
      <c r="F24" s="131"/>
      <c r="G24" s="131"/>
      <c r="H24" s="131"/>
      <c r="I24" s="131"/>
      <c r="J24" s="131"/>
      <c r="K24" s="131"/>
      <c r="L24" s="137"/>
    </row>
    <row r="25" spans="1:12" ht="56.25">
      <c r="A25" s="117" t="s">
        <v>214</v>
      </c>
      <c r="B25" s="121" t="s">
        <v>1</v>
      </c>
      <c r="C25" s="119">
        <v>5988</v>
      </c>
      <c r="D25" s="119">
        <v>23400</v>
      </c>
      <c r="E25" s="119">
        <v>700</v>
      </c>
      <c r="F25" s="119">
        <v>2500</v>
      </c>
      <c r="G25" s="119">
        <f>H25*0.969</f>
        <v>4845</v>
      </c>
      <c r="H25" s="119">
        <v>5000</v>
      </c>
      <c r="I25" s="119">
        <f>J25*0.9586</f>
        <v>4793</v>
      </c>
      <c r="J25" s="119">
        <v>5000</v>
      </c>
      <c r="K25" s="119">
        <f>L25*95.21%</f>
        <v>14281.5</v>
      </c>
      <c r="L25" s="119">
        <v>15000</v>
      </c>
    </row>
    <row r="26" spans="1:12" ht="18.75">
      <c r="A26" s="117" t="s">
        <v>215</v>
      </c>
      <c r="B26" s="121"/>
      <c r="C26" s="131"/>
      <c r="D26" s="131"/>
      <c r="E26" s="131"/>
      <c r="F26" s="131"/>
      <c r="G26" s="131"/>
      <c r="H26" s="131"/>
      <c r="I26" s="131"/>
      <c r="J26" s="131"/>
      <c r="K26" s="131"/>
      <c r="L26" s="137"/>
    </row>
    <row r="27" spans="1:12" ht="18.75">
      <c r="A27" s="117" t="s">
        <v>216</v>
      </c>
      <c r="B27" s="121" t="s">
        <v>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18.75">
      <c r="A28" s="117" t="s">
        <v>217</v>
      </c>
      <c r="B28" s="121" t="s">
        <v>1</v>
      </c>
      <c r="C28" s="119"/>
      <c r="D28" s="119">
        <v>12000</v>
      </c>
      <c r="E28" s="119">
        <f aca="true" t="shared" si="5" ref="E28:J28">E25</f>
        <v>700</v>
      </c>
      <c r="F28" s="119">
        <f t="shared" si="5"/>
        <v>2500</v>
      </c>
      <c r="G28" s="119">
        <f t="shared" si="5"/>
        <v>4845</v>
      </c>
      <c r="H28" s="119">
        <f t="shared" si="5"/>
        <v>5000</v>
      </c>
      <c r="I28" s="119">
        <f t="shared" si="5"/>
        <v>4793</v>
      </c>
      <c r="J28" s="119">
        <f t="shared" si="5"/>
        <v>5000</v>
      </c>
      <c r="K28" s="119"/>
      <c r="L28" s="138"/>
    </row>
    <row r="29" spans="1:12" ht="18.75">
      <c r="A29" s="117" t="s">
        <v>218</v>
      </c>
      <c r="B29" s="121" t="s">
        <v>1</v>
      </c>
      <c r="C29" s="119">
        <f>C25</f>
        <v>5988</v>
      </c>
      <c r="D29" s="119">
        <f>D25-D28</f>
        <v>11400</v>
      </c>
      <c r="E29" s="119"/>
      <c r="F29" s="119"/>
      <c r="G29" s="119"/>
      <c r="H29" s="119"/>
      <c r="I29" s="119"/>
      <c r="J29" s="119"/>
      <c r="K29" s="119">
        <f>K25</f>
        <v>14281.5</v>
      </c>
      <c r="L29" s="119">
        <v>15000</v>
      </c>
    </row>
    <row r="30" spans="1:12" ht="18.75">
      <c r="A30" s="117" t="s">
        <v>219</v>
      </c>
      <c r="B30" s="121" t="s">
        <v>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ht="23.25" customHeight="1">
      <c r="A31" s="117" t="s">
        <v>8</v>
      </c>
      <c r="B31" s="121" t="s">
        <v>1</v>
      </c>
      <c r="C31" s="119">
        <f>C29</f>
        <v>5988</v>
      </c>
      <c r="D31" s="119">
        <f>D29</f>
        <v>11400</v>
      </c>
      <c r="E31" s="119">
        <f>E28</f>
        <v>700</v>
      </c>
      <c r="F31" s="119">
        <f>F28</f>
        <v>2500</v>
      </c>
      <c r="G31" s="119"/>
      <c r="H31" s="119"/>
      <c r="I31" s="119"/>
      <c r="J31" s="119"/>
      <c r="K31" s="119">
        <f>K29</f>
        <v>14281.5</v>
      </c>
      <c r="L31" s="119">
        <f>L29</f>
        <v>15000</v>
      </c>
    </row>
    <row r="32" spans="1:12" ht="57" thickBot="1">
      <c r="A32" s="120" t="s">
        <v>46</v>
      </c>
      <c r="B32" s="121" t="s">
        <v>1</v>
      </c>
      <c r="C32" s="139">
        <f>C43</f>
        <v>673534</v>
      </c>
      <c r="D32" s="139">
        <f>SUM(D34:D42)</f>
        <v>853900</v>
      </c>
      <c r="E32" s="139">
        <f>SUM(E34:E42)</f>
        <v>481100</v>
      </c>
      <c r="F32" s="139">
        <f>SUM(F34:F42)</f>
        <v>957100</v>
      </c>
      <c r="G32" s="139">
        <f aca="true" t="shared" si="6" ref="G32:L32">G34+G35+G36+G37+G38+G39+G40+G41+G42</f>
        <v>916039.6</v>
      </c>
      <c r="H32" s="139">
        <f t="shared" si="6"/>
        <v>1001096.4</v>
      </c>
      <c r="I32" s="139">
        <f t="shared" si="6"/>
        <v>916039.6</v>
      </c>
      <c r="J32" s="139">
        <f t="shared" si="6"/>
        <v>1001096.4</v>
      </c>
      <c r="K32" s="139">
        <f t="shared" si="6"/>
        <v>916039.6</v>
      </c>
      <c r="L32" s="139">
        <f t="shared" si="6"/>
        <v>1001096.4</v>
      </c>
    </row>
    <row r="33" spans="1:12" ht="18.75">
      <c r="A33" s="117" t="s">
        <v>64</v>
      </c>
      <c r="B33" s="122" t="s">
        <v>65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7"/>
    </row>
    <row r="34" spans="1:18" ht="18.75">
      <c r="A34" s="117" t="s">
        <v>66</v>
      </c>
      <c r="B34" s="121" t="s">
        <v>1</v>
      </c>
      <c r="C34" s="119">
        <v>481300</v>
      </c>
      <c r="D34" s="119">
        <v>656300</v>
      </c>
      <c r="E34" s="119">
        <v>374200</v>
      </c>
      <c r="F34" s="119">
        <f>E34*2</f>
        <v>748400</v>
      </c>
      <c r="G34" s="119">
        <f aca="true" t="shared" si="7" ref="G34:L34">$F34*M34/100</f>
        <v>710980</v>
      </c>
      <c r="H34" s="119">
        <f t="shared" si="7"/>
        <v>785820</v>
      </c>
      <c r="I34" s="119">
        <f t="shared" si="7"/>
        <v>710980</v>
      </c>
      <c r="J34" s="119">
        <f t="shared" si="7"/>
        <v>785820</v>
      </c>
      <c r="K34" s="119">
        <f t="shared" si="7"/>
        <v>710980</v>
      </c>
      <c r="L34" s="119">
        <f t="shared" si="7"/>
        <v>785820</v>
      </c>
      <c r="M34" s="130">
        <v>95</v>
      </c>
      <c r="N34" s="130">
        <v>105</v>
      </c>
      <c r="O34" s="130">
        <v>95</v>
      </c>
      <c r="P34" s="130">
        <v>105</v>
      </c>
      <c r="Q34" s="130">
        <v>95</v>
      </c>
      <c r="R34" s="130">
        <v>105</v>
      </c>
    </row>
    <row r="35" spans="1:12" ht="37.5">
      <c r="A35" s="117" t="s">
        <v>47</v>
      </c>
      <c r="B35" s="121" t="s">
        <v>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56.25">
      <c r="A36" s="117" t="s">
        <v>48</v>
      </c>
      <c r="B36" s="121" t="s">
        <v>1</v>
      </c>
      <c r="C36" s="119">
        <v>48162</v>
      </c>
      <c r="D36" s="119">
        <v>55000</v>
      </c>
      <c r="E36" s="119">
        <v>28200</v>
      </c>
      <c r="F36" s="119">
        <f aca="true" t="shared" si="8" ref="F36:F41">E36*2</f>
        <v>56400</v>
      </c>
      <c r="G36" s="119">
        <v>56000</v>
      </c>
      <c r="H36" s="119">
        <v>56000</v>
      </c>
      <c r="I36" s="119">
        <v>56000</v>
      </c>
      <c r="J36" s="119">
        <v>56000</v>
      </c>
      <c r="K36" s="119">
        <v>56000</v>
      </c>
      <c r="L36" s="119">
        <v>56000</v>
      </c>
    </row>
    <row r="37" spans="1:12" ht="18.75">
      <c r="A37" s="117" t="s">
        <v>49</v>
      </c>
      <c r="B37" s="121" t="s">
        <v>1</v>
      </c>
      <c r="C37" s="119">
        <v>12967</v>
      </c>
      <c r="D37" s="119">
        <v>14600</v>
      </c>
      <c r="E37" s="119">
        <v>7200</v>
      </c>
      <c r="F37" s="119">
        <f t="shared" si="8"/>
        <v>14400</v>
      </c>
      <c r="G37" s="119">
        <v>15000</v>
      </c>
      <c r="H37" s="119">
        <v>15000</v>
      </c>
      <c r="I37" s="119">
        <v>15000</v>
      </c>
      <c r="J37" s="119">
        <v>15000</v>
      </c>
      <c r="K37" s="119">
        <v>15000</v>
      </c>
      <c r="L37" s="119">
        <v>15000</v>
      </c>
    </row>
    <row r="38" spans="1:12" ht="18.75">
      <c r="A38" s="117" t="s">
        <v>50</v>
      </c>
      <c r="B38" s="121" t="s">
        <v>1</v>
      </c>
      <c r="C38" s="119">
        <v>7901</v>
      </c>
      <c r="D38" s="119">
        <v>8700</v>
      </c>
      <c r="E38" s="119">
        <v>4100</v>
      </c>
      <c r="F38" s="119">
        <f t="shared" si="8"/>
        <v>8200</v>
      </c>
      <c r="G38" s="119">
        <v>8000</v>
      </c>
      <c r="H38" s="119">
        <v>8000</v>
      </c>
      <c r="I38" s="119">
        <v>8000</v>
      </c>
      <c r="J38" s="119">
        <v>8000</v>
      </c>
      <c r="K38" s="119">
        <v>8000</v>
      </c>
      <c r="L38" s="119">
        <v>8000</v>
      </c>
    </row>
    <row r="39" spans="1:18" ht="18.75">
      <c r="A39" s="117" t="s">
        <v>51</v>
      </c>
      <c r="B39" s="121" t="s">
        <v>1</v>
      </c>
      <c r="C39" s="119">
        <v>70238</v>
      </c>
      <c r="D39" s="119">
        <v>76000</v>
      </c>
      <c r="E39" s="119">
        <v>39600</v>
      </c>
      <c r="F39" s="119">
        <f t="shared" si="8"/>
        <v>79200</v>
      </c>
      <c r="G39" s="119">
        <f aca="true" t="shared" si="9" ref="G39:L39">$F39*M39/100</f>
        <v>75240</v>
      </c>
      <c r="H39" s="119">
        <f>$F39*N39/100</f>
        <v>83160</v>
      </c>
      <c r="I39" s="119">
        <f t="shared" si="9"/>
        <v>75240</v>
      </c>
      <c r="J39" s="119">
        <f t="shared" si="9"/>
        <v>83160</v>
      </c>
      <c r="K39" s="119">
        <f t="shared" si="9"/>
        <v>75240</v>
      </c>
      <c r="L39" s="119">
        <f t="shared" si="9"/>
        <v>83160</v>
      </c>
      <c r="M39" s="130">
        <v>95</v>
      </c>
      <c r="N39" s="130">
        <v>105</v>
      </c>
      <c r="O39" s="130">
        <v>95</v>
      </c>
      <c r="P39" s="130">
        <v>105</v>
      </c>
      <c r="Q39" s="130">
        <v>95</v>
      </c>
      <c r="R39" s="130">
        <v>105</v>
      </c>
    </row>
    <row r="40" spans="1:12" ht="18.75">
      <c r="A40" s="117" t="s">
        <v>52</v>
      </c>
      <c r="B40" s="121" t="s">
        <v>1</v>
      </c>
      <c r="C40" s="119">
        <v>19875</v>
      </c>
      <c r="D40" s="119">
        <v>23100</v>
      </c>
      <c r="E40" s="119">
        <v>10500</v>
      </c>
      <c r="F40" s="119">
        <f t="shared" si="8"/>
        <v>21000</v>
      </c>
      <c r="G40" s="131">
        <f aca="true" t="shared" si="10" ref="G40:L40">G39*29%</f>
        <v>21819.6</v>
      </c>
      <c r="H40" s="131">
        <f t="shared" si="10"/>
        <v>24116.399999999998</v>
      </c>
      <c r="I40" s="131">
        <f t="shared" si="10"/>
        <v>21819.6</v>
      </c>
      <c r="J40" s="131">
        <f t="shared" si="10"/>
        <v>24116.399999999998</v>
      </c>
      <c r="K40" s="131">
        <f t="shared" si="10"/>
        <v>21819.6</v>
      </c>
      <c r="L40" s="131">
        <f t="shared" si="10"/>
        <v>24116.399999999998</v>
      </c>
    </row>
    <row r="41" spans="1:12" ht="18.75">
      <c r="A41" s="117" t="s">
        <v>53</v>
      </c>
      <c r="B41" s="121" t="s">
        <v>1</v>
      </c>
      <c r="C41" s="119">
        <v>15791</v>
      </c>
      <c r="D41" s="119">
        <v>13900</v>
      </c>
      <c r="E41" s="119">
        <v>7500</v>
      </c>
      <c r="F41" s="119">
        <f t="shared" si="8"/>
        <v>15000</v>
      </c>
      <c r="G41" s="119">
        <v>15000</v>
      </c>
      <c r="H41" s="119">
        <v>15000</v>
      </c>
      <c r="I41" s="119">
        <v>15000</v>
      </c>
      <c r="J41" s="119">
        <v>15000</v>
      </c>
      <c r="K41" s="119">
        <v>15000</v>
      </c>
      <c r="L41" s="119">
        <v>15000</v>
      </c>
    </row>
    <row r="42" spans="1:12" ht="18.75">
      <c r="A42" s="117" t="s">
        <v>54</v>
      </c>
      <c r="B42" s="121" t="s">
        <v>1</v>
      </c>
      <c r="C42" s="119">
        <v>17300</v>
      </c>
      <c r="D42" s="119">
        <v>6300</v>
      </c>
      <c r="E42" s="119">
        <v>9800</v>
      </c>
      <c r="F42" s="119">
        <v>14500</v>
      </c>
      <c r="G42" s="119">
        <v>14000</v>
      </c>
      <c r="H42" s="119">
        <v>14000</v>
      </c>
      <c r="I42" s="119">
        <v>14000</v>
      </c>
      <c r="J42" s="119">
        <v>14000</v>
      </c>
      <c r="K42" s="119">
        <v>14000</v>
      </c>
      <c r="L42" s="119">
        <v>14000</v>
      </c>
    </row>
    <row r="43" spans="1:12" ht="76.5" customHeight="1">
      <c r="A43" s="117" t="s">
        <v>220</v>
      </c>
      <c r="B43" s="121" t="s">
        <v>1</v>
      </c>
      <c r="C43" s="119">
        <v>673534</v>
      </c>
      <c r="D43" s="119">
        <f>D32</f>
        <v>853900</v>
      </c>
      <c r="E43" s="119">
        <v>481100</v>
      </c>
      <c r="F43" s="119">
        <f>F32</f>
        <v>957100</v>
      </c>
      <c r="G43" s="131">
        <f aca="true" t="shared" si="11" ref="G43:L43">G32</f>
        <v>916039.6</v>
      </c>
      <c r="H43" s="131">
        <f t="shared" si="11"/>
        <v>1001096.4</v>
      </c>
      <c r="I43" s="131">
        <f t="shared" si="11"/>
        <v>916039.6</v>
      </c>
      <c r="J43" s="131">
        <f t="shared" si="11"/>
        <v>1001096.4</v>
      </c>
      <c r="K43" s="131">
        <f t="shared" si="11"/>
        <v>916039.6</v>
      </c>
      <c r="L43" s="131">
        <f t="shared" si="11"/>
        <v>1001096.4</v>
      </c>
    </row>
    <row r="44" spans="1:12" ht="45" customHeight="1">
      <c r="A44" s="117" t="s">
        <v>55</v>
      </c>
      <c r="B44" s="121" t="s">
        <v>67</v>
      </c>
      <c r="C44" s="140">
        <f aca="true" t="shared" si="12" ref="C44:L44">C32/C13</f>
        <v>0.9560454222853088</v>
      </c>
      <c r="D44" s="140">
        <f t="shared" si="12"/>
        <v>0.9820981868160306</v>
      </c>
      <c r="E44" s="140">
        <f t="shared" si="12"/>
        <v>1.0045183490069653</v>
      </c>
      <c r="F44" s="141">
        <f t="shared" si="12"/>
        <v>0.9991940468037483</v>
      </c>
      <c r="G44" s="140">
        <f t="shared" si="12"/>
        <v>1.006660817443579</v>
      </c>
      <c r="H44" s="141">
        <f t="shared" si="12"/>
        <v>0.9953575664150772</v>
      </c>
      <c r="I44" s="140">
        <f t="shared" si="12"/>
        <v>1.006660817443579</v>
      </c>
      <c r="J44" s="140">
        <f t="shared" si="12"/>
        <v>0.9953575664150772</v>
      </c>
      <c r="K44" s="140">
        <f t="shared" si="12"/>
        <v>1.006660817443579</v>
      </c>
      <c r="L44" s="141">
        <f t="shared" si="12"/>
        <v>0.9953575664150772</v>
      </c>
    </row>
    <row r="45" spans="1:12" ht="20.25" customHeight="1">
      <c r="A45" s="120" t="s">
        <v>56</v>
      </c>
      <c r="B45" s="122" t="s">
        <v>65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7"/>
    </row>
    <row r="46" spans="1:12" ht="18.75">
      <c r="A46" s="117" t="s">
        <v>69</v>
      </c>
      <c r="B46" s="121" t="s">
        <v>1</v>
      </c>
      <c r="C46" s="119">
        <v>151999</v>
      </c>
      <c r="D46" s="119">
        <v>137300</v>
      </c>
      <c r="E46" s="119">
        <v>62600</v>
      </c>
      <c r="F46" s="119">
        <f>E46*2</f>
        <v>125200</v>
      </c>
      <c r="G46" s="131">
        <f aca="true" t="shared" si="13" ref="G46:L46">G47+100000</f>
        <v>93938.80000000005</v>
      </c>
      <c r="H46" s="131">
        <f t="shared" si="13"/>
        <v>104669.19999999995</v>
      </c>
      <c r="I46" s="131">
        <f t="shared" si="13"/>
        <v>93938.80000000005</v>
      </c>
      <c r="J46" s="131">
        <f t="shared" si="13"/>
        <v>104669.19999999995</v>
      </c>
      <c r="K46" s="131">
        <f t="shared" si="13"/>
        <v>93938.80000000005</v>
      </c>
      <c r="L46" s="131">
        <f t="shared" si="13"/>
        <v>104669.19999999995</v>
      </c>
    </row>
    <row r="47" spans="1:12" ht="18.75">
      <c r="A47" s="117" t="s">
        <v>70</v>
      </c>
      <c r="B47" s="121" t="s">
        <v>1</v>
      </c>
      <c r="C47" s="119">
        <f aca="true" t="shared" si="14" ref="C47:L47">C13-C32</f>
        <v>30966</v>
      </c>
      <c r="D47" s="119">
        <f t="shared" si="14"/>
        <v>15565</v>
      </c>
      <c r="E47" s="119">
        <f t="shared" si="14"/>
        <v>-2164</v>
      </c>
      <c r="F47" s="119">
        <f t="shared" si="14"/>
        <v>772</v>
      </c>
      <c r="G47" s="131">
        <f t="shared" si="14"/>
        <v>-6061.199999999953</v>
      </c>
      <c r="H47" s="131">
        <f t="shared" si="14"/>
        <v>4669.199999999953</v>
      </c>
      <c r="I47" s="131">
        <f t="shared" si="14"/>
        <v>-6061.199999999953</v>
      </c>
      <c r="J47" s="131">
        <f t="shared" si="14"/>
        <v>4669.199999999953</v>
      </c>
      <c r="K47" s="131">
        <f t="shared" si="14"/>
        <v>-6061.199999999953</v>
      </c>
      <c r="L47" s="131">
        <f t="shared" si="14"/>
        <v>4669.199999999953</v>
      </c>
    </row>
    <row r="48" spans="1:12" ht="37.5">
      <c r="A48" s="117" t="s">
        <v>71</v>
      </c>
      <c r="B48" s="121" t="s">
        <v>1</v>
      </c>
      <c r="C48" s="119">
        <v>19857</v>
      </c>
      <c r="D48" s="119">
        <v>3700</v>
      </c>
      <c r="E48" s="119">
        <v>-10100</v>
      </c>
      <c r="F48" s="119">
        <v>1000</v>
      </c>
      <c r="G48" s="131">
        <f aca="true" t="shared" si="15" ref="G48:L48">G47*0.7</f>
        <v>-4242.839999999967</v>
      </c>
      <c r="H48" s="131">
        <f t="shared" si="15"/>
        <v>3268.4399999999673</v>
      </c>
      <c r="I48" s="131">
        <f t="shared" si="15"/>
        <v>-4242.839999999967</v>
      </c>
      <c r="J48" s="131">
        <f t="shared" si="15"/>
        <v>3268.4399999999673</v>
      </c>
      <c r="K48" s="131">
        <f t="shared" si="15"/>
        <v>-4242.839999999967</v>
      </c>
      <c r="L48" s="131">
        <f t="shared" si="15"/>
        <v>3268.4399999999673</v>
      </c>
    </row>
    <row r="49" spans="1:12" ht="24" customHeight="1">
      <c r="A49" s="117" t="s">
        <v>72</v>
      </c>
      <c r="B49" s="121" t="s">
        <v>1</v>
      </c>
      <c r="C49" s="119">
        <v>4412</v>
      </c>
      <c r="D49" s="119">
        <v>1900</v>
      </c>
      <c r="E49" s="119">
        <v>300</v>
      </c>
      <c r="F49" s="119">
        <f>E49*2</f>
        <v>600</v>
      </c>
      <c r="G49" s="131"/>
      <c r="H49" s="131">
        <f>H47*15%</f>
        <v>700.379999999993</v>
      </c>
      <c r="I49" s="131"/>
      <c r="J49" s="131">
        <f>J47*15%</f>
        <v>700.379999999993</v>
      </c>
      <c r="K49" s="131"/>
      <c r="L49" s="131">
        <f>L47*15%</f>
        <v>700.379999999993</v>
      </c>
    </row>
    <row r="50" spans="1:12" ht="18.75">
      <c r="A50" s="117" t="s">
        <v>57</v>
      </c>
      <c r="B50" s="121" t="s">
        <v>1</v>
      </c>
      <c r="C50" s="119">
        <f>C41</f>
        <v>15791</v>
      </c>
      <c r="D50" s="119">
        <f>D41</f>
        <v>13900</v>
      </c>
      <c r="E50" s="119">
        <f>E41</f>
        <v>7500</v>
      </c>
      <c r="F50" s="119">
        <f>F41</f>
        <v>15000</v>
      </c>
      <c r="G50" s="119">
        <f aca="true" t="shared" si="16" ref="G50:L50">G41</f>
        <v>15000</v>
      </c>
      <c r="H50" s="119">
        <f t="shared" si="16"/>
        <v>15000</v>
      </c>
      <c r="I50" s="119">
        <f t="shared" si="16"/>
        <v>15000</v>
      </c>
      <c r="J50" s="119">
        <f t="shared" si="16"/>
        <v>15000</v>
      </c>
      <c r="K50" s="119">
        <f t="shared" si="16"/>
        <v>15000</v>
      </c>
      <c r="L50" s="119">
        <f t="shared" si="16"/>
        <v>15000</v>
      </c>
    </row>
    <row r="51" spans="1:12" ht="18.75">
      <c r="A51" s="120" t="s">
        <v>58</v>
      </c>
      <c r="B51" s="122" t="s">
        <v>65</v>
      </c>
      <c r="C51" s="119"/>
      <c r="D51" s="119"/>
      <c r="E51" s="142"/>
      <c r="F51" s="119"/>
      <c r="G51" s="119"/>
      <c r="H51" s="119"/>
      <c r="I51" s="119"/>
      <c r="J51" s="119"/>
      <c r="K51" s="119"/>
      <c r="L51" s="138"/>
    </row>
    <row r="52" spans="1:12" ht="37.5">
      <c r="A52" s="117" t="s">
        <v>59</v>
      </c>
      <c r="B52" s="121" t="s">
        <v>60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</row>
    <row r="53" spans="1:12" ht="37.5">
      <c r="A53" s="117" t="s">
        <v>61</v>
      </c>
      <c r="B53" s="121" t="s">
        <v>60</v>
      </c>
      <c r="C53" s="144"/>
      <c r="D53" s="144"/>
      <c r="E53" s="143"/>
      <c r="F53" s="144"/>
      <c r="G53" s="143"/>
      <c r="H53" s="143"/>
      <c r="I53" s="143"/>
      <c r="J53" s="143"/>
      <c r="K53" s="143"/>
      <c r="L53" s="143"/>
    </row>
    <row r="54" spans="1:12" ht="18.75">
      <c r="A54" s="117"/>
      <c r="B54" s="121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ht="37.5">
      <c r="A55" s="117"/>
      <c r="B55" s="121" t="s">
        <v>3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</row>
    <row r="56" spans="1:12" ht="37.5">
      <c r="A56" s="117" t="s">
        <v>62</v>
      </c>
      <c r="B56" s="121" t="s">
        <v>60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</row>
    <row r="57" spans="1:12" ht="37.5">
      <c r="A57" s="117"/>
      <c r="B57" s="121" t="s">
        <v>3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12" ht="37.5">
      <c r="A58" s="145" t="s">
        <v>74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</row>
  </sheetData>
  <sheetProtection/>
  <mergeCells count="12">
    <mergeCell ref="D9:D11"/>
    <mergeCell ref="E9:F10"/>
    <mergeCell ref="G9:L9"/>
    <mergeCell ref="G10:H10"/>
    <mergeCell ref="I10:J10"/>
    <mergeCell ref="K10:L10"/>
    <mergeCell ref="A5:L5"/>
    <mergeCell ref="A6:L6"/>
    <mergeCell ref="A7:L7"/>
    <mergeCell ref="A9:A11"/>
    <mergeCell ref="B9:B11"/>
    <mergeCell ref="C9:C11"/>
  </mergeCells>
  <printOptions/>
  <pageMargins left="1.1811023622047245" right="0.3937007874015748" top="0.7874015748031497" bottom="0.7874015748031497" header="0.31496062992125984" footer="0.31496062992125984"/>
  <pageSetup fitToHeight="2" horizontalDpi="600" verticalDpi="600" orientation="landscape" paperSize="9" scale="56" r:id="rId1"/>
  <headerFooter differentOddEven="1">
    <oddHeader>&amp;C&amp;"Times New Roman,обычный"&amp;14 7</oddHeader>
    <evenHeader>&amp;C&amp;"Times New Roman,обычный"&amp;14 8</evenHeader>
  </headerFooter>
  <rowBreaks count="1" manualBreakCount="1">
    <brk id="3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Layout" zoomScaleSheetLayoutView="82" workbookViewId="0" topLeftCell="A1">
      <selection activeCell="A6" sqref="A6:M6"/>
    </sheetView>
  </sheetViews>
  <sheetFormatPr defaultColWidth="9.00390625" defaultRowHeight="12.75"/>
  <cols>
    <col min="1" max="1" width="41.375" style="116" customWidth="1"/>
    <col min="2" max="2" width="10.125" style="116" customWidth="1"/>
    <col min="3" max="3" width="13.625" style="116" customWidth="1"/>
    <col min="4" max="4" width="10.75390625" style="116" customWidth="1"/>
    <col min="5" max="5" width="16.375" style="116" customWidth="1"/>
    <col min="6" max="6" width="15.625" style="116" customWidth="1"/>
    <col min="7" max="7" width="15.375" style="116" customWidth="1"/>
    <col min="8" max="8" width="15.125" style="116" customWidth="1"/>
    <col min="9" max="9" width="14.625" style="116" customWidth="1"/>
    <col min="10" max="10" width="14.375" style="116" customWidth="1"/>
    <col min="11" max="11" width="14.625" style="116" customWidth="1"/>
    <col min="12" max="12" width="15.375" style="116" customWidth="1"/>
    <col min="13" max="13" width="15.00390625" style="116" customWidth="1"/>
    <col min="14" max="14" width="14.75390625" style="174" customWidth="1"/>
    <col min="15" max="16384" width="9.125" style="112" customWidth="1"/>
  </cols>
  <sheetData>
    <row r="1" spans="9:15" ht="16.5" customHeight="1">
      <c r="I1" s="173"/>
      <c r="J1" s="173"/>
      <c r="K1" s="112"/>
      <c r="L1" s="109" t="s">
        <v>225</v>
      </c>
      <c r="M1" s="109"/>
      <c r="N1" s="109"/>
      <c r="O1" s="130"/>
    </row>
    <row r="2" spans="9:15" ht="16.5" customHeight="1">
      <c r="I2" s="173"/>
      <c r="J2" s="173"/>
      <c r="K2" s="112"/>
      <c r="L2" s="110" t="s">
        <v>222</v>
      </c>
      <c r="M2" s="110"/>
      <c r="N2" s="110"/>
      <c r="O2" s="130"/>
    </row>
    <row r="3" spans="4:15" ht="16.5" customHeight="1">
      <c r="D3" s="105"/>
      <c r="E3" s="105"/>
      <c r="F3" s="105"/>
      <c r="G3" s="105"/>
      <c r="H3" s="105"/>
      <c r="I3" s="105"/>
      <c r="J3" s="105"/>
      <c r="K3" s="112"/>
      <c r="L3" s="110" t="s">
        <v>20</v>
      </c>
      <c r="M3" s="110"/>
      <c r="N3" s="110"/>
      <c r="O3" s="130"/>
    </row>
    <row r="4" spans="7:15" ht="17.25" customHeight="1">
      <c r="G4" s="105"/>
      <c r="H4" s="105"/>
      <c r="I4" s="105"/>
      <c r="J4" s="105"/>
      <c r="K4" s="112"/>
      <c r="L4" s="110" t="s">
        <v>223</v>
      </c>
      <c r="M4" s="110"/>
      <c r="N4" s="110"/>
      <c r="O4" s="130"/>
    </row>
    <row r="5" ht="29.25" customHeight="1"/>
    <row r="6" spans="1:14" ht="18.75">
      <c r="A6" s="237" t="s">
        <v>75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15"/>
    </row>
    <row r="7" spans="1:14" ht="18.75">
      <c r="A7" s="237" t="s">
        <v>76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</row>
    <row r="8" spans="1:13" ht="26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4" ht="16.5" customHeight="1">
      <c r="A9" s="227" t="s">
        <v>77</v>
      </c>
      <c r="B9" s="227" t="s">
        <v>78</v>
      </c>
      <c r="C9" s="227" t="s">
        <v>112</v>
      </c>
      <c r="D9" s="227" t="s">
        <v>113</v>
      </c>
      <c r="E9" s="227" t="s">
        <v>114</v>
      </c>
      <c r="F9" s="238" t="s">
        <v>6</v>
      </c>
      <c r="G9" s="238"/>
      <c r="H9" s="238"/>
      <c r="I9" s="238"/>
      <c r="J9" s="238"/>
      <c r="K9" s="238"/>
      <c r="L9" s="238"/>
      <c r="M9" s="238"/>
      <c r="N9" s="238"/>
    </row>
    <row r="10" spans="1:14" ht="18">
      <c r="A10" s="233"/>
      <c r="B10" s="233"/>
      <c r="C10" s="233"/>
      <c r="D10" s="233"/>
      <c r="E10" s="233"/>
      <c r="F10" s="234" t="s">
        <v>115</v>
      </c>
      <c r="G10" s="235"/>
      <c r="H10" s="236"/>
      <c r="I10" s="234" t="s">
        <v>129</v>
      </c>
      <c r="J10" s="235"/>
      <c r="K10" s="236"/>
      <c r="L10" s="234" t="s">
        <v>116</v>
      </c>
      <c r="M10" s="235"/>
      <c r="N10" s="236"/>
    </row>
    <row r="11" spans="1:14" ht="12.75" customHeight="1">
      <c r="A11" s="233"/>
      <c r="B11" s="233"/>
      <c r="C11" s="233"/>
      <c r="D11" s="233"/>
      <c r="E11" s="233"/>
      <c r="F11" s="229" t="s">
        <v>117</v>
      </c>
      <c r="G11" s="227" t="s">
        <v>118</v>
      </c>
      <c r="H11" s="227" t="s">
        <v>132</v>
      </c>
      <c r="I11" s="229" t="s">
        <v>117</v>
      </c>
      <c r="J11" s="227" t="s">
        <v>118</v>
      </c>
      <c r="K11" s="227" t="s">
        <v>132</v>
      </c>
      <c r="L11" s="229" t="s">
        <v>117</v>
      </c>
      <c r="M11" s="227" t="s">
        <v>118</v>
      </c>
      <c r="N11" s="227" t="s">
        <v>132</v>
      </c>
    </row>
    <row r="12" spans="1:14" ht="22.5" customHeight="1">
      <c r="A12" s="228"/>
      <c r="B12" s="228"/>
      <c r="C12" s="228"/>
      <c r="D12" s="228"/>
      <c r="E12" s="228"/>
      <c r="F12" s="230"/>
      <c r="G12" s="228"/>
      <c r="H12" s="228"/>
      <c r="I12" s="230"/>
      <c r="J12" s="228"/>
      <c r="K12" s="228"/>
      <c r="L12" s="230"/>
      <c r="M12" s="228"/>
      <c r="N12" s="228"/>
    </row>
    <row r="13" spans="1:14" ht="24" customHeight="1">
      <c r="A13" s="179" t="s">
        <v>79</v>
      </c>
      <c r="B13" s="107" t="s">
        <v>36</v>
      </c>
      <c r="C13" s="180">
        <v>41392</v>
      </c>
      <c r="D13" s="180">
        <v>41145</v>
      </c>
      <c r="E13" s="181">
        <v>40859</v>
      </c>
      <c r="F13" s="180">
        <f>G13*99.89%</f>
        <v>40631.2564</v>
      </c>
      <c r="G13" s="180">
        <f>E13-183</f>
        <v>40676</v>
      </c>
      <c r="H13" s="180">
        <f>E13*99.98%</f>
        <v>40850.8282</v>
      </c>
      <c r="I13" s="180">
        <f>F13*99.86%</f>
        <v>40574.37264104</v>
      </c>
      <c r="J13" s="180">
        <f>G13*100.06%</f>
        <v>40700.4056</v>
      </c>
      <c r="K13" s="180">
        <v>40700</v>
      </c>
      <c r="L13" s="180">
        <f>I13*99.83%</f>
        <v>40505.39620755023</v>
      </c>
      <c r="M13" s="180">
        <f>J13*100.09%</f>
        <v>40737.035965040006</v>
      </c>
      <c r="N13" s="54">
        <v>40736</v>
      </c>
    </row>
    <row r="14" spans="1:14" ht="18">
      <c r="A14" s="179" t="s">
        <v>80</v>
      </c>
      <c r="B14" s="107" t="s">
        <v>36</v>
      </c>
      <c r="C14" s="180">
        <v>10209</v>
      </c>
      <c r="D14" s="180">
        <v>10381</v>
      </c>
      <c r="E14" s="181">
        <v>10390</v>
      </c>
      <c r="F14" s="180">
        <f>E14*99.89%</f>
        <v>10378.571</v>
      </c>
      <c r="G14" s="180">
        <f>E14*101%</f>
        <v>10493.9</v>
      </c>
      <c r="H14" s="180">
        <v>10590</v>
      </c>
      <c r="I14" s="180">
        <f>F14*99.86%</f>
        <v>10364.0410006</v>
      </c>
      <c r="J14" s="180">
        <f>G14*101%</f>
        <v>10598.839</v>
      </c>
      <c r="K14" s="180">
        <v>10696</v>
      </c>
      <c r="L14" s="180">
        <f>I14*99.83%</f>
        <v>10346.42213089898</v>
      </c>
      <c r="M14" s="180">
        <f>J14*101%</f>
        <v>10704.82739</v>
      </c>
      <c r="N14" s="54">
        <v>10803</v>
      </c>
    </row>
    <row r="15" spans="1:14" ht="33">
      <c r="A15" s="179" t="s">
        <v>81</v>
      </c>
      <c r="B15" s="107" t="s">
        <v>36</v>
      </c>
      <c r="C15" s="180">
        <v>8059</v>
      </c>
      <c r="D15" s="180">
        <v>7913</v>
      </c>
      <c r="E15" s="160">
        <f>D15*94%</f>
        <v>7438.219999999999</v>
      </c>
      <c r="F15" s="54">
        <f>E15*99.6%</f>
        <v>7408.467119999999</v>
      </c>
      <c r="G15" s="54">
        <f>E15*100%</f>
        <v>7438.219999999999</v>
      </c>
      <c r="H15" s="54">
        <f>E15*100.4%</f>
        <v>7467.972879999999</v>
      </c>
      <c r="I15" s="54">
        <f>F15*99.5%</f>
        <v>7371.424784399999</v>
      </c>
      <c r="J15" s="54">
        <f>G15*99.8%</f>
        <v>7423.343559999999</v>
      </c>
      <c r="K15" s="54">
        <f>H15*100%</f>
        <v>7467.972879999999</v>
      </c>
      <c r="L15" s="54">
        <f>I15*99.5%</f>
        <v>7334.567660477999</v>
      </c>
      <c r="M15" s="54">
        <f>J15*99.8%</f>
        <v>7408.4968728799995</v>
      </c>
      <c r="N15" s="54">
        <f>K15*100%</f>
        <v>7467.972879999999</v>
      </c>
    </row>
    <row r="16" spans="1:14" ht="18">
      <c r="A16" s="179" t="s">
        <v>82</v>
      </c>
      <c r="B16" s="107" t="s">
        <v>30</v>
      </c>
      <c r="C16" s="180">
        <v>1965463</v>
      </c>
      <c r="D16" s="180">
        <v>2074975.9</v>
      </c>
      <c r="E16" s="182">
        <f>E17*E15*12/1000</f>
        <v>2053657.5976034002</v>
      </c>
      <c r="F16" s="182">
        <f>F17*F15*12/1000</f>
        <v>2145669.672606423</v>
      </c>
      <c r="G16" s="182">
        <f aca="true" t="shared" si="0" ref="G16:N16">G17*G15*12/1000</f>
        <v>2212816.0614176635</v>
      </c>
      <c r="H16" s="182">
        <f t="shared" si="0"/>
        <v>2246822.166844859</v>
      </c>
      <c r="I16" s="182">
        <f t="shared" si="0"/>
        <v>2282252.2756161853</v>
      </c>
      <c r="J16" s="182">
        <f t="shared" si="0"/>
        <v>2369823.76967628</v>
      </c>
      <c r="K16" s="182">
        <f t="shared" si="0"/>
        <v>2442071.013143677</v>
      </c>
      <c r="L16" s="182">
        <f t="shared" si="0"/>
        <v>2405047.718179576</v>
      </c>
      <c r="M16" s="182">
        <f t="shared" si="0"/>
        <v>2522362.2162590334</v>
      </c>
      <c r="N16" s="182">
        <f t="shared" si="0"/>
        <v>2655019.6054898053</v>
      </c>
    </row>
    <row r="17" spans="1:14" ht="18">
      <c r="A17" s="179" t="s">
        <v>97</v>
      </c>
      <c r="B17" s="107" t="s">
        <v>98</v>
      </c>
      <c r="C17" s="183">
        <f>C16/C15/12*1000</f>
        <v>20323.68573437565</v>
      </c>
      <c r="D17" s="183">
        <f>D16/D15/12*1000</f>
        <v>21851.97249252285</v>
      </c>
      <c r="E17" s="184">
        <f>D17*E18%</f>
        <v>23007.941837377315</v>
      </c>
      <c r="F17" s="183">
        <f>E17*F18%</f>
        <v>24135.330987408808</v>
      </c>
      <c r="G17" s="183">
        <f>E17*G18%</f>
        <v>24791.057329774056</v>
      </c>
      <c r="H17" s="183">
        <f aca="true" t="shared" si="1" ref="H17:N17">E17*H18%</f>
        <v>25071.754220190058</v>
      </c>
      <c r="I17" s="183">
        <f t="shared" si="1"/>
        <v>25800.668825540015</v>
      </c>
      <c r="J17" s="183">
        <f t="shared" si="1"/>
        <v>26603.283620580536</v>
      </c>
      <c r="K17" s="183">
        <f t="shared" si="1"/>
        <v>27250.489661924574</v>
      </c>
      <c r="L17" s="183">
        <f t="shared" si="1"/>
        <v>27325.48835312943</v>
      </c>
      <c r="M17" s="183">
        <f t="shared" si="1"/>
        <v>28372.401981349143</v>
      </c>
      <c r="N17" s="183">
        <f t="shared" si="1"/>
        <v>29626.732360444395</v>
      </c>
    </row>
    <row r="18" spans="1:14" ht="38.25" customHeight="1">
      <c r="A18" s="179" t="s">
        <v>83</v>
      </c>
      <c r="B18" s="107" t="s">
        <v>2</v>
      </c>
      <c r="C18" s="185">
        <v>115.6</v>
      </c>
      <c r="D18" s="185">
        <f>D17/C17*100</f>
        <v>107.51973228734906</v>
      </c>
      <c r="E18" s="186">
        <v>105.29</v>
      </c>
      <c r="F18" s="185">
        <v>104.9</v>
      </c>
      <c r="G18" s="186">
        <v>107.75</v>
      </c>
      <c r="H18" s="186">
        <v>108.97</v>
      </c>
      <c r="I18" s="186">
        <v>106.9</v>
      </c>
      <c r="J18" s="186">
        <v>107.31</v>
      </c>
      <c r="K18" s="186">
        <v>108.69</v>
      </c>
      <c r="L18" s="186">
        <v>105.91</v>
      </c>
      <c r="M18" s="186">
        <v>106.65</v>
      </c>
      <c r="N18" s="186">
        <v>108.72</v>
      </c>
    </row>
    <row r="19" spans="1:15" s="176" customFormat="1" ht="18">
      <c r="A19" s="179" t="s">
        <v>133</v>
      </c>
      <c r="B19" s="107" t="s">
        <v>2</v>
      </c>
      <c r="C19" s="185">
        <v>107.4</v>
      </c>
      <c r="D19" s="185">
        <v>107.4</v>
      </c>
      <c r="E19" s="55">
        <v>114.7</v>
      </c>
      <c r="F19" s="187">
        <v>109.8</v>
      </c>
      <c r="G19" s="185">
        <v>109.8</v>
      </c>
      <c r="H19" s="185">
        <v>109.8</v>
      </c>
      <c r="I19" s="185">
        <v>106.8</v>
      </c>
      <c r="J19" s="185">
        <v>106.8</v>
      </c>
      <c r="K19" s="185">
        <v>106.8</v>
      </c>
      <c r="L19" s="185">
        <v>106.2</v>
      </c>
      <c r="M19" s="185">
        <v>106.2</v>
      </c>
      <c r="N19" s="185">
        <v>106.2</v>
      </c>
      <c r="O19" s="175"/>
    </row>
    <row r="20" spans="1:14" s="176" customFormat="1" ht="18">
      <c r="A20" s="179" t="s">
        <v>84</v>
      </c>
      <c r="B20" s="107" t="s">
        <v>2</v>
      </c>
      <c r="C20" s="185">
        <v>108.6</v>
      </c>
      <c r="D20" s="185">
        <v>107.3</v>
      </c>
      <c r="E20" s="55">
        <v>110.6</v>
      </c>
      <c r="F20" s="185">
        <v>106</v>
      </c>
      <c r="G20" s="187">
        <v>106</v>
      </c>
      <c r="H20" s="187">
        <v>106</v>
      </c>
      <c r="I20" s="185">
        <v>103.2</v>
      </c>
      <c r="J20" s="185">
        <v>103.2</v>
      </c>
      <c r="K20" s="185">
        <v>103.2</v>
      </c>
      <c r="L20" s="185">
        <v>102.2</v>
      </c>
      <c r="M20" s="185">
        <v>102.2</v>
      </c>
      <c r="N20" s="104">
        <v>102.2</v>
      </c>
    </row>
    <row r="21" spans="1:14" s="176" customFormat="1" ht="18">
      <c r="A21" s="179" t="s">
        <v>85</v>
      </c>
      <c r="B21" s="107" t="s">
        <v>2</v>
      </c>
      <c r="C21" s="185">
        <v>113.3</v>
      </c>
      <c r="D21" s="185">
        <v>104.9</v>
      </c>
      <c r="E21" s="55">
        <v>108.9</v>
      </c>
      <c r="F21" s="185">
        <v>109</v>
      </c>
      <c r="G21" s="185">
        <v>108</v>
      </c>
      <c r="H21" s="185">
        <v>108</v>
      </c>
      <c r="I21" s="185">
        <v>108</v>
      </c>
      <c r="J21" s="185">
        <v>107</v>
      </c>
      <c r="K21" s="185">
        <v>107</v>
      </c>
      <c r="L21" s="185">
        <v>106.9</v>
      </c>
      <c r="M21" s="185">
        <v>106.8</v>
      </c>
      <c r="N21" s="104">
        <v>106.8</v>
      </c>
    </row>
    <row r="22" spans="1:14" s="176" customFormat="1" ht="18">
      <c r="A22" s="179" t="s">
        <v>86</v>
      </c>
      <c r="B22" s="107" t="s">
        <v>2</v>
      </c>
      <c r="C22" s="185">
        <v>107.6</v>
      </c>
      <c r="D22" s="185">
        <v>106.2</v>
      </c>
      <c r="E22" s="55">
        <v>106.7</v>
      </c>
      <c r="F22" s="185">
        <v>112</v>
      </c>
      <c r="G22" s="185">
        <v>110.1</v>
      </c>
      <c r="H22" s="185">
        <v>110.1</v>
      </c>
      <c r="I22" s="185">
        <v>109.8</v>
      </c>
      <c r="J22" s="185">
        <v>109.2</v>
      </c>
      <c r="K22" s="185">
        <v>109.2</v>
      </c>
      <c r="L22" s="185">
        <v>108.5</v>
      </c>
      <c r="M22" s="185">
        <v>108.3</v>
      </c>
      <c r="N22" s="104">
        <v>108.3</v>
      </c>
    </row>
    <row r="23" spans="1:14" ht="18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</row>
    <row r="24" spans="1:14" ht="30.75" customHeight="1">
      <c r="A24" s="231" t="s">
        <v>229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189"/>
    </row>
    <row r="25" spans="1:13" ht="30.75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</sheetData>
  <sheetProtection/>
  <mergeCells count="21">
    <mergeCell ref="C9:C12"/>
    <mergeCell ref="I11:I12"/>
    <mergeCell ref="D9:D12"/>
    <mergeCell ref="E9:E12"/>
    <mergeCell ref="G11:G12"/>
    <mergeCell ref="A6:M6"/>
    <mergeCell ref="A7:N7"/>
    <mergeCell ref="F9:N9"/>
    <mergeCell ref="F10:H10"/>
    <mergeCell ref="I10:K10"/>
    <mergeCell ref="B9:B12"/>
    <mergeCell ref="M11:M12"/>
    <mergeCell ref="N11:N12"/>
    <mergeCell ref="F11:F12"/>
    <mergeCell ref="H11:H12"/>
    <mergeCell ref="A24:M24"/>
    <mergeCell ref="J11:J12"/>
    <mergeCell ref="K11:K12"/>
    <mergeCell ref="L11:L12"/>
    <mergeCell ref="A9:A12"/>
    <mergeCell ref="L10:N10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59" r:id="rId1"/>
  <headerFooter>
    <oddHeader>&amp;C&amp;"Times New Roman,обычный"&amp;14 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Layout" zoomScaleSheetLayoutView="57" workbookViewId="0" topLeftCell="C84">
      <selection activeCell="E2" sqref="E2"/>
    </sheetView>
  </sheetViews>
  <sheetFormatPr defaultColWidth="9.00390625" defaultRowHeight="12.75"/>
  <cols>
    <col min="1" max="1" width="64.875" style="0" customWidth="1"/>
    <col min="2" max="2" width="15.125" style="0" customWidth="1"/>
    <col min="3" max="3" width="17.75390625" style="0" customWidth="1"/>
    <col min="4" max="4" width="19.25390625" style="0" customWidth="1"/>
    <col min="5" max="5" width="18.00390625" style="0" customWidth="1"/>
    <col min="6" max="7" width="15.875" style="0" customWidth="1"/>
    <col min="8" max="8" width="15.625" style="0" customWidth="1"/>
    <col min="9" max="9" width="16.25390625" style="0" customWidth="1"/>
    <col min="10" max="10" width="15.875" style="0" customWidth="1"/>
    <col min="11" max="11" width="16.25390625" style="0" customWidth="1"/>
  </cols>
  <sheetData>
    <row r="1" spans="1:11" ht="18.75">
      <c r="A1" s="17"/>
      <c r="G1" s="26"/>
      <c r="I1" s="109" t="s">
        <v>226</v>
      </c>
      <c r="J1" s="11"/>
      <c r="K1" s="11"/>
    </row>
    <row r="2" spans="1:11" ht="18.75">
      <c r="A2" s="17"/>
      <c r="G2" s="23"/>
      <c r="I2" s="110" t="s">
        <v>222</v>
      </c>
      <c r="J2" s="106"/>
      <c r="K2" s="106"/>
    </row>
    <row r="3" spans="1:11" ht="18.75">
      <c r="A3" s="17"/>
      <c r="G3" s="26"/>
      <c r="I3" s="110" t="s">
        <v>20</v>
      </c>
      <c r="J3" s="106"/>
      <c r="K3" s="106"/>
    </row>
    <row r="4" spans="1:11" ht="18.75">
      <c r="A4" s="17"/>
      <c r="G4" s="26"/>
      <c r="I4" s="110" t="s">
        <v>223</v>
      </c>
      <c r="J4" s="106"/>
      <c r="K4" s="106"/>
    </row>
    <row r="5" ht="15.75">
      <c r="A5" s="18"/>
    </row>
    <row r="6" spans="1:11" ht="18.75">
      <c r="A6" s="239" t="s">
        <v>87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>
      <c r="A8" s="240" t="s">
        <v>77</v>
      </c>
      <c r="B8" s="241" t="s">
        <v>88</v>
      </c>
      <c r="C8" s="241" t="s">
        <v>112</v>
      </c>
      <c r="D8" s="241" t="s">
        <v>113</v>
      </c>
      <c r="E8" s="241" t="s">
        <v>231</v>
      </c>
      <c r="F8" s="244" t="s">
        <v>6</v>
      </c>
      <c r="G8" s="244"/>
      <c r="H8" s="244"/>
      <c r="I8" s="244"/>
      <c r="J8" s="244"/>
      <c r="K8" s="244"/>
    </row>
    <row r="9" spans="1:11" ht="15">
      <c r="A9" s="240"/>
      <c r="B9" s="242"/>
      <c r="C9" s="242"/>
      <c r="D9" s="242"/>
      <c r="E9" s="242"/>
      <c r="F9" s="245" t="s">
        <v>115</v>
      </c>
      <c r="G9" s="246"/>
      <c r="H9" s="245" t="s">
        <v>120</v>
      </c>
      <c r="I9" s="246"/>
      <c r="J9" s="245" t="s">
        <v>116</v>
      </c>
      <c r="K9" s="246"/>
    </row>
    <row r="10" spans="1:11" ht="12.75" customHeight="1">
      <c r="A10" s="240"/>
      <c r="B10" s="242"/>
      <c r="C10" s="242"/>
      <c r="D10" s="242"/>
      <c r="E10" s="242"/>
      <c r="F10" s="247" t="s">
        <v>117</v>
      </c>
      <c r="G10" s="249" t="s">
        <v>118</v>
      </c>
      <c r="H10" s="247" t="s">
        <v>117</v>
      </c>
      <c r="I10" s="249" t="s">
        <v>118</v>
      </c>
      <c r="J10" s="247" t="s">
        <v>117</v>
      </c>
      <c r="K10" s="249" t="s">
        <v>118</v>
      </c>
    </row>
    <row r="11" spans="1:11" ht="13.5" customHeight="1">
      <c r="A11" s="240"/>
      <c r="B11" s="243"/>
      <c r="C11" s="243"/>
      <c r="D11" s="243"/>
      <c r="E11" s="243"/>
      <c r="F11" s="248"/>
      <c r="G11" s="250"/>
      <c r="H11" s="248"/>
      <c r="I11" s="250"/>
      <c r="J11" s="248"/>
      <c r="K11" s="250"/>
    </row>
    <row r="12" spans="1:11" ht="15.75">
      <c r="A12" s="20" t="s">
        <v>81</v>
      </c>
      <c r="B12" s="22" t="s">
        <v>89</v>
      </c>
      <c r="C12" s="22">
        <f>SUM(C14:C26)</f>
        <v>616</v>
      </c>
      <c r="D12" s="22">
        <f aca="true" t="shared" si="0" ref="D12:K12">SUM(D14:D26)</f>
        <v>576</v>
      </c>
      <c r="E12" s="22">
        <f t="shared" si="0"/>
        <v>567</v>
      </c>
      <c r="F12" s="22">
        <f t="shared" si="0"/>
        <v>555</v>
      </c>
      <c r="G12" s="22">
        <f t="shared" si="0"/>
        <v>567</v>
      </c>
      <c r="H12" s="22">
        <f t="shared" si="0"/>
        <v>547</v>
      </c>
      <c r="I12" s="22">
        <f t="shared" si="0"/>
        <v>559</v>
      </c>
      <c r="J12" s="22">
        <f t="shared" si="0"/>
        <v>545</v>
      </c>
      <c r="K12" s="22">
        <f t="shared" si="0"/>
        <v>557</v>
      </c>
    </row>
    <row r="13" spans="1:11" ht="15.75">
      <c r="A13" s="21" t="s">
        <v>90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36" customFormat="1" ht="15.75">
      <c r="A14" s="27" t="s">
        <v>99</v>
      </c>
      <c r="B14" s="29" t="s">
        <v>89</v>
      </c>
      <c r="C14" s="12">
        <v>6</v>
      </c>
      <c r="D14" s="12">
        <v>7</v>
      </c>
      <c r="E14" s="12">
        <v>7</v>
      </c>
      <c r="F14" s="12">
        <v>7</v>
      </c>
      <c r="G14" s="12">
        <v>7</v>
      </c>
      <c r="H14" s="12">
        <v>7</v>
      </c>
      <c r="I14" s="12">
        <v>7</v>
      </c>
      <c r="J14" s="12">
        <v>7</v>
      </c>
      <c r="K14" s="12">
        <v>7</v>
      </c>
    </row>
    <row r="15" spans="1:11" s="36" customFormat="1" ht="15.75">
      <c r="A15" s="28" t="s">
        <v>100</v>
      </c>
      <c r="B15" s="29" t="s">
        <v>89</v>
      </c>
      <c r="C15" s="12">
        <v>42</v>
      </c>
      <c r="D15" s="12">
        <v>14</v>
      </c>
      <c r="E15" s="12">
        <v>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36" customFormat="1" ht="15.75">
      <c r="A16" s="28" t="s">
        <v>101</v>
      </c>
      <c r="B16" s="29" t="s">
        <v>89</v>
      </c>
      <c r="C16" s="12">
        <v>87</v>
      </c>
      <c r="D16" s="12">
        <v>93</v>
      </c>
      <c r="E16" s="12">
        <v>93</v>
      </c>
      <c r="F16" s="12">
        <v>91</v>
      </c>
      <c r="G16" s="12">
        <v>93</v>
      </c>
      <c r="H16" s="12">
        <v>91</v>
      </c>
      <c r="I16" s="12">
        <v>93</v>
      </c>
      <c r="J16" s="12">
        <v>91</v>
      </c>
      <c r="K16" s="12">
        <v>93</v>
      </c>
    </row>
    <row r="17" spans="1:11" s="36" customFormat="1" ht="15.75">
      <c r="A17" s="27" t="s">
        <v>102</v>
      </c>
      <c r="B17" s="29" t="s">
        <v>89</v>
      </c>
      <c r="C17" s="12">
        <v>14</v>
      </c>
      <c r="D17" s="12">
        <v>14</v>
      </c>
      <c r="E17" s="12">
        <v>14</v>
      </c>
      <c r="F17" s="12">
        <v>12</v>
      </c>
      <c r="G17" s="12">
        <v>14</v>
      </c>
      <c r="H17" s="12">
        <v>12</v>
      </c>
      <c r="I17" s="12">
        <v>14</v>
      </c>
      <c r="J17" s="12">
        <v>12</v>
      </c>
      <c r="K17" s="12">
        <v>14</v>
      </c>
    </row>
    <row r="18" spans="1:11" s="36" customFormat="1" ht="15.75">
      <c r="A18" s="27" t="s">
        <v>103</v>
      </c>
      <c r="B18" s="29" t="s">
        <v>89</v>
      </c>
      <c r="C18" s="12">
        <v>6</v>
      </c>
      <c r="D18" s="12">
        <v>4</v>
      </c>
      <c r="E18" s="12">
        <v>4</v>
      </c>
      <c r="F18" s="12">
        <v>4</v>
      </c>
      <c r="G18" s="12">
        <v>4</v>
      </c>
      <c r="H18" s="12">
        <v>4</v>
      </c>
      <c r="I18" s="12">
        <v>4</v>
      </c>
      <c r="J18" s="12">
        <v>4</v>
      </c>
      <c r="K18" s="12">
        <v>4</v>
      </c>
    </row>
    <row r="19" spans="1:11" s="36" customFormat="1" ht="15.75">
      <c r="A19" s="27" t="s">
        <v>104</v>
      </c>
      <c r="B19" s="29" t="s">
        <v>89</v>
      </c>
      <c r="C19" s="12">
        <v>23</v>
      </c>
      <c r="D19" s="12">
        <v>17</v>
      </c>
      <c r="E19" s="12">
        <v>7</v>
      </c>
      <c r="F19" s="12">
        <v>6</v>
      </c>
      <c r="G19" s="12">
        <v>6</v>
      </c>
      <c r="H19" s="12">
        <v>0</v>
      </c>
      <c r="I19" s="12">
        <v>0</v>
      </c>
      <c r="J19" s="12">
        <v>0</v>
      </c>
      <c r="K19" s="12">
        <v>0</v>
      </c>
    </row>
    <row r="20" spans="1:11" s="36" customFormat="1" ht="15.75">
      <c r="A20" s="28" t="s">
        <v>105</v>
      </c>
      <c r="B20" s="29" t="s">
        <v>89</v>
      </c>
      <c r="C20" s="12">
        <v>129</v>
      </c>
      <c r="D20" s="12">
        <v>127</v>
      </c>
      <c r="E20" s="12">
        <v>130</v>
      </c>
      <c r="F20" s="12">
        <v>130</v>
      </c>
      <c r="G20" s="12">
        <v>130</v>
      </c>
      <c r="H20" s="12">
        <v>130</v>
      </c>
      <c r="I20" s="12">
        <v>130</v>
      </c>
      <c r="J20" s="12">
        <v>130</v>
      </c>
      <c r="K20" s="12">
        <v>130</v>
      </c>
    </row>
    <row r="21" spans="1:11" s="36" customFormat="1" ht="15.75">
      <c r="A21" s="28" t="s">
        <v>106</v>
      </c>
      <c r="B21" s="29" t="s">
        <v>89</v>
      </c>
      <c r="C21" s="12">
        <v>97</v>
      </c>
      <c r="D21" s="12">
        <v>93</v>
      </c>
      <c r="E21" s="12">
        <v>98</v>
      </c>
      <c r="F21" s="12">
        <v>98</v>
      </c>
      <c r="G21" s="12">
        <v>98</v>
      </c>
      <c r="H21" s="12">
        <v>98</v>
      </c>
      <c r="I21" s="12">
        <v>98</v>
      </c>
      <c r="J21" s="12">
        <v>98</v>
      </c>
      <c r="K21" s="12">
        <v>98</v>
      </c>
    </row>
    <row r="22" spans="1:11" s="36" customFormat="1" ht="15.75">
      <c r="A22" s="28" t="s">
        <v>107</v>
      </c>
      <c r="B22" s="29" t="s">
        <v>89</v>
      </c>
      <c r="C22" s="12">
        <v>69</v>
      </c>
      <c r="D22" s="12">
        <v>69</v>
      </c>
      <c r="E22" s="12">
        <v>68</v>
      </c>
      <c r="F22" s="12">
        <v>66</v>
      </c>
      <c r="G22" s="12">
        <v>66</v>
      </c>
      <c r="H22" s="12">
        <v>64</v>
      </c>
      <c r="I22" s="12">
        <v>64</v>
      </c>
      <c r="J22" s="12">
        <v>62</v>
      </c>
      <c r="K22" s="12">
        <v>62</v>
      </c>
    </row>
    <row r="23" spans="1:11" s="36" customFormat="1" ht="15.75">
      <c r="A23" s="28" t="s">
        <v>108</v>
      </c>
      <c r="B23" s="29" t="s">
        <v>89</v>
      </c>
      <c r="C23" s="12">
        <v>88</v>
      </c>
      <c r="D23" s="12">
        <v>84</v>
      </c>
      <c r="E23" s="12">
        <v>83</v>
      </c>
      <c r="F23" s="12">
        <v>80</v>
      </c>
      <c r="G23" s="12">
        <v>83</v>
      </c>
      <c r="H23" s="12">
        <v>80</v>
      </c>
      <c r="I23" s="12">
        <v>83</v>
      </c>
      <c r="J23" s="12">
        <v>80</v>
      </c>
      <c r="K23" s="12">
        <v>83</v>
      </c>
    </row>
    <row r="24" spans="1:11" s="36" customFormat="1" ht="15.75">
      <c r="A24" s="27" t="s">
        <v>109</v>
      </c>
      <c r="B24" s="29" t="s">
        <v>89</v>
      </c>
      <c r="C24" s="12">
        <v>15</v>
      </c>
      <c r="D24" s="12">
        <v>15</v>
      </c>
      <c r="E24" s="12">
        <v>16</v>
      </c>
      <c r="F24" s="12">
        <v>16</v>
      </c>
      <c r="G24" s="12">
        <v>16</v>
      </c>
      <c r="H24" s="12">
        <v>16</v>
      </c>
      <c r="I24" s="12">
        <v>16</v>
      </c>
      <c r="J24" s="12">
        <v>16</v>
      </c>
      <c r="K24" s="12">
        <v>16</v>
      </c>
    </row>
    <row r="25" spans="1:11" s="36" customFormat="1" ht="15.75">
      <c r="A25" s="27" t="s">
        <v>110</v>
      </c>
      <c r="B25" s="29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s="36" customFormat="1" ht="15.75">
      <c r="A26" s="27" t="s">
        <v>111</v>
      </c>
      <c r="B26" s="29" t="s">
        <v>89</v>
      </c>
      <c r="C26" s="12">
        <v>40</v>
      </c>
      <c r="D26" s="12">
        <v>39</v>
      </c>
      <c r="E26" s="12">
        <v>43</v>
      </c>
      <c r="F26" s="12">
        <v>45</v>
      </c>
      <c r="G26" s="12">
        <v>50</v>
      </c>
      <c r="H26" s="12">
        <v>45</v>
      </c>
      <c r="I26" s="12">
        <v>50</v>
      </c>
      <c r="J26" s="12">
        <v>45</v>
      </c>
      <c r="K26" s="12">
        <v>50</v>
      </c>
    </row>
    <row r="27" spans="1:11" ht="15.75">
      <c r="A27" s="20" t="s">
        <v>91</v>
      </c>
      <c r="B27" s="31" t="s">
        <v>94</v>
      </c>
      <c r="C27" s="33">
        <f>SUM(C29:C41)</f>
        <v>103732.40000000001</v>
      </c>
      <c r="D27" s="33">
        <f aca="true" t="shared" si="1" ref="D27:K27">SUM(D29:D41)</f>
        <v>109934.20000000001</v>
      </c>
      <c r="E27" s="33">
        <f t="shared" si="1"/>
        <v>110077.4</v>
      </c>
      <c r="F27" s="33">
        <f t="shared" si="1"/>
        <v>109523.2</v>
      </c>
      <c r="G27" s="33">
        <f t="shared" si="1"/>
        <v>113178.68</v>
      </c>
      <c r="H27" s="33">
        <f t="shared" si="1"/>
        <v>111010.65000000001</v>
      </c>
      <c r="I27" s="33">
        <f t="shared" si="1"/>
        <v>115985.78</v>
      </c>
      <c r="J27" s="33">
        <f t="shared" si="1"/>
        <v>113706.55</v>
      </c>
      <c r="K27" s="33">
        <f t="shared" si="1"/>
        <v>119760.24</v>
      </c>
    </row>
    <row r="28" spans="1:11" ht="15.75">
      <c r="A28" s="21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36" customFormat="1" ht="15.75">
      <c r="A29" s="27" t="s">
        <v>99</v>
      </c>
      <c r="B29" s="29" t="s">
        <v>94</v>
      </c>
      <c r="C29" s="37">
        <v>515.8</v>
      </c>
      <c r="D29" s="37">
        <v>765.1</v>
      </c>
      <c r="E29" s="37">
        <v>784.4</v>
      </c>
      <c r="F29" s="37">
        <v>784.4</v>
      </c>
      <c r="G29" s="37">
        <v>1042.68</v>
      </c>
      <c r="H29" s="37">
        <v>1052.85</v>
      </c>
      <c r="I29" s="37">
        <v>1142.78</v>
      </c>
      <c r="J29" s="37">
        <v>1052.85</v>
      </c>
      <c r="K29" s="37">
        <v>1142.74</v>
      </c>
    </row>
    <row r="30" spans="1:11" s="36" customFormat="1" ht="15.75">
      <c r="A30" s="28" t="s">
        <v>100</v>
      </c>
      <c r="B30" s="29" t="s">
        <v>94</v>
      </c>
      <c r="C30" s="37">
        <v>7614</v>
      </c>
      <c r="D30" s="37">
        <v>2766</v>
      </c>
      <c r="E30" s="37">
        <v>915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s="36" customFormat="1" ht="15.75">
      <c r="A31" s="28" t="s">
        <v>101</v>
      </c>
      <c r="B31" s="29" t="s">
        <v>94</v>
      </c>
      <c r="C31" s="37">
        <v>13615.3</v>
      </c>
      <c r="D31" s="37">
        <v>15491</v>
      </c>
      <c r="E31" s="37">
        <v>14619</v>
      </c>
      <c r="F31" s="37">
        <v>14620</v>
      </c>
      <c r="G31" s="37">
        <v>14840</v>
      </c>
      <c r="H31" s="37">
        <v>14840</v>
      </c>
      <c r="I31" s="37">
        <v>15204</v>
      </c>
      <c r="J31" s="37">
        <v>15204</v>
      </c>
      <c r="K31" s="37">
        <v>15508</v>
      </c>
    </row>
    <row r="32" spans="1:11" s="36" customFormat="1" ht="15.75">
      <c r="A32" s="27" t="s">
        <v>102</v>
      </c>
      <c r="B32" s="29" t="s">
        <v>94</v>
      </c>
      <c r="C32" s="37">
        <v>1428</v>
      </c>
      <c r="D32" s="37">
        <v>1485</v>
      </c>
      <c r="E32" s="37">
        <v>1544</v>
      </c>
      <c r="F32" s="37">
        <v>1513</v>
      </c>
      <c r="G32" s="37">
        <v>1606</v>
      </c>
      <c r="H32" s="37">
        <v>1529</v>
      </c>
      <c r="I32" s="37">
        <v>1670</v>
      </c>
      <c r="J32" s="37">
        <v>1605</v>
      </c>
      <c r="K32" s="37">
        <v>1753.5</v>
      </c>
    </row>
    <row r="33" spans="1:11" s="36" customFormat="1" ht="15.75">
      <c r="A33" s="27" t="s">
        <v>103</v>
      </c>
      <c r="B33" s="29" t="s">
        <v>94</v>
      </c>
      <c r="C33" s="37">
        <v>380</v>
      </c>
      <c r="D33" s="37">
        <v>376</v>
      </c>
      <c r="E33" s="37">
        <v>419</v>
      </c>
      <c r="F33" s="37">
        <v>452</v>
      </c>
      <c r="G33" s="37">
        <v>452</v>
      </c>
      <c r="H33" s="37">
        <v>487</v>
      </c>
      <c r="I33" s="37">
        <v>487</v>
      </c>
      <c r="J33" s="37">
        <v>518</v>
      </c>
      <c r="K33" s="37">
        <v>518</v>
      </c>
    </row>
    <row r="34" spans="1:11" s="36" customFormat="1" ht="15.75">
      <c r="A34" s="27" t="s">
        <v>104</v>
      </c>
      <c r="B34" s="29" t="s">
        <v>94</v>
      </c>
      <c r="C34" s="37">
        <v>3490</v>
      </c>
      <c r="D34" s="37">
        <v>2328</v>
      </c>
      <c r="E34" s="37">
        <v>1130</v>
      </c>
      <c r="F34" s="37">
        <v>950</v>
      </c>
      <c r="G34" s="37">
        <v>950</v>
      </c>
      <c r="H34" s="37">
        <v>0</v>
      </c>
      <c r="I34" s="37">
        <v>0</v>
      </c>
      <c r="J34" s="37">
        <v>0</v>
      </c>
      <c r="K34" s="37">
        <v>0</v>
      </c>
    </row>
    <row r="35" spans="1:11" s="36" customFormat="1" ht="15.75">
      <c r="A35" s="28" t="s">
        <v>105</v>
      </c>
      <c r="B35" s="29" t="s">
        <v>94</v>
      </c>
      <c r="C35" s="37">
        <v>26931</v>
      </c>
      <c r="D35" s="37">
        <v>28453</v>
      </c>
      <c r="E35" s="37">
        <v>30068</v>
      </c>
      <c r="F35" s="37">
        <v>31107</v>
      </c>
      <c r="G35" s="37">
        <v>31107</v>
      </c>
      <c r="H35" s="37">
        <v>32028</v>
      </c>
      <c r="I35" s="37">
        <v>32028</v>
      </c>
      <c r="J35" s="37">
        <v>33085</v>
      </c>
      <c r="K35" s="37">
        <v>33085</v>
      </c>
    </row>
    <row r="36" spans="1:11" s="36" customFormat="1" ht="15.75">
      <c r="A36" s="28" t="s">
        <v>106</v>
      </c>
      <c r="B36" s="29" t="s">
        <v>94</v>
      </c>
      <c r="C36" s="37">
        <v>20525</v>
      </c>
      <c r="D36" s="37">
        <v>22403</v>
      </c>
      <c r="E36" s="37">
        <v>22500</v>
      </c>
      <c r="F36" s="37">
        <v>22500</v>
      </c>
      <c r="G36" s="37">
        <v>23000</v>
      </c>
      <c r="H36" s="37">
        <v>23000</v>
      </c>
      <c r="I36" s="37">
        <v>23500</v>
      </c>
      <c r="J36" s="37">
        <v>23500</v>
      </c>
      <c r="K36" s="37">
        <v>24000</v>
      </c>
    </row>
    <row r="37" spans="1:11" s="36" customFormat="1" ht="15.75">
      <c r="A37" s="28" t="s">
        <v>107</v>
      </c>
      <c r="B37" s="29" t="s">
        <v>94</v>
      </c>
      <c r="C37" s="37">
        <v>9147</v>
      </c>
      <c r="D37" s="37">
        <v>9772</v>
      </c>
      <c r="E37" s="37">
        <v>10750</v>
      </c>
      <c r="F37" s="37">
        <v>11395</v>
      </c>
      <c r="G37" s="37">
        <v>11395</v>
      </c>
      <c r="H37" s="37">
        <v>11760</v>
      </c>
      <c r="I37" s="37">
        <v>11760</v>
      </c>
      <c r="J37" s="37">
        <v>12020</v>
      </c>
      <c r="K37" s="37">
        <v>12020</v>
      </c>
    </row>
    <row r="38" spans="1:11" s="36" customFormat="1" ht="15.75">
      <c r="A38" s="28" t="s">
        <v>108</v>
      </c>
      <c r="B38" s="29" t="s">
        <v>94</v>
      </c>
      <c r="C38" s="37">
        <v>16556.8</v>
      </c>
      <c r="D38" s="37">
        <v>17526.1</v>
      </c>
      <c r="E38" s="37">
        <v>16700</v>
      </c>
      <c r="F38" s="37">
        <v>16700</v>
      </c>
      <c r="G38" s="37">
        <v>17500</v>
      </c>
      <c r="H38" s="37">
        <v>16700</v>
      </c>
      <c r="I38" s="37">
        <v>18300</v>
      </c>
      <c r="J38" s="37">
        <v>16700</v>
      </c>
      <c r="K38" s="37">
        <v>19200</v>
      </c>
    </row>
    <row r="39" spans="1:11" s="36" customFormat="1" ht="15.75">
      <c r="A39" s="27" t="s">
        <v>109</v>
      </c>
      <c r="B39" s="29" t="s">
        <v>94</v>
      </c>
      <c r="C39" s="37">
        <v>1709</v>
      </c>
      <c r="D39" s="37">
        <v>1915</v>
      </c>
      <c r="E39" s="37">
        <v>2086</v>
      </c>
      <c r="F39" s="37">
        <v>2253</v>
      </c>
      <c r="G39" s="37">
        <v>2253</v>
      </c>
      <c r="H39" s="37">
        <v>2365</v>
      </c>
      <c r="I39" s="37">
        <v>2365</v>
      </c>
      <c r="J39" s="37">
        <v>2483</v>
      </c>
      <c r="K39" s="37">
        <v>2483</v>
      </c>
    </row>
    <row r="40" spans="1:11" s="36" customFormat="1" ht="15.75">
      <c r="A40" s="27" t="s">
        <v>110</v>
      </c>
      <c r="B40" s="29" t="s">
        <v>94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</row>
    <row r="41" spans="1:11" ht="15.75">
      <c r="A41" s="27" t="s">
        <v>111</v>
      </c>
      <c r="B41" s="30" t="s">
        <v>94</v>
      </c>
      <c r="C41" s="32">
        <v>1820.5</v>
      </c>
      <c r="D41" s="32">
        <v>6654</v>
      </c>
      <c r="E41" s="32">
        <v>8562</v>
      </c>
      <c r="F41" s="32">
        <v>7248.8</v>
      </c>
      <c r="G41" s="32">
        <v>9033</v>
      </c>
      <c r="H41" s="32">
        <v>7248.8</v>
      </c>
      <c r="I41" s="32">
        <v>9529</v>
      </c>
      <c r="J41" s="32">
        <v>7538.7</v>
      </c>
      <c r="K41" s="32">
        <v>10050</v>
      </c>
    </row>
    <row r="42" spans="1:11" ht="15.75">
      <c r="A42" s="20" t="s">
        <v>92</v>
      </c>
      <c r="B42" s="31" t="s">
        <v>94</v>
      </c>
      <c r="C42" s="33">
        <f>SUM(C44:C56)</f>
        <v>385650.9</v>
      </c>
      <c r="D42" s="33">
        <f aca="true" t="shared" si="2" ref="D42:K42">SUM(D44:D56)</f>
        <v>401473.1</v>
      </c>
      <c r="E42" s="33">
        <f t="shared" si="2"/>
        <v>414680.85</v>
      </c>
      <c r="F42" s="33">
        <f t="shared" si="2"/>
        <v>406742.6</v>
      </c>
      <c r="G42" s="33">
        <f t="shared" si="2"/>
        <v>423659.08</v>
      </c>
      <c r="H42" s="33">
        <f t="shared" si="2"/>
        <v>417582.08</v>
      </c>
      <c r="I42" s="33">
        <f t="shared" si="2"/>
        <v>437962.08</v>
      </c>
      <c r="J42" s="33">
        <f t="shared" si="2"/>
        <v>426312.08</v>
      </c>
      <c r="K42" s="33">
        <f t="shared" si="2"/>
        <v>451041.58999999997</v>
      </c>
    </row>
    <row r="43" spans="1:11" ht="15.75">
      <c r="A43" s="21" t="s">
        <v>90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s="36" customFormat="1" ht="15.75">
      <c r="A44" s="27" t="s">
        <v>99</v>
      </c>
      <c r="B44" s="29" t="s">
        <v>94</v>
      </c>
      <c r="C44" s="37">
        <v>1705.4</v>
      </c>
      <c r="D44" s="37">
        <v>1900</v>
      </c>
      <c r="E44" s="37">
        <v>1919.85</v>
      </c>
      <c r="F44" s="37">
        <v>1983.6</v>
      </c>
      <c r="G44" s="37">
        <v>2168.08</v>
      </c>
      <c r="H44" s="37">
        <v>2168.08</v>
      </c>
      <c r="I44" s="37">
        <v>2168.08</v>
      </c>
      <c r="J44" s="37">
        <v>2168.08</v>
      </c>
      <c r="K44" s="37">
        <v>2252.59</v>
      </c>
    </row>
    <row r="45" spans="1:11" s="36" customFormat="1" ht="15.75">
      <c r="A45" s="28" t="s">
        <v>100</v>
      </c>
      <c r="B45" s="29" t="s">
        <v>94</v>
      </c>
      <c r="C45" s="37">
        <v>8326</v>
      </c>
      <c r="D45" s="37">
        <v>2061</v>
      </c>
      <c r="E45" s="37">
        <v>453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</row>
    <row r="46" spans="1:11" s="36" customFormat="1" ht="15.75">
      <c r="A46" s="28" t="s">
        <v>101</v>
      </c>
      <c r="B46" s="29" t="s">
        <v>94</v>
      </c>
      <c r="C46" s="37">
        <v>97863.1</v>
      </c>
      <c r="D46" s="37">
        <v>105806</v>
      </c>
      <c r="E46" s="37">
        <v>103930</v>
      </c>
      <c r="F46" s="37">
        <v>103000</v>
      </c>
      <c r="G46" s="37">
        <v>104800</v>
      </c>
      <c r="H46" s="37">
        <v>104800</v>
      </c>
      <c r="I46" s="37">
        <v>105900</v>
      </c>
      <c r="J46" s="37">
        <v>105900</v>
      </c>
      <c r="K46" s="37">
        <v>107000</v>
      </c>
    </row>
    <row r="47" spans="1:11" s="36" customFormat="1" ht="15.75">
      <c r="A47" s="27" t="s">
        <v>102</v>
      </c>
      <c r="B47" s="29" t="s">
        <v>94</v>
      </c>
      <c r="C47" s="37">
        <v>4657</v>
      </c>
      <c r="D47" s="37">
        <v>3202</v>
      </c>
      <c r="E47" s="37">
        <v>3362</v>
      </c>
      <c r="F47" s="37">
        <v>3018</v>
      </c>
      <c r="G47" s="37">
        <v>3500</v>
      </c>
      <c r="H47" s="37">
        <v>3020</v>
      </c>
      <c r="I47" s="37">
        <v>3700</v>
      </c>
      <c r="J47" s="37">
        <v>3140</v>
      </c>
      <c r="K47" s="37">
        <v>3885</v>
      </c>
    </row>
    <row r="48" spans="1:11" s="36" customFormat="1" ht="15.75">
      <c r="A48" s="27" t="s">
        <v>103</v>
      </c>
      <c r="B48" s="29" t="s">
        <v>94</v>
      </c>
      <c r="C48" s="37">
        <v>644</v>
      </c>
      <c r="D48" s="37">
        <v>686</v>
      </c>
      <c r="E48" s="37">
        <v>764</v>
      </c>
      <c r="F48" s="37">
        <v>826</v>
      </c>
      <c r="G48" s="37">
        <v>826</v>
      </c>
      <c r="H48" s="37">
        <v>890</v>
      </c>
      <c r="I48" s="37">
        <v>890</v>
      </c>
      <c r="J48" s="37">
        <v>948</v>
      </c>
      <c r="K48" s="37">
        <v>948</v>
      </c>
    </row>
    <row r="49" spans="1:11" s="36" customFormat="1" ht="15.75">
      <c r="A49" s="27" t="s">
        <v>104</v>
      </c>
      <c r="B49" s="29" t="s">
        <v>94</v>
      </c>
      <c r="C49" s="37">
        <v>6589</v>
      </c>
      <c r="D49" s="37">
        <v>842</v>
      </c>
      <c r="E49" s="37">
        <v>688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</row>
    <row r="50" spans="1:11" s="36" customFormat="1" ht="15.75">
      <c r="A50" s="28" t="s">
        <v>105</v>
      </c>
      <c r="B50" s="29" t="s">
        <v>94</v>
      </c>
      <c r="C50" s="37">
        <v>132478</v>
      </c>
      <c r="D50" s="37">
        <v>119181</v>
      </c>
      <c r="E50" s="37">
        <v>138584</v>
      </c>
      <c r="F50" s="37">
        <v>141217</v>
      </c>
      <c r="G50" s="37">
        <v>141217</v>
      </c>
      <c r="H50" s="37">
        <v>148278</v>
      </c>
      <c r="I50" s="37">
        <v>148278</v>
      </c>
      <c r="J50" s="37">
        <v>154060</v>
      </c>
      <c r="K50" s="37">
        <v>154060</v>
      </c>
    </row>
    <row r="51" spans="1:11" s="36" customFormat="1" ht="15.75">
      <c r="A51" s="28" t="s">
        <v>106</v>
      </c>
      <c r="B51" s="29" t="s">
        <v>94</v>
      </c>
      <c r="C51" s="37">
        <v>59294</v>
      </c>
      <c r="D51" s="37">
        <v>60547</v>
      </c>
      <c r="E51" s="37">
        <v>60600</v>
      </c>
      <c r="F51" s="37">
        <v>60600</v>
      </c>
      <c r="G51" s="37">
        <v>61000</v>
      </c>
      <c r="H51" s="37">
        <v>61000</v>
      </c>
      <c r="I51" s="37">
        <v>61500</v>
      </c>
      <c r="J51" s="37">
        <v>61500</v>
      </c>
      <c r="K51" s="37">
        <v>62000</v>
      </c>
    </row>
    <row r="52" spans="1:11" s="36" customFormat="1" ht="15.75">
      <c r="A52" s="28" t="s">
        <v>107</v>
      </c>
      <c r="B52" s="29" t="s">
        <v>94</v>
      </c>
      <c r="C52" s="37">
        <v>25726</v>
      </c>
      <c r="D52" s="37">
        <v>29216</v>
      </c>
      <c r="E52" s="37">
        <v>25021</v>
      </c>
      <c r="F52" s="37">
        <v>26500</v>
      </c>
      <c r="G52" s="37">
        <v>26500</v>
      </c>
      <c r="H52" s="37">
        <v>27300</v>
      </c>
      <c r="I52" s="37">
        <v>27300</v>
      </c>
      <c r="J52" s="37">
        <v>27900</v>
      </c>
      <c r="K52" s="37">
        <v>27900</v>
      </c>
    </row>
    <row r="53" spans="1:11" s="36" customFormat="1" ht="15.75">
      <c r="A53" s="28" t="s">
        <v>108</v>
      </c>
      <c r="B53" s="29" t="s">
        <v>94</v>
      </c>
      <c r="C53" s="37">
        <v>35607</v>
      </c>
      <c r="D53" s="37">
        <v>46083.1</v>
      </c>
      <c r="E53" s="37">
        <v>43000</v>
      </c>
      <c r="F53" s="37">
        <v>43000</v>
      </c>
      <c r="G53" s="37">
        <v>45150</v>
      </c>
      <c r="H53" s="37">
        <v>43000</v>
      </c>
      <c r="I53" s="37">
        <v>47400</v>
      </c>
      <c r="J53" s="37">
        <v>43000</v>
      </c>
      <c r="K53" s="37">
        <v>49800</v>
      </c>
    </row>
    <row r="54" spans="1:11" s="36" customFormat="1" ht="15.75">
      <c r="A54" s="27" t="s">
        <v>109</v>
      </c>
      <c r="B54" s="29" t="s">
        <v>94</v>
      </c>
      <c r="C54" s="37">
        <v>5018</v>
      </c>
      <c r="D54" s="37">
        <v>6081</v>
      </c>
      <c r="E54" s="37">
        <v>6109</v>
      </c>
      <c r="F54" s="37">
        <v>6598</v>
      </c>
      <c r="G54" s="37">
        <v>6598</v>
      </c>
      <c r="H54" s="37">
        <v>7126</v>
      </c>
      <c r="I54" s="37">
        <v>7126</v>
      </c>
      <c r="J54" s="37">
        <v>7696</v>
      </c>
      <c r="K54" s="37">
        <v>7696</v>
      </c>
    </row>
    <row r="55" spans="1:11" s="36" customFormat="1" ht="15.75">
      <c r="A55" s="27" t="s">
        <v>110</v>
      </c>
      <c r="B55" s="29" t="s">
        <v>94</v>
      </c>
      <c r="C55" s="37">
        <v>0</v>
      </c>
      <c r="D55" s="37">
        <v>120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</row>
    <row r="56" spans="1:11" s="40" customFormat="1" ht="15.75">
      <c r="A56" s="27" t="s">
        <v>111</v>
      </c>
      <c r="B56" s="29" t="s">
        <v>94</v>
      </c>
      <c r="C56" s="37">
        <v>7743.4</v>
      </c>
      <c r="D56" s="37">
        <v>25748</v>
      </c>
      <c r="E56" s="39">
        <v>30250</v>
      </c>
      <c r="F56" s="39">
        <v>20000</v>
      </c>
      <c r="G56" s="39">
        <v>31900</v>
      </c>
      <c r="H56" s="39">
        <v>20000</v>
      </c>
      <c r="I56" s="39">
        <v>33700</v>
      </c>
      <c r="J56" s="39">
        <v>20000</v>
      </c>
      <c r="K56" s="39">
        <v>35500</v>
      </c>
    </row>
    <row r="57" spans="1:11" ht="15.75">
      <c r="A57" s="20" t="s">
        <v>93</v>
      </c>
      <c r="B57" s="31" t="s">
        <v>94</v>
      </c>
      <c r="C57" s="96">
        <f>SUM(C59:C71)</f>
        <v>-1753.5</v>
      </c>
      <c r="D57" s="96">
        <f aca="true" t="shared" si="3" ref="D57:K57">SUM(D59:D71)</f>
        <v>-25546</v>
      </c>
      <c r="E57" s="96">
        <f t="shared" si="3"/>
        <v>-11813.9</v>
      </c>
      <c r="F57" s="96">
        <f t="shared" si="3"/>
        <v>-5005.5</v>
      </c>
      <c r="G57" s="96">
        <f t="shared" si="3"/>
        <v>-2984.9</v>
      </c>
      <c r="H57" s="96">
        <f t="shared" si="3"/>
        <v>-3979.8</v>
      </c>
      <c r="I57" s="96">
        <f t="shared" si="3"/>
        <v>-2352.8</v>
      </c>
      <c r="J57" s="96">
        <f t="shared" si="3"/>
        <v>-2609.1</v>
      </c>
      <c r="K57" s="96">
        <f t="shared" si="3"/>
        <v>-2054.1</v>
      </c>
    </row>
    <row r="58" spans="1:11" ht="15.75">
      <c r="A58" s="21" t="s">
        <v>90</v>
      </c>
      <c r="B58" s="16"/>
      <c r="C58" s="16"/>
      <c r="D58" s="35"/>
      <c r="E58" s="35"/>
      <c r="F58" s="35"/>
      <c r="G58" s="35"/>
      <c r="H58" s="35"/>
      <c r="I58" s="35"/>
      <c r="J58" s="35"/>
      <c r="K58" s="35"/>
    </row>
    <row r="59" spans="1:11" s="36" customFormat="1" ht="15.75">
      <c r="A59" s="27" t="s">
        <v>99</v>
      </c>
      <c r="B59" s="29" t="s">
        <v>94</v>
      </c>
      <c r="C59" s="37">
        <v>-163.2</v>
      </c>
      <c r="D59" s="37">
        <v>-27.2</v>
      </c>
      <c r="E59" s="37">
        <v>-106.7</v>
      </c>
      <c r="F59" s="37">
        <v>0</v>
      </c>
      <c r="G59" s="37">
        <v>180.6</v>
      </c>
      <c r="H59" s="37">
        <v>0</v>
      </c>
      <c r="I59" s="37">
        <v>195</v>
      </c>
      <c r="J59" s="37">
        <v>0</v>
      </c>
      <c r="K59" s="37">
        <v>200</v>
      </c>
    </row>
    <row r="60" spans="1:11" s="36" customFormat="1" ht="15.75">
      <c r="A60" s="27" t="s">
        <v>100</v>
      </c>
      <c r="B60" s="29" t="s">
        <v>94</v>
      </c>
      <c r="C60" s="37">
        <v>-3234</v>
      </c>
      <c r="D60" s="37">
        <v>-224</v>
      </c>
      <c r="E60" s="37">
        <v>-898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36" customFormat="1" ht="15.75">
      <c r="A61" s="28" t="s">
        <v>101</v>
      </c>
      <c r="B61" s="29" t="s">
        <v>94</v>
      </c>
      <c r="C61" s="37">
        <v>602</v>
      </c>
      <c r="D61" s="37">
        <v>678</v>
      </c>
      <c r="E61" s="37">
        <v>640</v>
      </c>
      <c r="F61" s="37">
        <v>660</v>
      </c>
      <c r="G61" s="37">
        <v>675</v>
      </c>
      <c r="H61" s="37">
        <v>675</v>
      </c>
      <c r="I61" s="37">
        <v>690</v>
      </c>
      <c r="J61" s="37">
        <v>690</v>
      </c>
      <c r="K61" s="37">
        <v>715</v>
      </c>
    </row>
    <row r="62" spans="1:11" s="36" customFormat="1" ht="15.75">
      <c r="A62" s="27" t="s">
        <v>102</v>
      </c>
      <c r="B62" s="29" t="s">
        <v>94</v>
      </c>
      <c r="C62" s="37">
        <v>-333</v>
      </c>
      <c r="D62" s="37">
        <v>-300</v>
      </c>
      <c r="E62" s="37">
        <v>-200</v>
      </c>
      <c r="F62" s="37">
        <v>-300</v>
      </c>
      <c r="G62" s="37">
        <v>-100</v>
      </c>
      <c r="H62" s="37">
        <v>-300</v>
      </c>
      <c r="I62" s="37">
        <v>0</v>
      </c>
      <c r="J62" s="37">
        <v>50</v>
      </c>
      <c r="K62" s="37">
        <v>80</v>
      </c>
    </row>
    <row r="63" spans="1:11" s="36" customFormat="1" ht="15.75">
      <c r="A63" s="27" t="s">
        <v>103</v>
      </c>
      <c r="B63" s="29" t="s">
        <v>94</v>
      </c>
      <c r="C63" s="37">
        <v>3</v>
      </c>
      <c r="D63" s="37">
        <v>0.7</v>
      </c>
      <c r="E63" s="37">
        <v>8.8</v>
      </c>
      <c r="F63" s="37">
        <v>9.5</v>
      </c>
      <c r="G63" s="37">
        <v>9.5</v>
      </c>
      <c r="H63" s="37">
        <v>10.2</v>
      </c>
      <c r="I63" s="37">
        <v>10.2</v>
      </c>
      <c r="J63" s="37">
        <v>10.9</v>
      </c>
      <c r="K63" s="37">
        <v>10.9</v>
      </c>
    </row>
    <row r="64" spans="1:11" s="36" customFormat="1" ht="15.75">
      <c r="A64" s="27" t="s">
        <v>104</v>
      </c>
      <c r="B64" s="29" t="s">
        <v>94</v>
      </c>
      <c r="C64" s="37">
        <v>-1550</v>
      </c>
      <c r="D64" s="37">
        <v>-1875</v>
      </c>
      <c r="E64" s="37">
        <v>-1041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</row>
    <row r="65" spans="1:11" s="36" customFormat="1" ht="15.75">
      <c r="A65" s="28" t="s">
        <v>105</v>
      </c>
      <c r="B65" s="29" t="s">
        <v>94</v>
      </c>
      <c r="C65" s="37">
        <v>467</v>
      </c>
      <c r="D65" s="37">
        <v>-23064</v>
      </c>
      <c r="E65" s="37">
        <v>-5000</v>
      </c>
      <c r="F65" s="37">
        <v>-5500</v>
      </c>
      <c r="G65" s="37">
        <v>-3875</v>
      </c>
      <c r="H65" s="37">
        <v>-4500</v>
      </c>
      <c r="I65" s="37">
        <v>-3383</v>
      </c>
      <c r="J65" s="37">
        <v>-3500</v>
      </c>
      <c r="K65" s="37">
        <v>-3200</v>
      </c>
    </row>
    <row r="66" spans="1:11" s="36" customFormat="1" ht="15.75">
      <c r="A66" s="28" t="s">
        <v>106</v>
      </c>
      <c r="B66" s="29" t="s">
        <v>94</v>
      </c>
      <c r="C66" s="37">
        <v>198</v>
      </c>
      <c r="D66" s="37">
        <v>22</v>
      </c>
      <c r="E66" s="37">
        <v>100</v>
      </c>
      <c r="F66" s="37">
        <v>100</v>
      </c>
      <c r="G66" s="37">
        <v>100</v>
      </c>
      <c r="H66" s="37">
        <v>100</v>
      </c>
      <c r="I66" s="37">
        <v>100</v>
      </c>
      <c r="J66" s="37">
        <v>100</v>
      </c>
      <c r="K66" s="37">
        <v>100</v>
      </c>
    </row>
    <row r="67" spans="1:11" s="36" customFormat="1" ht="15.75">
      <c r="A67" s="28" t="s">
        <v>107</v>
      </c>
      <c r="B67" s="29" t="s">
        <v>94</v>
      </c>
      <c r="C67" s="37">
        <v>-571</v>
      </c>
      <c r="D67" s="37">
        <v>80</v>
      </c>
      <c r="E67" s="37">
        <v>10</v>
      </c>
      <c r="F67" s="37">
        <v>15</v>
      </c>
      <c r="G67" s="37">
        <v>15</v>
      </c>
      <c r="H67" s="37">
        <v>20</v>
      </c>
      <c r="I67" s="37">
        <v>20</v>
      </c>
      <c r="J67" s="37">
        <v>25</v>
      </c>
      <c r="K67" s="37">
        <v>25</v>
      </c>
    </row>
    <row r="68" spans="1:11" s="36" customFormat="1" ht="15.75">
      <c r="A68" s="28" t="s">
        <v>108</v>
      </c>
      <c r="B68" s="29" t="s">
        <v>94</v>
      </c>
      <c r="C68" s="37">
        <v>902.6</v>
      </c>
      <c r="D68" s="37">
        <v>86.5</v>
      </c>
      <c r="E68" s="37">
        <v>-2500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</row>
    <row r="69" spans="1:11" s="36" customFormat="1" ht="15.75">
      <c r="A69" s="27" t="s">
        <v>109</v>
      </c>
      <c r="B69" s="29" t="s">
        <v>94</v>
      </c>
      <c r="C69" s="37">
        <v>-11</v>
      </c>
      <c r="D69" s="37">
        <v>-12</v>
      </c>
      <c r="E69" s="37">
        <v>-28</v>
      </c>
      <c r="F69" s="37">
        <v>10</v>
      </c>
      <c r="G69" s="37">
        <v>10</v>
      </c>
      <c r="H69" s="37">
        <v>15</v>
      </c>
      <c r="I69" s="37">
        <v>15</v>
      </c>
      <c r="J69" s="37">
        <v>15</v>
      </c>
      <c r="K69" s="37">
        <v>15</v>
      </c>
    </row>
    <row r="70" spans="1:11" s="36" customFormat="1" ht="15.75">
      <c r="A70" s="27" t="s">
        <v>110</v>
      </c>
      <c r="B70" s="29" t="s">
        <v>94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</row>
    <row r="71" spans="1:11" s="36" customFormat="1" ht="15.75">
      <c r="A71" s="27" t="s">
        <v>111</v>
      </c>
      <c r="B71" s="29" t="s">
        <v>94</v>
      </c>
      <c r="C71" s="37">
        <v>1936.1</v>
      </c>
      <c r="D71" s="37">
        <v>-911</v>
      </c>
      <c r="E71" s="37">
        <v>-2799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</row>
    <row r="72" spans="1:11" ht="15.75">
      <c r="A72" s="20" t="s">
        <v>4</v>
      </c>
      <c r="B72" s="31" t="s">
        <v>94</v>
      </c>
      <c r="C72" s="34">
        <f>SUM(C74:C86)</f>
        <v>7921</v>
      </c>
      <c r="D72" s="34">
        <f aca="true" t="shared" si="4" ref="D72:K72">SUM(D74:D86)</f>
        <v>9875</v>
      </c>
      <c r="E72" s="34">
        <f t="shared" si="4"/>
        <v>3496.8</v>
      </c>
      <c r="F72" s="34">
        <f t="shared" si="4"/>
        <v>3719.2</v>
      </c>
      <c r="G72" s="34">
        <f t="shared" si="4"/>
        <v>4069.2</v>
      </c>
      <c r="H72" s="34">
        <f t="shared" si="4"/>
        <v>2720.7</v>
      </c>
      <c r="I72" s="34">
        <f t="shared" si="4"/>
        <v>3130.7</v>
      </c>
      <c r="J72" s="34">
        <f t="shared" si="4"/>
        <v>3822</v>
      </c>
      <c r="K72" s="34">
        <f t="shared" si="4"/>
        <v>4282</v>
      </c>
    </row>
    <row r="73" spans="1:11" ht="15.75">
      <c r="A73" s="21" t="s">
        <v>90</v>
      </c>
      <c r="B73" s="16"/>
      <c r="C73" s="16"/>
      <c r="D73" s="35"/>
      <c r="E73" s="35"/>
      <c r="F73" s="35"/>
      <c r="G73" s="35"/>
      <c r="H73" s="35"/>
      <c r="I73" s="35"/>
      <c r="J73" s="35"/>
      <c r="K73" s="35"/>
    </row>
    <row r="74" spans="1:11" s="36" customFormat="1" ht="15.75">
      <c r="A74" s="27" t="s">
        <v>99</v>
      </c>
      <c r="B74" s="29" t="s">
        <v>94</v>
      </c>
      <c r="C74" s="38">
        <v>40</v>
      </c>
      <c r="D74" s="38">
        <v>0</v>
      </c>
      <c r="E74" s="38">
        <v>0</v>
      </c>
      <c r="F74" s="38">
        <v>0</v>
      </c>
      <c r="G74" s="38">
        <v>80</v>
      </c>
      <c r="H74" s="38">
        <v>0</v>
      </c>
      <c r="I74" s="38">
        <v>80</v>
      </c>
      <c r="J74" s="38">
        <v>0</v>
      </c>
      <c r="K74" s="38">
        <v>80</v>
      </c>
    </row>
    <row r="75" spans="1:11" s="36" customFormat="1" ht="15.75">
      <c r="A75" s="28" t="s">
        <v>100</v>
      </c>
      <c r="B75" s="29" t="s">
        <v>94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s="36" customFormat="1" ht="15.75">
      <c r="A76" s="28" t="s">
        <v>101</v>
      </c>
      <c r="B76" s="29" t="s">
        <v>94</v>
      </c>
      <c r="C76" s="38">
        <v>527</v>
      </c>
      <c r="D76" s="38">
        <v>0</v>
      </c>
      <c r="E76" s="38">
        <v>1079</v>
      </c>
      <c r="F76" s="38">
        <v>200</v>
      </c>
      <c r="G76" s="38">
        <v>200</v>
      </c>
      <c r="H76" s="38">
        <v>200</v>
      </c>
      <c r="I76" s="38">
        <v>200</v>
      </c>
      <c r="J76" s="38">
        <v>200</v>
      </c>
      <c r="K76" s="38">
        <v>200</v>
      </c>
    </row>
    <row r="77" spans="1:11" s="36" customFormat="1" ht="15.75">
      <c r="A77" s="27" t="s">
        <v>102</v>
      </c>
      <c r="B77" s="29" t="s">
        <v>94</v>
      </c>
      <c r="C77" s="38">
        <v>26</v>
      </c>
      <c r="D77" s="38">
        <v>160</v>
      </c>
      <c r="E77" s="38">
        <v>200</v>
      </c>
      <c r="F77" s="38">
        <v>0</v>
      </c>
      <c r="G77" s="38">
        <v>140</v>
      </c>
      <c r="H77" s="38">
        <v>0</v>
      </c>
      <c r="I77" s="38">
        <v>200</v>
      </c>
      <c r="J77" s="38">
        <v>0</v>
      </c>
      <c r="K77" s="38">
        <v>250</v>
      </c>
    </row>
    <row r="78" spans="1:11" s="36" customFormat="1" ht="15.75">
      <c r="A78" s="27" t="s">
        <v>103</v>
      </c>
      <c r="B78" s="29" t="s">
        <v>94</v>
      </c>
      <c r="C78" s="38">
        <v>16</v>
      </c>
      <c r="D78" s="38">
        <v>16</v>
      </c>
      <c r="E78" s="38">
        <v>17.8</v>
      </c>
      <c r="F78" s="38">
        <v>19.2</v>
      </c>
      <c r="G78" s="38">
        <v>19.2</v>
      </c>
      <c r="H78" s="38">
        <v>20.7</v>
      </c>
      <c r="I78" s="38">
        <v>20.7</v>
      </c>
      <c r="J78" s="38">
        <v>22</v>
      </c>
      <c r="K78" s="38">
        <v>22</v>
      </c>
    </row>
    <row r="79" spans="1:11" s="36" customFormat="1" ht="15.75">
      <c r="A79" s="27" t="s">
        <v>104</v>
      </c>
      <c r="B79" s="29" t="s">
        <v>94</v>
      </c>
      <c r="C79" s="38">
        <v>1314</v>
      </c>
      <c r="D79" s="38">
        <v>38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</row>
    <row r="80" spans="1:11" s="36" customFormat="1" ht="15.75">
      <c r="A80" s="28" t="s">
        <v>105</v>
      </c>
      <c r="B80" s="29" t="s">
        <v>94</v>
      </c>
      <c r="C80" s="38">
        <v>333</v>
      </c>
      <c r="D80" s="38">
        <v>796</v>
      </c>
      <c r="E80" s="38">
        <v>150</v>
      </c>
      <c r="F80" s="38">
        <v>0</v>
      </c>
      <c r="G80" s="38">
        <v>130</v>
      </c>
      <c r="H80" s="38">
        <v>0</v>
      </c>
      <c r="I80" s="38">
        <v>130</v>
      </c>
      <c r="J80" s="38">
        <v>0</v>
      </c>
      <c r="K80" s="38">
        <v>130</v>
      </c>
    </row>
    <row r="81" spans="1:11" s="36" customFormat="1" ht="15.75">
      <c r="A81" s="28" t="s">
        <v>106</v>
      </c>
      <c r="B81" s="29" t="s">
        <v>94</v>
      </c>
      <c r="C81" s="38">
        <v>2165</v>
      </c>
      <c r="D81" s="38">
        <v>6739</v>
      </c>
      <c r="E81" s="38">
        <v>1500</v>
      </c>
      <c r="F81" s="38">
        <v>2500</v>
      </c>
      <c r="G81" s="38">
        <v>2500</v>
      </c>
      <c r="H81" s="38">
        <v>2500</v>
      </c>
      <c r="I81" s="38">
        <v>2500</v>
      </c>
      <c r="J81" s="38">
        <v>2500</v>
      </c>
      <c r="K81" s="38">
        <v>2500</v>
      </c>
    </row>
    <row r="82" spans="1:11" s="36" customFormat="1" ht="15.75">
      <c r="A82" s="28" t="s">
        <v>107</v>
      </c>
      <c r="B82" s="29" t="s">
        <v>94</v>
      </c>
      <c r="C82" s="38">
        <v>1808</v>
      </c>
      <c r="D82" s="38">
        <v>0</v>
      </c>
      <c r="E82" s="38">
        <v>0</v>
      </c>
      <c r="F82" s="38">
        <v>1000</v>
      </c>
      <c r="G82" s="38">
        <v>1000</v>
      </c>
      <c r="H82" s="38">
        <v>0</v>
      </c>
      <c r="I82" s="38">
        <v>0</v>
      </c>
      <c r="J82" s="38">
        <v>1100</v>
      </c>
      <c r="K82" s="38">
        <v>1100</v>
      </c>
    </row>
    <row r="83" spans="1:11" s="36" customFormat="1" ht="15.75">
      <c r="A83" s="28" t="s">
        <v>108</v>
      </c>
      <c r="B83" s="29" t="s">
        <v>94</v>
      </c>
      <c r="C83" s="38">
        <v>1692</v>
      </c>
      <c r="D83" s="38">
        <v>1997</v>
      </c>
      <c r="E83" s="38">
        <v>300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</row>
    <row r="84" spans="1:11" s="36" customFormat="1" ht="15.75">
      <c r="A84" s="27" t="s">
        <v>109</v>
      </c>
      <c r="B84" s="29" t="s">
        <v>94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s="36" customFormat="1" ht="15.75">
      <c r="A85" s="27" t="s">
        <v>110</v>
      </c>
      <c r="B85" s="29" t="s">
        <v>94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</row>
    <row r="86" spans="1:11" s="36" customFormat="1" ht="15.75">
      <c r="A86" s="27" t="s">
        <v>111</v>
      </c>
      <c r="B86" s="29" t="s">
        <v>94</v>
      </c>
      <c r="C86" s="38">
        <v>0</v>
      </c>
      <c r="D86" s="38">
        <v>129</v>
      </c>
      <c r="E86" s="38">
        <v>250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</row>
  </sheetData>
  <sheetProtection/>
  <mergeCells count="16">
    <mergeCell ref="F10:F11"/>
    <mergeCell ref="G10:G11"/>
    <mergeCell ref="H10:H11"/>
    <mergeCell ref="I10:I11"/>
    <mergeCell ref="J10:J11"/>
    <mergeCell ref="K10:K11"/>
    <mergeCell ref="A6:K6"/>
    <mergeCell ref="A8:A11"/>
    <mergeCell ref="B8:B11"/>
    <mergeCell ref="C8:C11"/>
    <mergeCell ref="D8:D11"/>
    <mergeCell ref="E8:E11"/>
    <mergeCell ref="F8:K8"/>
    <mergeCell ref="F9:G9"/>
    <mergeCell ref="H9:I9"/>
    <mergeCell ref="J9:K9"/>
  </mergeCells>
  <printOptions/>
  <pageMargins left="0.984251968503937" right="0.3937007874015748" top="0.7874015748031497" bottom="0.7874015748031497" header="0" footer="0"/>
  <pageSetup fitToHeight="2" fitToWidth="1" horizontalDpi="600" verticalDpi="600" orientation="landscape" paperSize="9" scale="58" r:id="rId1"/>
  <headerFooter differentOddEven="1">
    <oddHeader>&amp;C&amp;"Times New Roman,обычный"&amp;14 10</oddHeader>
    <evenHeader>&amp;C&amp;"Times New Roman,обычный"&amp;14 11</evenHeader>
  </headerFooter>
  <rowBreaks count="2" manualBreakCount="2">
    <brk id="41" max="255" man="1"/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Layout" zoomScaleNormal="73" workbookViewId="0" topLeftCell="E1">
      <selection activeCell="I6" sqref="I6"/>
    </sheetView>
  </sheetViews>
  <sheetFormatPr defaultColWidth="9.00390625" defaultRowHeight="12.75"/>
  <cols>
    <col min="1" max="1" width="6.125" style="62" hidden="1" customWidth="1"/>
    <col min="2" max="2" width="5.375" style="89" customWidth="1"/>
    <col min="3" max="3" width="42.875" style="90" customWidth="1"/>
    <col min="4" max="4" width="12.125" style="89" customWidth="1"/>
    <col min="5" max="5" width="13.00390625" style="91" customWidth="1"/>
    <col min="6" max="6" width="11.625" style="91" customWidth="1"/>
    <col min="7" max="7" width="13.00390625" style="91" customWidth="1"/>
    <col min="8" max="8" width="12.00390625" style="91" customWidth="1"/>
    <col min="9" max="11" width="12.875" style="91" customWidth="1"/>
    <col min="12" max="12" width="12.00390625" style="91" customWidth="1"/>
    <col min="13" max="13" width="13.00390625" style="91" customWidth="1"/>
    <col min="14" max="14" width="12.875" style="91" customWidth="1"/>
    <col min="15" max="16384" width="9.125" style="62" customWidth="1"/>
  </cols>
  <sheetData>
    <row r="1" spans="2:14" ht="15.75">
      <c r="B1" s="269" t="s">
        <v>221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2:14" ht="15.75">
      <c r="B2" s="270" t="s">
        <v>142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2:14" ht="15.75">
      <c r="B3" s="63"/>
      <c r="C3" s="64"/>
      <c r="D3" s="63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75">
      <c r="A4" s="9"/>
      <c r="B4" s="271" t="s">
        <v>143</v>
      </c>
      <c r="C4" s="273" t="s">
        <v>144</v>
      </c>
      <c r="D4" s="271" t="s">
        <v>28</v>
      </c>
      <c r="E4" s="267" t="s">
        <v>145</v>
      </c>
      <c r="F4" s="267" t="s">
        <v>146</v>
      </c>
      <c r="G4" s="207" t="s">
        <v>122</v>
      </c>
      <c r="H4" s="207"/>
      <c r="I4" s="274" t="s">
        <v>6</v>
      </c>
      <c r="J4" s="275"/>
      <c r="K4" s="275"/>
      <c r="L4" s="275"/>
      <c r="M4" s="275"/>
      <c r="N4" s="276"/>
    </row>
    <row r="5" spans="1:14" ht="15.75">
      <c r="A5" s="9"/>
      <c r="B5" s="272"/>
      <c r="C5" s="273"/>
      <c r="D5" s="271"/>
      <c r="E5" s="267"/>
      <c r="F5" s="267"/>
      <c r="G5" s="267" t="s">
        <v>147</v>
      </c>
      <c r="H5" s="267" t="s">
        <v>19</v>
      </c>
      <c r="I5" s="268" t="s">
        <v>115</v>
      </c>
      <c r="J5" s="268"/>
      <c r="K5" s="268" t="s">
        <v>129</v>
      </c>
      <c r="L5" s="268"/>
      <c r="M5" s="268" t="s">
        <v>116</v>
      </c>
      <c r="N5" s="268"/>
    </row>
    <row r="6" spans="1:14" ht="47.25">
      <c r="A6" s="9"/>
      <c r="B6" s="272"/>
      <c r="C6" s="273"/>
      <c r="D6" s="271"/>
      <c r="E6" s="267"/>
      <c r="F6" s="267"/>
      <c r="G6" s="267" t="s">
        <v>148</v>
      </c>
      <c r="H6" s="267" t="s">
        <v>148</v>
      </c>
      <c r="I6" s="7" t="s">
        <v>149</v>
      </c>
      <c r="J6" s="7" t="s">
        <v>150</v>
      </c>
      <c r="K6" s="7" t="s">
        <v>149</v>
      </c>
      <c r="L6" s="7" t="s">
        <v>150</v>
      </c>
      <c r="M6" s="7" t="s">
        <v>149</v>
      </c>
      <c r="N6" s="7" t="s">
        <v>150</v>
      </c>
    </row>
    <row r="7" spans="2:14" ht="15.75">
      <c r="B7" s="259">
        <v>1</v>
      </c>
      <c r="C7" s="253" t="s">
        <v>151</v>
      </c>
      <c r="D7" s="12" t="s">
        <v>152</v>
      </c>
      <c r="E7" s="66"/>
      <c r="F7" s="66"/>
      <c r="G7" s="66"/>
      <c r="H7" s="67">
        <v>140</v>
      </c>
      <c r="I7" s="67"/>
      <c r="J7" s="66"/>
      <c r="K7" s="66"/>
      <c r="L7" s="66"/>
      <c r="M7" s="66"/>
      <c r="N7" s="68"/>
    </row>
    <row r="8" spans="2:14" ht="15.75">
      <c r="B8" s="261"/>
      <c r="C8" s="254"/>
      <c r="D8" s="69" t="s">
        <v>25</v>
      </c>
      <c r="E8" s="66"/>
      <c r="F8" s="66"/>
      <c r="G8" s="66"/>
      <c r="H8" s="70">
        <v>88</v>
      </c>
      <c r="I8" s="67"/>
      <c r="J8" s="66"/>
      <c r="K8" s="66"/>
      <c r="L8" s="66"/>
      <c r="M8" s="66"/>
      <c r="N8" s="68"/>
    </row>
    <row r="9" spans="2:14" ht="33.75" customHeight="1">
      <c r="B9" s="259">
        <v>2</v>
      </c>
      <c r="C9" s="265" t="s">
        <v>153</v>
      </c>
      <c r="D9" s="12" t="s">
        <v>154</v>
      </c>
      <c r="E9" s="66"/>
      <c r="F9" s="66"/>
      <c r="G9" s="66"/>
      <c r="H9" s="71">
        <v>2.071</v>
      </c>
      <c r="I9" s="71"/>
      <c r="J9" s="71"/>
      <c r="K9" s="71"/>
      <c r="L9" s="66"/>
      <c r="M9" s="71"/>
      <c r="N9" s="71"/>
    </row>
    <row r="10" spans="2:14" ht="15.75">
      <c r="B10" s="261"/>
      <c r="C10" s="266"/>
      <c r="D10" s="69" t="s">
        <v>25</v>
      </c>
      <c r="E10" s="66"/>
      <c r="F10" s="66"/>
      <c r="G10" s="66"/>
      <c r="H10" s="71">
        <v>6.2833</v>
      </c>
      <c r="I10" s="71"/>
      <c r="J10" s="71"/>
      <c r="K10" s="71"/>
      <c r="L10" s="66"/>
      <c r="M10" s="71"/>
      <c r="N10" s="71"/>
    </row>
    <row r="11" spans="2:14" ht="14.25" customHeight="1">
      <c r="B11" s="259">
        <v>3</v>
      </c>
      <c r="C11" s="265" t="s">
        <v>155</v>
      </c>
      <c r="D11" s="12" t="s">
        <v>154</v>
      </c>
      <c r="E11" s="70"/>
      <c r="F11" s="66"/>
      <c r="G11" s="66"/>
      <c r="H11" s="67"/>
      <c r="I11" s="71">
        <v>6.577</v>
      </c>
      <c r="J11" s="71">
        <v>6.577</v>
      </c>
      <c r="K11" s="66"/>
      <c r="L11" s="66"/>
      <c r="M11" s="66"/>
      <c r="N11" s="68"/>
    </row>
    <row r="12" spans="2:14" ht="29.25" customHeight="1">
      <c r="B12" s="261"/>
      <c r="C12" s="266"/>
      <c r="D12" s="69" t="s">
        <v>25</v>
      </c>
      <c r="E12" s="70"/>
      <c r="F12" s="66"/>
      <c r="G12" s="66"/>
      <c r="H12" s="67"/>
      <c r="I12" s="70">
        <v>15.3409</v>
      </c>
      <c r="J12" s="70">
        <v>15.3409</v>
      </c>
      <c r="K12" s="66"/>
      <c r="L12" s="66"/>
      <c r="M12" s="66"/>
      <c r="N12" s="68"/>
    </row>
    <row r="13" spans="2:14" ht="18" customHeight="1">
      <c r="B13" s="259">
        <v>4</v>
      </c>
      <c r="C13" s="263" t="s">
        <v>156</v>
      </c>
      <c r="D13" s="29" t="s">
        <v>154</v>
      </c>
      <c r="E13" s="70"/>
      <c r="F13" s="70"/>
      <c r="G13" s="70"/>
      <c r="H13" s="70"/>
      <c r="I13" s="70"/>
      <c r="J13" s="70"/>
      <c r="K13" s="70"/>
      <c r="L13" s="70"/>
      <c r="M13" s="70"/>
      <c r="N13" s="68"/>
    </row>
    <row r="14" spans="2:14" ht="18" customHeight="1">
      <c r="B14" s="261"/>
      <c r="C14" s="264"/>
      <c r="D14" s="69" t="s">
        <v>25</v>
      </c>
      <c r="E14" s="70"/>
      <c r="F14" s="70"/>
      <c r="G14" s="70"/>
      <c r="H14" s="70"/>
      <c r="I14" s="70"/>
      <c r="J14" s="70"/>
      <c r="K14" s="70"/>
      <c r="L14" s="70"/>
      <c r="M14" s="70"/>
      <c r="N14" s="68">
        <v>20</v>
      </c>
    </row>
    <row r="15" spans="2:14" ht="27.75" customHeight="1">
      <c r="B15" s="259">
        <v>5</v>
      </c>
      <c r="C15" s="263" t="s">
        <v>157</v>
      </c>
      <c r="D15" s="29" t="s">
        <v>158</v>
      </c>
      <c r="E15" s="70">
        <v>77.1</v>
      </c>
      <c r="F15" s="70"/>
      <c r="G15" s="70"/>
      <c r="H15" s="70"/>
      <c r="I15" s="70"/>
      <c r="J15" s="70"/>
      <c r="K15" s="70"/>
      <c r="L15" s="70"/>
      <c r="M15" s="70"/>
      <c r="N15" s="68"/>
    </row>
    <row r="16" spans="2:14" ht="15.75">
      <c r="B16" s="261"/>
      <c r="C16" s="264"/>
      <c r="D16" s="69" t="s">
        <v>25</v>
      </c>
      <c r="E16" s="70">
        <v>0.4</v>
      </c>
      <c r="F16" s="70"/>
      <c r="G16" s="70"/>
      <c r="H16" s="70"/>
      <c r="I16" s="70"/>
      <c r="J16" s="70"/>
      <c r="K16" s="70"/>
      <c r="L16" s="70"/>
      <c r="M16" s="70"/>
      <c r="N16" s="68"/>
    </row>
    <row r="17" spans="2:14" ht="30" customHeight="1">
      <c r="B17" s="259">
        <v>6</v>
      </c>
      <c r="C17" s="263" t="s">
        <v>159</v>
      </c>
      <c r="D17" s="29" t="s">
        <v>154</v>
      </c>
      <c r="E17" s="70"/>
      <c r="F17" s="70"/>
      <c r="G17" s="70"/>
      <c r="H17" s="71"/>
      <c r="I17" s="71"/>
      <c r="J17" s="71"/>
      <c r="K17" s="68"/>
      <c r="L17" s="70"/>
      <c r="M17" s="70"/>
      <c r="N17" s="68"/>
    </row>
    <row r="18" spans="2:14" ht="15.75">
      <c r="B18" s="261"/>
      <c r="C18" s="264"/>
      <c r="D18" s="69" t="s">
        <v>25</v>
      </c>
      <c r="E18" s="70"/>
      <c r="F18" s="70"/>
      <c r="G18" s="70"/>
      <c r="H18" s="71"/>
      <c r="I18" s="71"/>
      <c r="J18" s="71"/>
      <c r="K18" s="68"/>
      <c r="L18" s="70"/>
      <c r="M18" s="70"/>
      <c r="N18" s="68"/>
    </row>
    <row r="19" spans="2:14" ht="15.75">
      <c r="B19" s="259">
        <v>7</v>
      </c>
      <c r="C19" s="263" t="s">
        <v>160</v>
      </c>
      <c r="D19" s="29" t="s">
        <v>154</v>
      </c>
      <c r="E19" s="70"/>
      <c r="F19" s="70"/>
      <c r="G19" s="70"/>
      <c r="H19" s="71"/>
      <c r="I19" s="71"/>
      <c r="J19" s="71"/>
      <c r="K19" s="68"/>
      <c r="L19" s="70"/>
      <c r="M19" s="70"/>
      <c r="N19" s="68"/>
    </row>
    <row r="20" spans="2:14" ht="15.75">
      <c r="B20" s="261"/>
      <c r="C20" s="264"/>
      <c r="D20" s="69" t="s">
        <v>25</v>
      </c>
      <c r="E20" s="70"/>
      <c r="F20" s="70"/>
      <c r="G20" s="70"/>
      <c r="H20" s="71"/>
      <c r="I20" s="71"/>
      <c r="J20" s="71"/>
      <c r="K20" s="68"/>
      <c r="L20" s="70"/>
      <c r="M20" s="70"/>
      <c r="N20" s="68"/>
    </row>
    <row r="21" spans="2:14" ht="30" customHeight="1">
      <c r="B21" s="259">
        <v>8</v>
      </c>
      <c r="C21" s="263" t="s">
        <v>161</v>
      </c>
      <c r="D21" s="29" t="s">
        <v>154</v>
      </c>
      <c r="E21" s="70"/>
      <c r="F21" s="70"/>
      <c r="G21" s="70"/>
      <c r="H21" s="71"/>
      <c r="I21" s="71">
        <v>2.87</v>
      </c>
      <c r="J21" s="71">
        <v>2.87</v>
      </c>
      <c r="K21" s="70"/>
      <c r="L21" s="70"/>
      <c r="M21" s="70"/>
      <c r="N21" s="68"/>
    </row>
    <row r="22" spans="2:14" ht="15.75">
      <c r="B22" s="261"/>
      <c r="C22" s="264"/>
      <c r="D22" s="69" t="s">
        <v>25</v>
      </c>
      <c r="E22" s="70"/>
      <c r="F22" s="70"/>
      <c r="G22" s="70"/>
      <c r="H22" s="71"/>
      <c r="I22" s="70">
        <v>56.4</v>
      </c>
      <c r="J22" s="70">
        <v>56.4</v>
      </c>
      <c r="K22" s="70"/>
      <c r="L22" s="70"/>
      <c r="M22" s="70"/>
      <c r="N22" s="68"/>
    </row>
    <row r="23" spans="2:14" ht="46.5" customHeight="1">
      <c r="B23" s="259">
        <v>9</v>
      </c>
      <c r="C23" s="263" t="s">
        <v>162</v>
      </c>
      <c r="D23" s="29" t="s">
        <v>163</v>
      </c>
      <c r="E23" s="72">
        <v>2</v>
      </c>
      <c r="F23" s="67"/>
      <c r="G23" s="70"/>
      <c r="H23" s="70"/>
      <c r="I23" s="70"/>
      <c r="J23" s="70"/>
      <c r="K23" s="70"/>
      <c r="L23" s="70"/>
      <c r="M23" s="70"/>
      <c r="N23" s="68"/>
    </row>
    <row r="24" spans="2:14" ht="24.75" customHeight="1">
      <c r="B24" s="261"/>
      <c r="C24" s="264"/>
      <c r="D24" s="69" t="s">
        <v>25</v>
      </c>
      <c r="E24" s="72">
        <v>21.2</v>
      </c>
      <c r="F24" s="67"/>
      <c r="G24" s="70"/>
      <c r="H24" s="70"/>
      <c r="I24" s="70"/>
      <c r="J24" s="70"/>
      <c r="K24" s="70"/>
      <c r="L24" s="70"/>
      <c r="M24" s="70"/>
      <c r="N24" s="68"/>
    </row>
    <row r="25" spans="2:14" ht="24.75" customHeight="1">
      <c r="B25" s="259">
        <v>10</v>
      </c>
      <c r="C25" s="263" t="s">
        <v>164</v>
      </c>
      <c r="D25" s="29" t="s">
        <v>154</v>
      </c>
      <c r="E25" s="70"/>
      <c r="F25" s="70"/>
      <c r="G25" s="70"/>
      <c r="H25" s="70"/>
      <c r="I25" s="70"/>
      <c r="J25" s="70"/>
      <c r="K25" s="70">
        <v>3.8</v>
      </c>
      <c r="L25" s="70">
        <v>3.8</v>
      </c>
      <c r="M25" s="70"/>
      <c r="N25" s="68"/>
    </row>
    <row r="26" spans="2:14" ht="21.75" customHeight="1">
      <c r="B26" s="261"/>
      <c r="C26" s="264"/>
      <c r="D26" s="69" t="s">
        <v>25</v>
      </c>
      <c r="E26" s="70"/>
      <c r="F26" s="70"/>
      <c r="G26" s="70"/>
      <c r="H26" s="70"/>
      <c r="I26" s="70"/>
      <c r="J26" s="70"/>
      <c r="K26" s="70">
        <v>15.4</v>
      </c>
      <c r="L26" s="70">
        <v>15.4</v>
      </c>
      <c r="M26" s="70"/>
      <c r="N26" s="68"/>
    </row>
    <row r="27" spans="2:14" ht="31.5">
      <c r="B27" s="259">
        <v>11</v>
      </c>
      <c r="C27" s="263" t="s">
        <v>165</v>
      </c>
      <c r="D27" s="29" t="s">
        <v>166</v>
      </c>
      <c r="E27" s="70"/>
      <c r="F27" s="73">
        <v>130</v>
      </c>
      <c r="G27" s="73"/>
      <c r="H27" s="73"/>
      <c r="I27" s="73"/>
      <c r="J27" s="70"/>
      <c r="K27" s="70"/>
      <c r="L27" s="70"/>
      <c r="M27" s="70"/>
      <c r="N27" s="68"/>
    </row>
    <row r="28" spans="2:14" ht="15.75">
      <c r="B28" s="261"/>
      <c r="C28" s="264"/>
      <c r="D28" s="69" t="s">
        <v>25</v>
      </c>
      <c r="E28" s="70"/>
      <c r="F28" s="73">
        <v>37.2</v>
      </c>
      <c r="G28" s="73"/>
      <c r="H28" s="73"/>
      <c r="I28" s="73"/>
      <c r="J28" s="71"/>
      <c r="K28" s="70"/>
      <c r="L28" s="70"/>
      <c r="M28" s="70"/>
      <c r="N28" s="68"/>
    </row>
    <row r="29" spans="2:14" ht="21" customHeight="1">
      <c r="B29" s="259">
        <v>12</v>
      </c>
      <c r="C29" s="263" t="s">
        <v>167</v>
      </c>
      <c r="D29" s="29" t="s">
        <v>168</v>
      </c>
      <c r="E29" s="70"/>
      <c r="F29" s="70"/>
      <c r="G29" s="71"/>
      <c r="H29" s="71">
        <v>48.86</v>
      </c>
      <c r="I29" s="71"/>
      <c r="J29" s="71"/>
      <c r="K29" s="70"/>
      <c r="L29" s="70"/>
      <c r="M29" s="70"/>
      <c r="N29" s="68"/>
    </row>
    <row r="30" spans="2:14" ht="18" customHeight="1">
      <c r="B30" s="261"/>
      <c r="C30" s="264"/>
      <c r="D30" s="69" t="s">
        <v>25</v>
      </c>
      <c r="E30" s="70"/>
      <c r="F30" s="70"/>
      <c r="G30" s="71"/>
      <c r="H30" s="70">
        <v>42.5</v>
      </c>
      <c r="I30" s="71"/>
      <c r="J30" s="70"/>
      <c r="K30" s="70"/>
      <c r="L30" s="70"/>
      <c r="M30" s="70"/>
      <c r="N30" s="68"/>
    </row>
    <row r="31" spans="2:14" ht="36.75" customHeight="1">
      <c r="B31" s="259">
        <v>13</v>
      </c>
      <c r="C31" s="263" t="s">
        <v>169</v>
      </c>
      <c r="D31" s="29" t="s">
        <v>154</v>
      </c>
      <c r="E31" s="70"/>
      <c r="F31" s="74">
        <v>0.765</v>
      </c>
      <c r="G31" s="71"/>
      <c r="H31" s="74"/>
      <c r="I31" s="74"/>
      <c r="J31" s="70"/>
      <c r="K31" s="70"/>
      <c r="L31" s="70"/>
      <c r="M31" s="70"/>
      <c r="N31" s="68"/>
    </row>
    <row r="32" spans="2:14" ht="15.75">
      <c r="B32" s="261"/>
      <c r="C32" s="264"/>
      <c r="D32" s="69" t="s">
        <v>25</v>
      </c>
      <c r="E32" s="70"/>
      <c r="F32" s="74">
        <v>1.1</v>
      </c>
      <c r="G32" s="71"/>
      <c r="H32" s="74"/>
      <c r="I32" s="74"/>
      <c r="J32" s="70"/>
      <c r="K32" s="70"/>
      <c r="L32" s="70"/>
      <c r="M32" s="70"/>
      <c r="N32" s="68"/>
    </row>
    <row r="33" spans="2:14" ht="21.75" customHeight="1">
      <c r="B33" s="259">
        <v>14</v>
      </c>
      <c r="C33" s="263" t="s">
        <v>170</v>
      </c>
      <c r="D33" s="29" t="s">
        <v>171</v>
      </c>
      <c r="E33" s="70">
        <v>380</v>
      </c>
      <c r="F33" s="67"/>
      <c r="G33" s="67"/>
      <c r="H33" s="70"/>
      <c r="I33" s="70"/>
      <c r="J33" s="70"/>
      <c r="K33" s="70"/>
      <c r="L33" s="70"/>
      <c r="M33" s="70"/>
      <c r="N33" s="68"/>
    </row>
    <row r="34" spans="2:14" ht="14.25" customHeight="1">
      <c r="B34" s="261"/>
      <c r="C34" s="264"/>
      <c r="D34" s="69" t="s">
        <v>25</v>
      </c>
      <c r="E34" s="70">
        <v>53.4</v>
      </c>
      <c r="F34" s="67"/>
      <c r="G34" s="67"/>
      <c r="H34" s="70"/>
      <c r="I34" s="70"/>
      <c r="J34" s="70"/>
      <c r="K34" s="70"/>
      <c r="L34" s="70"/>
      <c r="M34" s="70"/>
      <c r="N34" s="68"/>
    </row>
    <row r="35" spans="2:14" ht="41.25" customHeight="1">
      <c r="B35" s="259">
        <v>15</v>
      </c>
      <c r="C35" s="263" t="s">
        <v>172</v>
      </c>
      <c r="D35" s="29" t="s">
        <v>173</v>
      </c>
      <c r="E35" s="70">
        <v>80</v>
      </c>
      <c r="F35" s="70"/>
      <c r="G35" s="70"/>
      <c r="H35" s="70"/>
      <c r="I35" s="70"/>
      <c r="J35" s="70"/>
      <c r="K35" s="70"/>
      <c r="L35" s="70"/>
      <c r="M35" s="70"/>
      <c r="N35" s="68"/>
    </row>
    <row r="36" spans="2:14" ht="15.75">
      <c r="B36" s="261"/>
      <c r="C36" s="264"/>
      <c r="D36" s="69" t="s">
        <v>25</v>
      </c>
      <c r="E36" s="70">
        <v>16</v>
      </c>
      <c r="F36" s="70"/>
      <c r="G36" s="70"/>
      <c r="H36" s="70"/>
      <c r="I36" s="70"/>
      <c r="J36" s="70"/>
      <c r="K36" s="70"/>
      <c r="L36" s="70"/>
      <c r="M36" s="70"/>
      <c r="N36" s="68"/>
    </row>
    <row r="37" spans="2:14" ht="30" customHeight="1">
      <c r="B37" s="259">
        <v>16</v>
      </c>
      <c r="C37" s="263" t="s">
        <v>174</v>
      </c>
      <c r="D37" s="29" t="s">
        <v>175</v>
      </c>
      <c r="E37" s="70"/>
      <c r="F37" s="71">
        <v>1.08</v>
      </c>
      <c r="G37" s="70"/>
      <c r="H37" s="74"/>
      <c r="I37" s="71"/>
      <c r="J37" s="70"/>
      <c r="K37" s="70"/>
      <c r="L37" s="70"/>
      <c r="M37" s="70"/>
      <c r="N37" s="68"/>
    </row>
    <row r="38" spans="2:14" ht="15.75">
      <c r="B38" s="261"/>
      <c r="C38" s="264"/>
      <c r="D38" s="69" t="s">
        <v>25</v>
      </c>
      <c r="E38" s="70"/>
      <c r="F38" s="70">
        <v>9.4</v>
      </c>
      <c r="G38" s="70"/>
      <c r="H38" s="74"/>
      <c r="I38" s="71"/>
      <c r="J38" s="70"/>
      <c r="K38" s="70"/>
      <c r="L38" s="70"/>
      <c r="M38" s="70"/>
      <c r="N38" s="68"/>
    </row>
    <row r="39" spans="2:14" ht="30" customHeight="1">
      <c r="B39" s="259">
        <v>17</v>
      </c>
      <c r="C39" s="263" t="s">
        <v>176</v>
      </c>
      <c r="D39" s="29" t="s">
        <v>154</v>
      </c>
      <c r="E39" s="70">
        <v>28.7</v>
      </c>
      <c r="F39" s="70"/>
      <c r="G39" s="75"/>
      <c r="H39" s="70"/>
      <c r="I39" s="70">
        <v>20</v>
      </c>
      <c r="J39" s="70">
        <v>20</v>
      </c>
      <c r="K39" s="70">
        <v>20</v>
      </c>
      <c r="L39" s="70">
        <v>20</v>
      </c>
      <c r="M39" s="70">
        <v>20</v>
      </c>
      <c r="N39" s="68">
        <v>20</v>
      </c>
    </row>
    <row r="40" spans="2:14" ht="15.75">
      <c r="B40" s="261"/>
      <c r="C40" s="264"/>
      <c r="D40" s="69" t="s">
        <v>25</v>
      </c>
      <c r="E40" s="70">
        <v>15.2</v>
      </c>
      <c r="F40" s="70"/>
      <c r="G40" s="75"/>
      <c r="H40" s="70"/>
      <c r="I40" s="70"/>
      <c r="J40" s="70"/>
      <c r="K40" s="70"/>
      <c r="L40" s="70"/>
      <c r="M40" s="70"/>
      <c r="N40" s="68"/>
    </row>
    <row r="41" spans="2:14" ht="30" customHeight="1">
      <c r="B41" s="259">
        <v>18</v>
      </c>
      <c r="C41" s="263" t="s">
        <v>177</v>
      </c>
      <c r="D41" s="29" t="s">
        <v>154</v>
      </c>
      <c r="E41" s="70"/>
      <c r="F41" s="70"/>
      <c r="G41" s="70"/>
      <c r="H41" s="70"/>
      <c r="I41" s="70"/>
      <c r="J41" s="70"/>
      <c r="K41" s="70"/>
      <c r="L41" s="70"/>
      <c r="M41" s="70">
        <v>17.4</v>
      </c>
      <c r="N41" s="76">
        <v>17.4</v>
      </c>
    </row>
    <row r="42" spans="2:14" ht="15.75">
      <c r="B42" s="261"/>
      <c r="C42" s="264"/>
      <c r="D42" s="69" t="s">
        <v>25</v>
      </c>
      <c r="E42" s="70"/>
      <c r="F42" s="70"/>
      <c r="G42" s="70"/>
      <c r="H42" s="70"/>
      <c r="I42" s="70"/>
      <c r="J42" s="70"/>
      <c r="K42" s="70"/>
      <c r="L42" s="70"/>
      <c r="M42" s="70">
        <v>18</v>
      </c>
      <c r="N42" s="76">
        <v>18</v>
      </c>
    </row>
    <row r="43" spans="2:14" ht="45" customHeight="1">
      <c r="B43" s="259">
        <v>19</v>
      </c>
      <c r="C43" s="263" t="s">
        <v>178</v>
      </c>
      <c r="D43" s="77" t="s">
        <v>154</v>
      </c>
      <c r="E43" s="78"/>
      <c r="F43" s="78"/>
      <c r="G43" s="78"/>
      <c r="H43" s="78">
        <v>7.16</v>
      </c>
      <c r="I43" s="78"/>
      <c r="J43" s="78"/>
      <c r="K43" s="78"/>
      <c r="L43" s="78"/>
      <c r="M43" s="78"/>
      <c r="N43" s="68"/>
    </row>
    <row r="44" spans="2:14" ht="15.75">
      <c r="B44" s="261"/>
      <c r="C44" s="264"/>
      <c r="D44" s="69" t="s">
        <v>25</v>
      </c>
      <c r="E44" s="78"/>
      <c r="F44" s="78"/>
      <c r="G44" s="78"/>
      <c r="H44" s="78">
        <v>14.87</v>
      </c>
      <c r="I44" s="78"/>
      <c r="J44" s="78"/>
      <c r="K44" s="78"/>
      <c r="L44" s="78"/>
      <c r="M44" s="78"/>
      <c r="N44" s="68"/>
    </row>
    <row r="45" spans="2:14" ht="30" customHeight="1">
      <c r="B45" s="259">
        <v>20</v>
      </c>
      <c r="C45" s="263" t="s">
        <v>179</v>
      </c>
      <c r="D45" s="77" t="s">
        <v>154</v>
      </c>
      <c r="E45" s="78"/>
      <c r="F45" s="78"/>
      <c r="G45" s="78"/>
      <c r="H45" s="78"/>
      <c r="I45" s="79">
        <v>4.17</v>
      </c>
      <c r="J45" s="79">
        <v>4.17</v>
      </c>
      <c r="K45" s="78"/>
      <c r="L45" s="78"/>
      <c r="M45" s="78"/>
      <c r="N45" s="68"/>
    </row>
    <row r="46" spans="2:14" ht="24" customHeight="1">
      <c r="B46" s="261"/>
      <c r="C46" s="264"/>
      <c r="D46" s="69" t="s">
        <v>25</v>
      </c>
      <c r="E46" s="78"/>
      <c r="F46" s="78"/>
      <c r="G46" s="78"/>
      <c r="H46" s="78"/>
      <c r="I46" s="78">
        <v>7.1</v>
      </c>
      <c r="J46" s="78">
        <v>7.1</v>
      </c>
      <c r="K46" s="78"/>
      <c r="L46" s="78"/>
      <c r="M46" s="78"/>
      <c r="N46" s="68"/>
    </row>
    <row r="47" spans="2:14" ht="18" customHeight="1">
      <c r="B47" s="259">
        <v>21</v>
      </c>
      <c r="C47" s="263" t="s">
        <v>180</v>
      </c>
      <c r="D47" s="29" t="s">
        <v>181</v>
      </c>
      <c r="E47" s="80"/>
      <c r="F47" s="80"/>
      <c r="G47" s="80"/>
      <c r="H47" s="80"/>
      <c r="I47" s="80">
        <v>1.278</v>
      </c>
      <c r="J47" s="80">
        <v>1.278</v>
      </c>
      <c r="K47" s="80"/>
      <c r="L47" s="80"/>
      <c r="M47" s="80"/>
      <c r="N47" s="68"/>
    </row>
    <row r="48" spans="2:14" ht="17.25" customHeight="1">
      <c r="B48" s="261"/>
      <c r="C48" s="264"/>
      <c r="D48" s="69" t="s">
        <v>25</v>
      </c>
      <c r="E48" s="80"/>
      <c r="F48" s="80"/>
      <c r="G48" s="80"/>
      <c r="H48" s="80"/>
      <c r="I48" s="80">
        <v>7.1</v>
      </c>
      <c r="J48" s="80">
        <v>7.1</v>
      </c>
      <c r="K48" s="80"/>
      <c r="L48" s="80"/>
      <c r="M48" s="80"/>
      <c r="N48" s="68"/>
    </row>
    <row r="49" spans="2:14" ht="24" customHeight="1">
      <c r="B49" s="259">
        <v>22</v>
      </c>
      <c r="C49" s="253" t="s">
        <v>182</v>
      </c>
      <c r="D49" s="29" t="s">
        <v>154</v>
      </c>
      <c r="E49" s="80"/>
      <c r="F49" s="80"/>
      <c r="G49" s="80"/>
      <c r="H49" s="80"/>
      <c r="I49" s="80"/>
      <c r="J49" s="80"/>
      <c r="K49" s="80"/>
      <c r="L49" s="80"/>
      <c r="M49" s="80">
        <v>3</v>
      </c>
      <c r="N49" s="80">
        <v>3</v>
      </c>
    </row>
    <row r="50" spans="2:14" ht="15.75">
      <c r="B50" s="261"/>
      <c r="C50" s="254"/>
      <c r="D50" s="69" t="s">
        <v>25</v>
      </c>
      <c r="E50" s="80"/>
      <c r="F50" s="80"/>
      <c r="G50" s="80"/>
      <c r="H50" s="80"/>
      <c r="I50" s="80"/>
      <c r="J50" s="80"/>
      <c r="K50" s="80"/>
      <c r="L50" s="80"/>
      <c r="M50" s="80">
        <v>27.7</v>
      </c>
      <c r="N50" s="80">
        <v>27.7</v>
      </c>
    </row>
    <row r="51" spans="2:14" ht="47.25" customHeight="1">
      <c r="B51" s="259">
        <v>23</v>
      </c>
      <c r="C51" s="263" t="s">
        <v>183</v>
      </c>
      <c r="D51" s="29" t="s">
        <v>154</v>
      </c>
      <c r="E51" s="80">
        <v>3.764</v>
      </c>
      <c r="F51" s="80"/>
      <c r="G51" s="80"/>
      <c r="H51" s="80"/>
      <c r="I51" s="80"/>
      <c r="J51" s="80"/>
      <c r="K51" s="80"/>
      <c r="L51" s="80"/>
      <c r="M51" s="80"/>
      <c r="N51" s="68"/>
    </row>
    <row r="52" spans="2:14" ht="15.75">
      <c r="B52" s="261"/>
      <c r="C52" s="264"/>
      <c r="D52" s="69" t="s">
        <v>25</v>
      </c>
      <c r="E52" s="80">
        <v>7.9</v>
      </c>
      <c r="F52" s="80"/>
      <c r="G52" s="80"/>
      <c r="H52" s="80"/>
      <c r="I52" s="80"/>
      <c r="J52" s="80"/>
      <c r="K52" s="80"/>
      <c r="L52" s="80"/>
      <c r="M52" s="80"/>
      <c r="N52" s="68"/>
    </row>
    <row r="53" spans="2:14" ht="34.5" customHeight="1">
      <c r="B53" s="259">
        <v>24</v>
      </c>
      <c r="C53" s="263" t="s">
        <v>184</v>
      </c>
      <c r="D53" s="29" t="s">
        <v>154</v>
      </c>
      <c r="E53" s="80"/>
      <c r="F53" s="80"/>
      <c r="G53" s="80"/>
      <c r="H53" s="80">
        <v>4.148</v>
      </c>
      <c r="I53" s="80"/>
      <c r="J53" s="80"/>
      <c r="K53" s="80"/>
      <c r="L53" s="80"/>
      <c r="M53" s="80"/>
      <c r="N53" s="68"/>
    </row>
    <row r="54" spans="2:14" ht="41.25" customHeight="1">
      <c r="B54" s="261"/>
      <c r="C54" s="264"/>
      <c r="D54" s="69" t="s">
        <v>25</v>
      </c>
      <c r="E54" s="80"/>
      <c r="F54" s="80"/>
      <c r="G54" s="80"/>
      <c r="H54" s="80">
        <v>10.58</v>
      </c>
      <c r="I54" s="80"/>
      <c r="J54" s="80"/>
      <c r="K54" s="80"/>
      <c r="L54" s="80"/>
      <c r="M54" s="80"/>
      <c r="N54" s="68"/>
    </row>
    <row r="55" spans="2:14" ht="36" customHeight="1">
      <c r="B55" s="259">
        <v>25</v>
      </c>
      <c r="C55" s="257" t="s">
        <v>186</v>
      </c>
      <c r="D55" s="29" t="s">
        <v>154</v>
      </c>
      <c r="E55" s="81">
        <v>1</v>
      </c>
      <c r="F55" s="81"/>
      <c r="G55" s="81"/>
      <c r="H55" s="81"/>
      <c r="I55" s="81"/>
      <c r="J55" s="81"/>
      <c r="K55" s="81"/>
      <c r="L55" s="81"/>
      <c r="M55" s="81"/>
      <c r="N55" s="68"/>
    </row>
    <row r="56" spans="2:14" ht="15.75">
      <c r="B56" s="261"/>
      <c r="C56" s="262"/>
      <c r="D56" s="69" t="s">
        <v>25</v>
      </c>
      <c r="E56" s="83">
        <v>1.2</v>
      </c>
      <c r="F56" s="81"/>
      <c r="G56" s="81"/>
      <c r="H56" s="81"/>
      <c r="I56" s="81"/>
      <c r="J56" s="81"/>
      <c r="K56" s="81"/>
      <c r="L56" s="81"/>
      <c r="M56" s="81"/>
      <c r="N56" s="68"/>
    </row>
    <row r="57" spans="2:14" ht="20.25" customHeight="1">
      <c r="B57" s="259">
        <v>26</v>
      </c>
      <c r="C57" s="257" t="s">
        <v>187</v>
      </c>
      <c r="D57" s="29" t="s">
        <v>154</v>
      </c>
      <c r="E57" s="81"/>
      <c r="F57" s="84">
        <v>0.361</v>
      </c>
      <c r="G57" s="81"/>
      <c r="H57" s="85"/>
      <c r="I57" s="85"/>
      <c r="J57" s="81"/>
      <c r="K57" s="81"/>
      <c r="L57" s="81"/>
      <c r="M57" s="81"/>
      <c r="N57" s="68"/>
    </row>
    <row r="58" spans="2:14" ht="15.75">
      <c r="B58" s="261"/>
      <c r="C58" s="262"/>
      <c r="D58" s="69" t="s">
        <v>25</v>
      </c>
      <c r="E58" s="81"/>
      <c r="F58" s="84">
        <v>0.5</v>
      </c>
      <c r="G58" s="81"/>
      <c r="H58" s="85"/>
      <c r="I58" s="85"/>
      <c r="J58" s="81"/>
      <c r="K58" s="81"/>
      <c r="L58" s="81"/>
      <c r="M58" s="81"/>
      <c r="N58" s="68"/>
    </row>
    <row r="59" spans="2:14" ht="21.75" customHeight="1">
      <c r="B59" s="259">
        <v>27</v>
      </c>
      <c r="C59" s="257" t="s">
        <v>188</v>
      </c>
      <c r="D59" s="29" t="s">
        <v>154</v>
      </c>
      <c r="E59" s="81"/>
      <c r="F59" s="85">
        <v>0.129</v>
      </c>
      <c r="G59" s="81"/>
      <c r="H59" s="85"/>
      <c r="I59" s="85"/>
      <c r="J59" s="81"/>
      <c r="K59" s="81"/>
      <c r="L59" s="81"/>
      <c r="M59" s="81"/>
      <c r="N59" s="68"/>
    </row>
    <row r="60" spans="2:14" ht="24" customHeight="1">
      <c r="B60" s="261"/>
      <c r="C60" s="262"/>
      <c r="D60" s="69" t="s">
        <v>25</v>
      </c>
      <c r="E60" s="81"/>
      <c r="F60" s="83">
        <v>0.2</v>
      </c>
      <c r="G60" s="81"/>
      <c r="H60" s="85"/>
      <c r="I60" s="85"/>
      <c r="J60" s="81"/>
      <c r="K60" s="81"/>
      <c r="L60" s="81"/>
      <c r="M60" s="81"/>
      <c r="N60" s="68"/>
    </row>
    <row r="61" spans="2:14" ht="23.25" customHeight="1">
      <c r="B61" s="259">
        <v>28</v>
      </c>
      <c r="C61" s="257" t="s">
        <v>189</v>
      </c>
      <c r="D61" s="29" t="s">
        <v>154</v>
      </c>
      <c r="E61" s="81"/>
      <c r="F61" s="84">
        <v>0.054</v>
      </c>
      <c r="G61" s="81"/>
      <c r="H61" s="85"/>
      <c r="I61" s="85"/>
      <c r="J61" s="85"/>
      <c r="K61" s="85"/>
      <c r="L61" s="81"/>
      <c r="M61" s="81"/>
      <c r="N61" s="68"/>
    </row>
    <row r="62" spans="2:14" ht="21" customHeight="1">
      <c r="B62" s="261"/>
      <c r="C62" s="262"/>
      <c r="D62" s="69" t="s">
        <v>25</v>
      </c>
      <c r="E62" s="81"/>
      <c r="F62" s="84">
        <v>0.2</v>
      </c>
      <c r="G62" s="81"/>
      <c r="H62" s="85"/>
      <c r="I62" s="85"/>
      <c r="J62" s="85"/>
      <c r="K62" s="85"/>
      <c r="L62" s="81"/>
      <c r="M62" s="81"/>
      <c r="N62" s="68"/>
    </row>
    <row r="63" spans="2:14" ht="24.75" customHeight="1">
      <c r="B63" s="259">
        <v>29</v>
      </c>
      <c r="C63" s="257" t="s">
        <v>190</v>
      </c>
      <c r="D63" s="29" t="s">
        <v>191</v>
      </c>
      <c r="E63" s="81"/>
      <c r="F63" s="81"/>
      <c r="G63" s="81"/>
      <c r="H63" s="85"/>
      <c r="I63" s="81"/>
      <c r="J63" s="81"/>
      <c r="K63" s="81"/>
      <c r="L63" s="81"/>
      <c r="M63" s="81">
        <v>60</v>
      </c>
      <c r="N63" s="81">
        <v>60</v>
      </c>
    </row>
    <row r="64" spans="2:14" ht="15.75">
      <c r="B64" s="261"/>
      <c r="C64" s="262"/>
      <c r="D64" s="69" t="s">
        <v>25</v>
      </c>
      <c r="E64" s="81"/>
      <c r="F64" s="81"/>
      <c r="G64" s="81"/>
      <c r="H64" s="85"/>
      <c r="I64" s="81"/>
      <c r="J64" s="81"/>
      <c r="K64" s="83"/>
      <c r="L64" s="83"/>
      <c r="M64" s="83">
        <v>87</v>
      </c>
      <c r="N64" s="83">
        <v>87</v>
      </c>
    </row>
    <row r="65" spans="2:14" ht="37.5" customHeight="1">
      <c r="B65" s="259">
        <v>30</v>
      </c>
      <c r="C65" s="257" t="s">
        <v>192</v>
      </c>
      <c r="D65" s="29" t="s">
        <v>193</v>
      </c>
      <c r="E65" s="81"/>
      <c r="F65" s="81"/>
      <c r="G65" s="81"/>
      <c r="H65" s="81">
        <v>100</v>
      </c>
      <c r="I65" s="85"/>
      <c r="J65" s="81"/>
      <c r="K65" s="81"/>
      <c r="L65" s="81"/>
      <c r="M65" s="81"/>
      <c r="N65" s="68"/>
    </row>
    <row r="66" spans="2:14" ht="15.75">
      <c r="B66" s="261"/>
      <c r="C66" s="262"/>
      <c r="D66" s="69" t="s">
        <v>25</v>
      </c>
      <c r="E66" s="81"/>
      <c r="F66" s="81"/>
      <c r="G66" s="83"/>
      <c r="H66" s="83">
        <v>14.1227</v>
      </c>
      <c r="I66" s="85"/>
      <c r="J66" s="81"/>
      <c r="K66" s="81"/>
      <c r="L66" s="81"/>
      <c r="M66" s="81"/>
      <c r="N66" s="68"/>
    </row>
    <row r="67" spans="2:14" ht="38.25" customHeight="1">
      <c r="B67" s="259">
        <v>31</v>
      </c>
      <c r="C67" s="257" t="s">
        <v>194</v>
      </c>
      <c r="D67" s="29" t="s">
        <v>185</v>
      </c>
      <c r="E67" s="81"/>
      <c r="F67" s="81">
        <v>15</v>
      </c>
      <c r="G67" s="83"/>
      <c r="H67" s="81"/>
      <c r="I67" s="85"/>
      <c r="J67" s="81"/>
      <c r="K67" s="81"/>
      <c r="L67" s="81"/>
      <c r="M67" s="81"/>
      <c r="N67" s="68"/>
    </row>
    <row r="68" spans="2:14" ht="21" customHeight="1">
      <c r="B68" s="261"/>
      <c r="C68" s="262"/>
      <c r="D68" s="69" t="s">
        <v>25</v>
      </c>
      <c r="E68" s="81"/>
      <c r="F68" s="84">
        <v>3.6</v>
      </c>
      <c r="G68" s="83"/>
      <c r="H68" s="81"/>
      <c r="I68" s="85"/>
      <c r="J68" s="81"/>
      <c r="K68" s="81"/>
      <c r="L68" s="81"/>
      <c r="M68" s="81"/>
      <c r="N68" s="68"/>
    </row>
    <row r="69" spans="2:14" ht="30" customHeight="1">
      <c r="B69" s="259">
        <v>32</v>
      </c>
      <c r="C69" s="257" t="s">
        <v>195</v>
      </c>
      <c r="D69" s="29" t="s">
        <v>154</v>
      </c>
      <c r="E69" s="84">
        <v>0.07</v>
      </c>
      <c r="F69" s="84"/>
      <c r="G69" s="84"/>
      <c r="H69" s="85"/>
      <c r="I69" s="85"/>
      <c r="J69" s="81"/>
      <c r="K69" s="81"/>
      <c r="L69" s="81"/>
      <c r="M69" s="81"/>
      <c r="N69" s="68"/>
    </row>
    <row r="70" spans="2:14" ht="22.5" customHeight="1">
      <c r="B70" s="261"/>
      <c r="C70" s="262"/>
      <c r="D70" s="69" t="s">
        <v>25</v>
      </c>
      <c r="E70" s="92">
        <v>0.05</v>
      </c>
      <c r="F70" s="68"/>
      <c r="G70" s="68"/>
      <c r="H70" s="68"/>
      <c r="I70" s="68"/>
      <c r="J70" s="68"/>
      <c r="K70" s="68"/>
      <c r="L70" s="68"/>
      <c r="M70" s="68"/>
      <c r="N70" s="68"/>
    </row>
    <row r="71" spans="2:14" ht="21" customHeight="1">
      <c r="B71" s="259">
        <v>33</v>
      </c>
      <c r="C71" s="257" t="s">
        <v>204</v>
      </c>
      <c r="D71" s="12" t="s">
        <v>196</v>
      </c>
      <c r="E71" s="68"/>
      <c r="F71" s="68"/>
      <c r="G71" s="68"/>
      <c r="H71" s="68"/>
      <c r="I71" s="68"/>
      <c r="J71" s="68"/>
      <c r="K71" s="68"/>
      <c r="L71" s="68"/>
      <c r="M71" s="68">
        <v>8000</v>
      </c>
      <c r="N71" s="68">
        <v>8000</v>
      </c>
    </row>
    <row r="72" spans="2:14" ht="22.5" customHeight="1">
      <c r="B72" s="260"/>
      <c r="C72" s="254"/>
      <c r="D72" s="69" t="s">
        <v>197</v>
      </c>
      <c r="E72" s="68"/>
      <c r="F72" s="68"/>
      <c r="G72" s="68"/>
      <c r="H72" s="68"/>
      <c r="I72" s="68"/>
      <c r="J72" s="68"/>
      <c r="K72" s="68"/>
      <c r="L72" s="68"/>
      <c r="M72" s="68">
        <v>130</v>
      </c>
      <c r="N72" s="68">
        <v>130</v>
      </c>
    </row>
    <row r="73" spans="2:14" ht="27.75" customHeight="1">
      <c r="B73" s="259">
        <v>34</v>
      </c>
      <c r="C73" s="257" t="s">
        <v>198</v>
      </c>
      <c r="D73" s="12" t="s">
        <v>185</v>
      </c>
      <c r="E73" s="68"/>
      <c r="F73" s="68"/>
      <c r="G73" s="68"/>
      <c r="H73" s="68"/>
      <c r="I73" s="68"/>
      <c r="J73" s="68"/>
      <c r="K73" s="68">
        <v>15</v>
      </c>
      <c r="L73" s="68">
        <v>15</v>
      </c>
      <c r="M73" s="68"/>
      <c r="N73" s="68"/>
    </row>
    <row r="74" spans="2:14" ht="27" customHeight="1">
      <c r="B74" s="260"/>
      <c r="C74" s="254"/>
      <c r="D74" s="69" t="s">
        <v>25</v>
      </c>
      <c r="E74" s="68"/>
      <c r="F74" s="68"/>
      <c r="G74" s="68"/>
      <c r="H74" s="68"/>
      <c r="I74" s="68"/>
      <c r="J74" s="68"/>
      <c r="K74" s="68">
        <v>0.5</v>
      </c>
      <c r="L74" s="68">
        <v>0.5</v>
      </c>
      <c r="M74" s="68"/>
      <c r="N74" s="68"/>
    </row>
    <row r="75" spans="2:14" ht="32.25" customHeight="1">
      <c r="B75" s="259">
        <v>35</v>
      </c>
      <c r="C75" s="257" t="s">
        <v>199</v>
      </c>
      <c r="D75" s="12" t="s">
        <v>185</v>
      </c>
      <c r="E75" s="68"/>
      <c r="F75" s="68"/>
      <c r="G75" s="68"/>
      <c r="H75" s="68"/>
      <c r="I75" s="68"/>
      <c r="J75" s="68"/>
      <c r="K75" s="68"/>
      <c r="L75" s="68"/>
      <c r="M75" s="68">
        <v>15</v>
      </c>
      <c r="N75" s="68">
        <v>15</v>
      </c>
    </row>
    <row r="76" spans="2:14" ht="22.5" customHeight="1">
      <c r="B76" s="260"/>
      <c r="C76" s="254"/>
      <c r="D76" s="69" t="s">
        <v>25</v>
      </c>
      <c r="E76" s="68"/>
      <c r="F76" s="68"/>
      <c r="G76" s="68"/>
      <c r="H76" s="68"/>
      <c r="I76" s="68"/>
      <c r="J76" s="68"/>
      <c r="K76" s="68"/>
      <c r="L76" s="68"/>
      <c r="M76" s="68">
        <v>0.5</v>
      </c>
      <c r="N76" s="68">
        <v>0.5</v>
      </c>
    </row>
    <row r="77" spans="2:14" ht="31.5" customHeight="1">
      <c r="B77" s="259">
        <v>36</v>
      </c>
      <c r="C77" s="257" t="s">
        <v>200</v>
      </c>
      <c r="D77" s="12" t="s">
        <v>185</v>
      </c>
      <c r="E77" s="68"/>
      <c r="F77" s="68"/>
      <c r="G77" s="68"/>
      <c r="H77" s="68"/>
      <c r="I77" s="68">
        <v>15</v>
      </c>
      <c r="J77" s="68">
        <v>15</v>
      </c>
      <c r="K77" s="68"/>
      <c r="L77" s="68"/>
      <c r="M77" s="68"/>
      <c r="N77" s="68"/>
    </row>
    <row r="78" spans="2:14" ht="22.5" customHeight="1">
      <c r="B78" s="260"/>
      <c r="C78" s="254"/>
      <c r="D78" s="69" t="s">
        <v>25</v>
      </c>
      <c r="E78" s="68"/>
      <c r="F78" s="68"/>
      <c r="G78" s="68"/>
      <c r="H78" s="68"/>
      <c r="I78" s="68">
        <v>0.5</v>
      </c>
      <c r="J78" s="68">
        <v>0.5</v>
      </c>
      <c r="K78" s="68"/>
      <c r="L78" s="68"/>
      <c r="M78" s="68"/>
      <c r="N78" s="68"/>
    </row>
    <row r="79" spans="2:14" ht="29.25" customHeight="1">
      <c r="B79" s="259">
        <v>37</v>
      </c>
      <c r="C79" s="257" t="s">
        <v>201</v>
      </c>
      <c r="D79" s="12" t="s">
        <v>185</v>
      </c>
      <c r="E79" s="68"/>
      <c r="F79" s="68"/>
      <c r="G79" s="68"/>
      <c r="H79" s="68">
        <v>15</v>
      </c>
      <c r="I79" s="68"/>
      <c r="J79" s="68"/>
      <c r="K79" s="68"/>
      <c r="L79" s="68"/>
      <c r="M79" s="68"/>
      <c r="N79" s="68"/>
    </row>
    <row r="80" spans="2:14" ht="26.25" customHeight="1">
      <c r="B80" s="260"/>
      <c r="C80" s="254"/>
      <c r="D80" s="69" t="s">
        <v>25</v>
      </c>
      <c r="E80" s="68"/>
      <c r="F80" s="68"/>
      <c r="G80" s="68"/>
      <c r="H80" s="68">
        <v>3.1</v>
      </c>
      <c r="I80" s="68"/>
      <c r="J80" s="68"/>
      <c r="K80" s="68"/>
      <c r="L80" s="68"/>
      <c r="M80" s="68"/>
      <c r="N80" s="68"/>
    </row>
    <row r="81" spans="2:14" ht="30.75" customHeight="1">
      <c r="B81" s="251">
        <v>38</v>
      </c>
      <c r="C81" s="253" t="s">
        <v>202</v>
      </c>
      <c r="D81" s="12" t="s">
        <v>154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 ht="30.75" customHeight="1">
      <c r="B82" s="252"/>
      <c r="C82" s="254"/>
      <c r="D82" s="69" t="s">
        <v>197</v>
      </c>
      <c r="E82" s="68"/>
      <c r="F82" s="68"/>
      <c r="G82" s="68"/>
      <c r="H82" s="68"/>
      <c r="I82" s="68">
        <v>0.7</v>
      </c>
      <c r="J82" s="68">
        <v>0.7</v>
      </c>
      <c r="K82" s="68"/>
      <c r="L82" s="68"/>
      <c r="M82" s="68"/>
      <c r="N82" s="68"/>
    </row>
    <row r="83" spans="2:14" ht="35.25" customHeight="1">
      <c r="B83" s="255">
        <v>39</v>
      </c>
      <c r="C83" s="257" t="s">
        <v>203</v>
      </c>
      <c r="D83" s="12" t="s">
        <v>154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 ht="40.5" customHeight="1">
      <c r="B84" s="256"/>
      <c r="C84" s="258"/>
      <c r="D84" s="69" t="s">
        <v>197</v>
      </c>
      <c r="E84" s="68"/>
      <c r="F84" s="68"/>
      <c r="G84" s="68"/>
      <c r="H84" s="68"/>
      <c r="I84" s="68"/>
      <c r="J84" s="68"/>
      <c r="K84" s="68">
        <v>10.7</v>
      </c>
      <c r="L84" s="68">
        <v>10.7</v>
      </c>
      <c r="M84" s="68"/>
      <c r="N84" s="68"/>
    </row>
    <row r="85" spans="2:14" ht="22.5" customHeight="1">
      <c r="B85" s="86"/>
      <c r="C85" s="82"/>
      <c r="D85" s="12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2:14" s="61" customFormat="1" ht="15.75">
      <c r="B86" s="87"/>
      <c r="C86" s="88" t="s">
        <v>119</v>
      </c>
      <c r="D86" s="13" t="s">
        <v>25</v>
      </c>
      <c r="E86" s="94">
        <f>E82+E80+E78+E76+E74+E72+E70+E68+E66+E64+E62+E60+E58+E56+E54+E52+E50+E48+E46+E44+E42+E40+E38+E36+E34+E32+E30+E28+E26+E24+E22+E20+E18+E16+E14+E12+E10+E8+E84</f>
        <v>115.35000000000001</v>
      </c>
      <c r="F86" s="94">
        <f>F82+F80+F78+F76+F74+F72+F70+F68+F66+F64+F62+F60+F58+F56+F54+F52+F50+F48+F46+F44+F42+F40+F38+F36+F34+F32+F30+F28+F26+F24+F22+F20+F18+F16+F14+F12+F10+F8+F84</f>
        <v>52.2</v>
      </c>
      <c r="G86" s="94">
        <f aca="true" t="shared" si="0" ref="G86:N86">G82+G80+G78+G76+G74+G72+G70+G68+G66+G64+G62+G60+G58+G56+G54+G52+G50+G48+G46+G44+G42+G40+G38+G36+G34+G32+G30+G28+G26+G24+G22+G20+G18+G16+G14+G12+G10+G8+G84</f>
        <v>0</v>
      </c>
      <c r="H86" s="94">
        <f t="shared" si="0"/>
        <v>179.456</v>
      </c>
      <c r="I86" s="94">
        <f t="shared" si="0"/>
        <v>87.1409</v>
      </c>
      <c r="J86" s="94">
        <f t="shared" si="0"/>
        <v>87.1409</v>
      </c>
      <c r="K86" s="94">
        <f t="shared" si="0"/>
        <v>26.6</v>
      </c>
      <c r="L86" s="94">
        <f t="shared" si="0"/>
        <v>26.6</v>
      </c>
      <c r="M86" s="94">
        <f t="shared" si="0"/>
        <v>263.2</v>
      </c>
      <c r="N86" s="94">
        <f t="shared" si="0"/>
        <v>283.2</v>
      </c>
    </row>
  </sheetData>
  <sheetProtection/>
  <mergeCells count="92">
    <mergeCell ref="B1:N1"/>
    <mergeCell ref="B2:N2"/>
    <mergeCell ref="B4:B6"/>
    <mergeCell ref="C4:C6"/>
    <mergeCell ref="D4:D6"/>
    <mergeCell ref="E4:E6"/>
    <mergeCell ref="F4:F6"/>
    <mergeCell ref="G4:H4"/>
    <mergeCell ref="I4:N4"/>
    <mergeCell ref="G5:G6"/>
    <mergeCell ref="H5:H6"/>
    <mergeCell ref="I5:J5"/>
    <mergeCell ref="K5:L5"/>
    <mergeCell ref="M5:N5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81:B82"/>
    <mergeCell ref="C81:C82"/>
    <mergeCell ref="B83:B84"/>
    <mergeCell ref="C83:C84"/>
    <mergeCell ref="B75:B76"/>
    <mergeCell ref="C75:C76"/>
    <mergeCell ref="B77:B78"/>
    <mergeCell ref="C77:C78"/>
    <mergeCell ref="B79:B80"/>
    <mergeCell ref="C79:C80"/>
  </mergeCells>
  <printOptions/>
  <pageMargins left="0.984251968503937" right="0.3937007874015748" top="0.7874015748031497" bottom="0.7874015748031497" header="0.31496062992125984" footer="0.31496062992125984"/>
  <pageSetup fitToHeight="2" fitToWidth="1" horizontalDpi="600" verticalDpi="600" orientation="portrait" paperSize="9" scale="48" r:id="rId1"/>
  <headerFooter differentOddEven="1">
    <oddHeader>&amp;C&amp;"Times New Roman,обычный"&amp;14 3</oddHeader>
    <evenHeader>&amp;C&amp;"Times New Roman,обычный"&amp;14 4&amp;"Arial Cyr,обычный"&amp;10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Сыпачева О.А.</dc:creator>
  <cp:keywords/>
  <dc:description/>
  <cp:lastModifiedBy>User</cp:lastModifiedBy>
  <cp:lastPrinted>2015-09-24T03:51:22Z</cp:lastPrinted>
  <dcterms:created xsi:type="dcterms:W3CDTF">1999-06-10T04:43:59Z</dcterms:created>
  <dcterms:modified xsi:type="dcterms:W3CDTF">2015-09-24T03:51:36Z</dcterms:modified>
  <cp:category/>
  <cp:version/>
  <cp:contentType/>
  <cp:contentStatus/>
</cp:coreProperties>
</file>