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-165" windowWidth="12795" windowHeight="12165" tabRatio="517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доходы'!$A$1:$C$135</definedName>
    <definedName name="_xlnm.Print_Area" localSheetId="2">'ПРил.№3 Рд,пр, ЦС,ВР'!$A$1:$F$853</definedName>
    <definedName name="_xlnm.Print_Area" localSheetId="3">'Прил.№4 ведомств.'!$A$1:$G$996</definedName>
    <definedName name="_xlnm.Print_Area" localSheetId="4">'Прил.№5 ведомств.старая'!$A$1:$H$975</definedName>
    <definedName name="_xlnm.Print_Area" localSheetId="5">'прил.№5 МП'!$A$1:$G$545</definedName>
    <definedName name="_xlnm.Print_Area" localSheetId="6">'прил.№6 МП старая'!$A$1:$G$534</definedName>
    <definedName name="_xlnm.Print_Area" localSheetId="8">'прил.№7 источники'!$A$1:$F$16</definedName>
  </definedNames>
  <calcPr calcId="145621" calcMode="manual" iterate="1"/>
</workbook>
</file>

<file path=xl/calcChain.xml><?xml version="1.0" encoding="utf-8"?>
<calcChain xmlns="http://schemas.openxmlformats.org/spreadsheetml/2006/main">
  <c r="G286" i="4" l="1"/>
  <c r="G857" i="4" l="1"/>
  <c r="G244" i="4" l="1"/>
  <c r="G828" i="4" l="1"/>
  <c r="G428" i="4" l="1"/>
  <c r="G414" i="4"/>
  <c r="G401" i="4"/>
  <c r="G220" i="4" l="1"/>
  <c r="G222" i="4"/>
  <c r="G925" i="4" l="1"/>
  <c r="G936" i="4"/>
  <c r="G312" i="4"/>
  <c r="G45" i="4" l="1"/>
  <c r="G484" i="4" l="1"/>
  <c r="G167" i="4" l="1"/>
  <c r="G143" i="4"/>
  <c r="G19" i="4"/>
  <c r="G17" i="4"/>
  <c r="G825" i="4" l="1"/>
  <c r="G874" i="4"/>
  <c r="G863" i="4"/>
  <c r="G424" i="4"/>
  <c r="G798" i="4" l="1"/>
  <c r="G929" i="4"/>
  <c r="G769" i="4"/>
  <c r="G474" i="4"/>
  <c r="G628" i="4" l="1"/>
  <c r="G523" i="4"/>
  <c r="G613" i="4"/>
  <c r="G544" i="4"/>
  <c r="G833" i="4" l="1"/>
  <c r="G896" i="4" l="1"/>
  <c r="G881" i="4"/>
  <c r="G892" i="4"/>
  <c r="G877" i="4"/>
  <c r="G744" i="4" l="1"/>
  <c r="G418" i="4" l="1"/>
  <c r="G796" i="4"/>
  <c r="G173" i="4" l="1"/>
  <c r="G138" i="4"/>
  <c r="G108" i="4"/>
  <c r="G106" i="4"/>
  <c r="G53" i="4"/>
  <c r="G41" i="4"/>
  <c r="G822" i="4" l="1"/>
  <c r="G587" i="4" l="1"/>
  <c r="G933" i="4" l="1"/>
  <c r="G385" i="4" l="1"/>
  <c r="G393" i="4" l="1"/>
  <c r="G391" i="4" l="1"/>
  <c r="G450" i="4"/>
  <c r="G646" i="4" l="1"/>
  <c r="G622" i="4" l="1"/>
  <c r="G553" i="4"/>
  <c r="G811" i="4" l="1"/>
  <c r="G809" i="4"/>
  <c r="G938" i="4" l="1"/>
  <c r="G711" i="4" l="1"/>
  <c r="G643" i="4"/>
  <c r="G640" i="4"/>
  <c r="G616" i="4"/>
  <c r="G547" i="4"/>
  <c r="G267" i="4"/>
  <c r="G759" i="4" l="1"/>
  <c r="G993" i="4" l="1"/>
  <c r="G995" i="4"/>
  <c r="G991" i="4"/>
  <c r="G619" i="4"/>
  <c r="G607" i="4"/>
  <c r="G604" i="4"/>
  <c r="G357" i="4"/>
  <c r="G196" i="4"/>
  <c r="G194" i="4"/>
  <c r="G122" i="4"/>
  <c r="G120" i="4"/>
  <c r="G111" i="4"/>
  <c r="G945" i="4" l="1"/>
  <c r="G916" i="4"/>
  <c r="G889" i="4"/>
  <c r="G886" i="4"/>
  <c r="G871" i="4"/>
  <c r="G842" i="4"/>
  <c r="G784" i="4"/>
  <c r="G775" i="4"/>
  <c r="G773" i="4"/>
  <c r="G682" i="4"/>
  <c r="G635" i="4"/>
  <c r="G533" i="4"/>
  <c r="G502" i="4"/>
  <c r="G370" i="4"/>
  <c r="G368" i="4"/>
  <c r="G339" i="4"/>
  <c r="G178" i="4" l="1"/>
  <c r="G751" i="4" l="1"/>
  <c r="G757" i="4"/>
  <c r="G684" i="4"/>
  <c r="G686" i="4"/>
  <c r="G675" i="4"/>
  <c r="G746" i="4"/>
  <c r="G273" i="4" l="1"/>
  <c r="G717" i="4"/>
  <c r="G971" i="4" l="1"/>
  <c r="G961" i="4"/>
  <c r="G955" i="4"/>
  <c r="G145" i="4" l="1"/>
  <c r="G89" i="4" l="1"/>
  <c r="C132" i="1" l="1"/>
  <c r="G904" i="4" l="1"/>
  <c r="G906" i="4"/>
  <c r="G562" i="4" l="1"/>
  <c r="G140" i="4" l="1"/>
  <c r="F122" i="3"/>
  <c r="F121" i="3" s="1"/>
  <c r="G107" i="4"/>
  <c r="G47" i="4"/>
  <c r="G36" i="4"/>
  <c r="G295" i="4" l="1"/>
  <c r="G196" i="5" l="1"/>
  <c r="G724" i="4" l="1"/>
  <c r="G673" i="4"/>
  <c r="F319" i="3" l="1"/>
  <c r="G883" i="4"/>
  <c r="G34" i="4"/>
  <c r="G420" i="4" l="1"/>
  <c r="G410" i="4"/>
  <c r="G836" i="4"/>
  <c r="C77" i="1" l="1"/>
  <c r="G203" i="4" l="1"/>
  <c r="G865" i="4"/>
  <c r="F333" i="3" l="1"/>
  <c r="F332" i="3" s="1"/>
  <c r="G905" i="4"/>
  <c r="F254" i="3"/>
  <c r="F253" i="3" s="1"/>
  <c r="G829" i="4"/>
  <c r="G406" i="4" l="1"/>
  <c r="G195" i="5" l="1"/>
  <c r="G194" i="5" s="1"/>
  <c r="F490" i="3"/>
  <c r="F489" i="3" s="1"/>
  <c r="F488" i="3" s="1"/>
  <c r="G631" i="4"/>
  <c r="G630" i="4" s="1"/>
  <c r="G142" i="5"/>
  <c r="F389" i="3"/>
  <c r="G714" i="4" l="1"/>
  <c r="G512" i="5" l="1"/>
  <c r="G511" i="5" s="1"/>
  <c r="G514" i="5"/>
  <c r="G513" i="5" s="1"/>
  <c r="F666" i="3"/>
  <c r="F665" i="3" s="1"/>
  <c r="F668" i="3"/>
  <c r="F667" i="3" s="1"/>
  <c r="G668" i="4"/>
  <c r="G666" i="4"/>
  <c r="G369" i="4"/>
  <c r="G367" i="4"/>
  <c r="G366" i="4" s="1"/>
  <c r="F664" i="3" l="1"/>
  <c r="G510" i="5"/>
  <c r="F287" i="3"/>
  <c r="F286" i="3" s="1"/>
  <c r="G862" i="4"/>
  <c r="G148" i="4" l="1"/>
  <c r="F159" i="3" s="1"/>
  <c r="G581" i="4" l="1"/>
  <c r="G486" i="4" l="1"/>
  <c r="G485" i="4" s="1"/>
  <c r="G694" i="4" l="1"/>
  <c r="G24" i="6" l="1"/>
  <c r="G23" i="6" s="1"/>
  <c r="G22" i="6" s="1"/>
  <c r="G21" i="6" s="1"/>
  <c r="G20" i="6" s="1"/>
  <c r="G19" i="6" s="1"/>
  <c r="G18" i="6" s="1"/>
  <c r="G17" i="6" s="1"/>
  <c r="F18" i="3" l="1"/>
  <c r="F700" i="3"/>
  <c r="G21" i="4"/>
  <c r="G963" i="4"/>
  <c r="G953" i="4"/>
  <c r="G952" i="4" s="1"/>
  <c r="F289" i="3"/>
  <c r="G204" i="4" l="1"/>
  <c r="G202" i="4" s="1"/>
  <c r="G38" i="4"/>
  <c r="F709" i="3" l="1"/>
  <c r="G485" i="11"/>
  <c r="G484" i="11" s="1"/>
  <c r="G483" i="11" s="1"/>
  <c r="G30" i="5"/>
  <c r="G29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27" i="11"/>
  <c r="G26" i="11" s="1"/>
  <c r="G23" i="11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948" i="10" l="1"/>
  <c r="G947" i="10" s="1"/>
  <c r="G946" i="10" s="1"/>
  <c r="G945" i="10" s="1"/>
  <c r="G408" i="10"/>
  <c r="G407" i="10" s="1"/>
  <c r="G860" i="10"/>
  <c r="G434" i="10"/>
  <c r="G421" i="10" s="1"/>
  <c r="G657" i="10"/>
  <c r="G656" i="10" s="1"/>
  <c r="G650" i="10"/>
  <c r="G646" i="10" s="1"/>
  <c r="G1007" i="10"/>
  <c r="G116" i="10"/>
  <c r="G98" i="10" s="1"/>
  <c r="G838" i="10"/>
  <c r="G837" i="10" s="1"/>
  <c r="G396" i="11"/>
  <c r="G99" i="10"/>
  <c r="G859" i="10"/>
  <c r="G139" i="10"/>
  <c r="G779" i="10"/>
  <c r="G778" i="10" s="1"/>
  <c r="G993" i="10" s="1"/>
  <c r="G938" i="10"/>
  <c r="G937" i="10" s="1"/>
  <c r="G936" i="10" s="1"/>
  <c r="G935" i="10" s="1"/>
  <c r="G51" i="10"/>
  <c r="G50" i="10" s="1"/>
  <c r="G49" i="10" s="1"/>
  <c r="G48" i="10" s="1"/>
  <c r="G65" i="10"/>
  <c r="G61" i="10" s="1"/>
  <c r="G997" i="10" s="1"/>
  <c r="G613" i="10"/>
  <c r="G827" i="10"/>
  <c r="G968" i="10"/>
  <c r="G967" i="10" s="1"/>
  <c r="G966" i="10" s="1"/>
  <c r="G965" i="10" s="1"/>
  <c r="G964" i="10" s="1"/>
  <c r="G990" i="10" s="1"/>
  <c r="G344" i="10"/>
  <c r="G43" i="10"/>
  <c r="G42" i="10" s="1"/>
  <c r="G215" i="10"/>
  <c r="G214" i="10" s="1"/>
  <c r="G213" i="10" s="1"/>
  <c r="G212" i="10" s="1"/>
  <c r="G299" i="10"/>
  <c r="G280" i="10" s="1"/>
  <c r="G310" i="10"/>
  <c r="G306" i="10" s="1"/>
  <c r="G339" i="10"/>
  <c r="G375" i="10"/>
  <c r="G374" i="10" s="1"/>
  <c r="G792" i="10"/>
  <c r="G791" i="10" s="1"/>
  <c r="G786" i="10" s="1"/>
  <c r="G785" i="10" s="1"/>
  <c r="G493" i="11"/>
  <c r="G261" i="10"/>
  <c r="G260" i="10" s="1"/>
  <c r="G236" i="10" s="1"/>
  <c r="G235" i="10" s="1"/>
  <c r="G666" i="10"/>
  <c r="G662" i="10" s="1"/>
  <c r="G359" i="10"/>
  <c r="G707" i="10"/>
  <c r="G706" i="10" s="1"/>
  <c r="G705" i="10" s="1"/>
  <c r="G190" i="10"/>
  <c r="G186" i="10" s="1"/>
  <c r="G185" i="10" s="1"/>
  <c r="G184" i="10" s="1"/>
  <c r="G177" i="10" s="1"/>
  <c r="G391" i="10"/>
  <c r="G756" i="10"/>
  <c r="G755" i="10" s="1"/>
  <c r="G750" i="10" s="1"/>
  <c r="G749" i="10" s="1"/>
  <c r="G801" i="10"/>
  <c r="G1005" i="10" s="1"/>
  <c r="G849" i="10"/>
  <c r="G513" i="11"/>
  <c r="G512" i="11" s="1"/>
  <c r="G15" i="10"/>
  <c r="G14" i="10" s="1"/>
  <c r="G13" i="10" s="1"/>
  <c r="G12" i="10" s="1"/>
  <c r="G11" i="10" s="1"/>
  <c r="G10" i="10" s="1"/>
  <c r="G527" i="10"/>
  <c r="G526" i="10" s="1"/>
  <c r="G735" i="10"/>
  <c r="G734" i="10" s="1"/>
  <c r="G953" i="10"/>
  <c r="G741" i="10"/>
  <c r="G740" i="10" s="1"/>
  <c r="G32" i="10"/>
  <c r="G31" i="10" s="1"/>
  <c r="G134" i="10"/>
  <c r="G728" i="10"/>
  <c r="G727" i="10" s="1"/>
  <c r="G726" i="10" s="1"/>
  <c r="G422" i="11"/>
  <c r="G421" i="11" s="1"/>
  <c r="G420" i="11" s="1"/>
  <c r="G432" i="11" s="1"/>
  <c r="G194" i="11"/>
  <c r="G188" i="11"/>
  <c r="G249" i="11"/>
  <c r="G256" i="11"/>
  <c r="G521" i="11"/>
  <c r="G526" i="11"/>
  <c r="G158" i="11"/>
  <c r="G996" i="10"/>
  <c r="G73" i="10"/>
  <c r="G999" i="10" s="1"/>
  <c r="G147" i="10"/>
  <c r="G982" i="10" s="1"/>
  <c r="G169" i="10"/>
  <c r="G162" i="10" s="1"/>
  <c r="G161" i="10" s="1"/>
  <c r="G160" i="10" s="1"/>
  <c r="G159" i="10" s="1"/>
  <c r="G983" i="10" s="1"/>
  <c r="G998" i="10"/>
  <c r="G202" i="10"/>
  <c r="G381" i="10"/>
  <c r="G380" i="10" s="1"/>
  <c r="G464" i="10"/>
  <c r="G463" i="10" s="1"/>
  <c r="G462" i="10" s="1"/>
  <c r="G461" i="10" s="1"/>
  <c r="G460" i="10" s="1"/>
  <c r="G485" i="10"/>
  <c r="G479" i="10" s="1"/>
  <c r="G478" i="10" s="1"/>
  <c r="G477" i="10" s="1"/>
  <c r="G513" i="10"/>
  <c r="G508" i="10" s="1"/>
  <c r="G552" i="10"/>
  <c r="G547" i="10" s="1"/>
  <c r="G581" i="10"/>
  <c r="G580" i="10" s="1"/>
  <c r="G623" i="10"/>
  <c r="G622" i="10" s="1"/>
  <c r="G444" i="10"/>
  <c r="G443" i="10" s="1"/>
  <c r="G640" i="10"/>
  <c r="G639" i="10" s="1"/>
  <c r="G633" i="10" s="1"/>
  <c r="G641" i="10"/>
  <c r="G677" i="10"/>
  <c r="G676" i="10" s="1"/>
  <c r="G694" i="10"/>
  <c r="G693" i="10" s="1"/>
  <c r="G879" i="10"/>
  <c r="G878" i="10" s="1"/>
  <c r="G902" i="10"/>
  <c r="G901" i="10" s="1"/>
  <c r="G913" i="10"/>
  <c r="G909" i="10" s="1"/>
  <c r="G926" i="10" l="1"/>
  <c r="G925" i="10" s="1"/>
  <c r="G373" i="10"/>
  <c r="G358" i="10" s="1"/>
  <c r="G655" i="10"/>
  <c r="G645" i="10" s="1"/>
  <c r="G612" i="10"/>
  <c r="G826" i="10"/>
  <c r="G800" i="10" s="1"/>
  <c r="G848" i="10"/>
  <c r="G1003" i="10" s="1"/>
  <c r="G338" i="10"/>
  <c r="G337" i="10" s="1"/>
  <c r="G777" i="10"/>
  <c r="G770" i="10" s="1"/>
  <c r="G984" i="10" s="1"/>
  <c r="G390" i="10"/>
  <c r="G994" i="10" s="1"/>
  <c r="G279" i="10"/>
  <c r="G195" i="10"/>
  <c r="G546" i="10"/>
  <c r="G963" i="10"/>
  <c r="G121" i="10"/>
  <c r="G97" i="10" s="1"/>
  <c r="G56" i="10" s="1"/>
  <c r="G30" i="10"/>
  <c r="G29" i="10" s="1"/>
  <c r="G733" i="10"/>
  <c r="G725" i="10" s="1"/>
  <c r="G704" i="10" s="1"/>
  <c r="G989" i="10" s="1"/>
  <c r="G511" i="11"/>
  <c r="G520" i="11" s="1"/>
  <c r="G459" i="10"/>
  <c r="G900" i="10"/>
  <c r="G899" i="10" s="1"/>
  <c r="G675" i="10"/>
  <c r="G674" i="10" s="1"/>
  <c r="G1000" i="10"/>
  <c r="G1006" i="10"/>
  <c r="G995" i="10"/>
  <c r="G507" i="10"/>
  <c r="G278" i="10" l="1"/>
  <c r="G277" i="10" s="1"/>
  <c r="G987" i="10" s="1"/>
  <c r="G847" i="10"/>
  <c r="G784" i="10" s="1"/>
  <c r="G28" i="10"/>
  <c r="G27" i="10" s="1"/>
  <c r="G389" i="10"/>
  <c r="G388" i="10" s="1"/>
  <c r="G978" i="10"/>
  <c r="G1001" i="10"/>
  <c r="G1009" i="10" s="1"/>
  <c r="G506" i="10"/>
  <c r="G498" i="10" s="1"/>
  <c r="G673" i="10"/>
  <c r="G220" i="10" l="1"/>
  <c r="G981" i="10"/>
  <c r="G748" i="10"/>
  <c r="G985" i="10"/>
  <c r="G988" i="10"/>
  <c r="G986" i="10"/>
  <c r="G975" i="10" l="1"/>
  <c r="G977" i="10" s="1"/>
  <c r="G991" i="10"/>
  <c r="G17" i="11"/>
  <c r="G16" i="11" s="1"/>
  <c r="G15" i="11"/>
  <c r="G14" i="11" s="1"/>
  <c r="G13" i="11" l="1"/>
  <c r="G18" i="11" s="1"/>
  <c r="G12" i="11" l="1"/>
  <c r="G11" i="11" s="1"/>
  <c r="G10" i="11"/>
  <c r="G530" i="4"/>
  <c r="G131" i="11" s="1"/>
  <c r="G130" i="11" s="1"/>
  <c r="G129" i="11" l="1"/>
  <c r="G120" i="11"/>
  <c r="G119" i="11" s="1"/>
  <c r="G118" i="11" s="1"/>
  <c r="G136" i="11" s="1"/>
  <c r="E13" i="7" l="1"/>
  <c r="E12" i="7" s="1"/>
  <c r="D12" i="7"/>
  <c r="D20" i="7"/>
  <c r="D21" i="7" s="1"/>
  <c r="C49" i="1"/>
  <c r="C14" i="1"/>
  <c r="D15" i="7" l="1"/>
  <c r="D16" i="7" l="1"/>
  <c r="D14" i="7"/>
  <c r="D11" i="7" s="1"/>
  <c r="G51" i="11"/>
  <c r="G50" i="11" s="1"/>
  <c r="G49" i="11" s="1"/>
  <c r="G48" i="11" s="1"/>
  <c r="G47" i="11" s="1"/>
  <c r="G46" i="11" s="1"/>
  <c r="G54" i="11" s="1"/>
  <c r="G476" i="11" l="1"/>
  <c r="G475" i="11" s="1"/>
  <c r="G474" i="11" s="1"/>
  <c r="G470" i="11"/>
  <c r="G469" i="11" s="1"/>
  <c r="G468" i="11" s="1"/>
  <c r="G679" i="4"/>
  <c r="G460" i="11" l="1"/>
  <c r="G459" i="11" s="1"/>
  <c r="G458" i="11" s="1"/>
  <c r="G486" i="11" s="1"/>
  <c r="F125" i="3" l="1"/>
  <c r="F124" i="3" s="1"/>
  <c r="F123" i="3" s="1"/>
  <c r="G236" i="4"/>
  <c r="G235" i="4" s="1"/>
  <c r="G234" i="4" s="1"/>
  <c r="G233" i="4" s="1"/>
  <c r="G232" i="4" s="1"/>
  <c r="G231" i="4" s="1"/>
  <c r="G299" i="11" l="1"/>
  <c r="F818" i="3"/>
  <c r="F817" i="3" s="1"/>
  <c r="F816" i="3" s="1"/>
  <c r="F815" i="3" s="1"/>
  <c r="F814" i="3" s="1"/>
  <c r="G727" i="4"/>
  <c r="G307" i="11" s="1"/>
  <c r="G306" i="11" s="1"/>
  <c r="G305" i="11" s="1"/>
  <c r="G737" i="4"/>
  <c r="G736" i="4"/>
  <c r="G735" i="4" s="1"/>
  <c r="G734" i="4" s="1"/>
  <c r="G298" i="11" l="1"/>
  <c r="G297" i="11" s="1"/>
  <c r="G296" i="11" s="1"/>
  <c r="G295" i="11" s="1"/>
  <c r="G294" i="11" s="1"/>
  <c r="G300" i="11" s="1"/>
  <c r="G308" i="11"/>
  <c r="F807" i="3"/>
  <c r="F806" i="3" s="1"/>
  <c r="F805" i="3" s="1"/>
  <c r="F383" i="3"/>
  <c r="F785" i="3"/>
  <c r="F784" i="3" s="1"/>
  <c r="F783" i="3" s="1"/>
  <c r="F215" i="3"/>
  <c r="F214" i="3" s="1"/>
  <c r="F213" i="3" s="1"/>
  <c r="G313" i="5" l="1"/>
  <c r="G134" i="5"/>
  <c r="G478" i="4"/>
  <c r="G476" i="4"/>
  <c r="G175" i="4"/>
  <c r="G185" i="4"/>
  <c r="G761" i="4" l="1"/>
  <c r="G379" i="11" l="1"/>
  <c r="G378" i="11" s="1"/>
  <c r="G377" i="11" s="1"/>
  <c r="G376" i="11" s="1"/>
  <c r="G375" i="11" s="1"/>
  <c r="G374" i="11" s="1"/>
  <c r="G404" i="11" s="1"/>
  <c r="C80" i="1" l="1"/>
  <c r="F183" i="3" l="1"/>
  <c r="G543" i="5"/>
  <c r="G542" i="5" s="1"/>
  <c r="G541" i="5" s="1"/>
  <c r="G540" i="5" s="1"/>
  <c r="G539" i="5" s="1"/>
  <c r="G538" i="5" s="1"/>
  <c r="G544" i="5" s="1"/>
  <c r="F323" i="3"/>
  <c r="F322" i="3" s="1"/>
  <c r="F321" i="3" s="1"/>
  <c r="F320" i="3" s="1"/>
  <c r="G895" i="4"/>
  <c r="G894" i="4" s="1"/>
  <c r="G893" i="4" s="1"/>
  <c r="G1029" i="4" s="1"/>
  <c r="G772" i="4" l="1"/>
  <c r="G376" i="4" l="1"/>
  <c r="G509" i="11" s="1"/>
  <c r="G508" i="11" s="1"/>
  <c r="G507" i="11" s="1"/>
  <c r="G500" i="11" s="1"/>
  <c r="G499" i="11" s="1"/>
  <c r="G510" i="11" s="1"/>
  <c r="G663" i="4"/>
  <c r="G492" i="11" s="1"/>
  <c r="G491" i="11" s="1"/>
  <c r="G490" i="11" s="1"/>
  <c r="G489" i="11" l="1"/>
  <c r="G488" i="11" s="1"/>
  <c r="G487" i="11" s="1"/>
  <c r="G498" i="11"/>
  <c r="G536" i="5"/>
  <c r="G535" i="5" s="1"/>
  <c r="G534" i="5" s="1"/>
  <c r="G533" i="5" s="1"/>
  <c r="G537" i="5" s="1"/>
  <c r="G527" i="5"/>
  <c r="G526" i="5" s="1"/>
  <c r="G525" i="5" s="1"/>
  <c r="G530" i="5"/>
  <c r="G529" i="5" s="1"/>
  <c r="G528" i="5" s="1"/>
  <c r="F678" i="3"/>
  <c r="F677" i="3" s="1"/>
  <c r="F676" i="3" s="1"/>
  <c r="F675" i="3" s="1"/>
  <c r="G379" i="4"/>
  <c r="G378" i="4" s="1"/>
  <c r="G377" i="4" s="1"/>
  <c r="F107" i="3"/>
  <c r="F106" i="3" s="1"/>
  <c r="F105" i="3" s="1"/>
  <c r="F104" i="3" s="1"/>
  <c r="F110" i="3"/>
  <c r="F109" i="3" s="1"/>
  <c r="F108" i="3" s="1"/>
  <c r="G92" i="4"/>
  <c r="G91" i="4" s="1"/>
  <c r="G90" i="4" s="1"/>
  <c r="G181" i="5"/>
  <c r="G180" i="5" s="1"/>
  <c r="G179" i="5" s="1"/>
  <c r="F443" i="3"/>
  <c r="G532" i="5" l="1"/>
  <c r="G1028" i="4"/>
  <c r="G524" i="5"/>
  <c r="F762" i="3"/>
  <c r="G523" i="5" l="1"/>
  <c r="G456" i="11"/>
  <c r="G455" i="11" s="1"/>
  <c r="G454" i="11" s="1"/>
  <c r="G453" i="11" s="1"/>
  <c r="G452" i="11" s="1"/>
  <c r="G451" i="11" s="1"/>
  <c r="G457" i="11" s="1"/>
  <c r="G522" i="5" l="1"/>
  <c r="G531" i="5" l="1"/>
  <c r="F284" i="3"/>
  <c r="G277" i="11" l="1"/>
  <c r="G276" i="11" s="1"/>
  <c r="G275" i="11" s="1"/>
  <c r="G274" i="11" s="1"/>
  <c r="G273" i="11" s="1"/>
  <c r="G116" i="11"/>
  <c r="G115" i="11" s="1"/>
  <c r="G114" i="11" s="1"/>
  <c r="G113" i="11" s="1"/>
  <c r="G108" i="11"/>
  <c r="G107" i="11" s="1"/>
  <c r="G106" i="11" s="1"/>
  <c r="G105" i="11" s="1"/>
  <c r="G112" i="11"/>
  <c r="G111" i="11" s="1"/>
  <c r="G110" i="11" s="1"/>
  <c r="G109" i="11" s="1"/>
  <c r="G332" i="11"/>
  <c r="G331" i="11" s="1"/>
  <c r="G330" i="11" s="1"/>
  <c r="G329" i="11" s="1"/>
  <c r="G328" i="11" s="1"/>
  <c r="G327" i="11" s="1"/>
  <c r="G358" i="11"/>
  <c r="G357" i="11" s="1"/>
  <c r="G356" i="11" s="1"/>
  <c r="G348" i="11" l="1"/>
  <c r="G104" i="11"/>
  <c r="G103" i="11" s="1"/>
  <c r="G272" i="11"/>
  <c r="G293" i="11" s="1"/>
  <c r="F164" i="3"/>
  <c r="F163" i="3" s="1"/>
  <c r="F166" i="3"/>
  <c r="F165" i="3" s="1"/>
  <c r="F168" i="3"/>
  <c r="F167" i="3" s="1"/>
  <c r="G776" i="4"/>
  <c r="G774" i="4"/>
  <c r="G117" i="11" l="1"/>
  <c r="G771" i="4"/>
  <c r="G770" i="4" s="1"/>
  <c r="F162" i="3"/>
  <c r="F161" i="3" s="1"/>
  <c r="G368" i="11" l="1"/>
  <c r="G367" i="11" s="1"/>
  <c r="G366" i="11" s="1"/>
  <c r="G355" i="11" s="1"/>
  <c r="G354" i="11" s="1"/>
  <c r="G353" i="11" s="1"/>
  <c r="F354" i="3"/>
  <c r="F227" i="3"/>
  <c r="F226" i="3" s="1"/>
  <c r="F160" i="3"/>
  <c r="G767" i="4"/>
  <c r="G766" i="4" l="1"/>
  <c r="G765" i="4" s="1"/>
  <c r="G369" i="11"/>
  <c r="G326" i="11"/>
  <c r="G172" i="11"/>
  <c r="G171" i="11" s="1"/>
  <c r="G170" i="11" s="1"/>
  <c r="G764" i="4" l="1"/>
  <c r="G763" i="4" s="1"/>
  <c r="G356" i="4"/>
  <c r="G388" i="5" l="1"/>
  <c r="F594" i="3"/>
  <c r="G199" i="5" l="1"/>
  <c r="G198" i="5" s="1"/>
  <c r="G197" i="5" s="1"/>
  <c r="G634" i="4"/>
  <c r="G633" i="4" s="1"/>
  <c r="G629" i="4" s="1"/>
  <c r="F493" i="3" l="1"/>
  <c r="F492" i="3" s="1"/>
  <c r="F491" i="3" s="1"/>
  <c r="F487" i="3" s="1"/>
  <c r="G438" i="11"/>
  <c r="G437" i="11" s="1"/>
  <c r="G436" i="11" s="1"/>
  <c r="G435" i="11" s="1"/>
  <c r="G434" i="11" s="1"/>
  <c r="G433" i="11" s="1"/>
  <c r="G450" i="11" l="1"/>
  <c r="G419" i="11"/>
  <c r="F158" i="3"/>
  <c r="G147" i="4"/>
  <c r="G146" i="4" s="1"/>
  <c r="G30" i="11" l="1"/>
  <c r="G29" i="11" s="1"/>
  <c r="G28" i="11" s="1"/>
  <c r="G22" i="11" s="1"/>
  <c r="G21" i="11" s="1"/>
  <c r="G20" i="11" s="1"/>
  <c r="G175" i="5"/>
  <c r="G174" i="5" s="1"/>
  <c r="G173" i="5" s="1"/>
  <c r="G17" i="5"/>
  <c r="G16" i="5" s="1"/>
  <c r="F209" i="3"/>
  <c r="F208" i="3" s="1"/>
  <c r="F437" i="3"/>
  <c r="G797" i="4"/>
  <c r="G31" i="11" l="1"/>
  <c r="G901" i="4"/>
  <c r="G214" i="4"/>
  <c r="C131" i="1" l="1"/>
  <c r="C129" i="1"/>
  <c r="C126" i="1"/>
  <c r="C119" i="1"/>
  <c r="C113" i="1"/>
  <c r="C96" i="1"/>
  <c r="C91" i="1"/>
  <c r="C84" i="1"/>
  <c r="C82" i="1"/>
  <c r="C74" i="1"/>
  <c r="C73" i="1" s="1"/>
  <c r="C69" i="1"/>
  <c r="C66" i="1"/>
  <c r="C62" i="1"/>
  <c r="C59" i="1"/>
  <c r="C56" i="1"/>
  <c r="C54" i="1"/>
  <c r="C51" i="1"/>
  <c r="C50" i="1"/>
  <c r="C46" i="1"/>
  <c r="C45" i="1" s="1"/>
  <c r="C43" i="1"/>
  <c r="C41" i="1"/>
  <c r="C37" i="1"/>
  <c r="C36" i="1" s="1"/>
  <c r="C33" i="1"/>
  <c r="C31" i="1"/>
  <c r="C27" i="1"/>
  <c r="C26" i="1"/>
  <c r="C25" i="1"/>
  <c r="C19" i="1"/>
  <c r="C18" i="1" s="1"/>
  <c r="C13" i="1"/>
  <c r="C12" i="1" s="1"/>
  <c r="C86" i="1" l="1"/>
  <c r="C79" i="1" s="1"/>
  <c r="C58" i="1"/>
  <c r="C40" i="1"/>
  <c r="C39" i="1" s="1"/>
  <c r="C24" i="1"/>
  <c r="C23" i="1" s="1"/>
  <c r="C30" i="1"/>
  <c r="C128" i="1"/>
  <c r="C110" i="1"/>
  <c r="C109" i="1" s="1"/>
  <c r="C108" i="1" s="1"/>
  <c r="C53" i="1"/>
  <c r="C72" i="1" l="1"/>
  <c r="C71" i="1" s="1"/>
  <c r="C11" i="1"/>
  <c r="G243" i="5"/>
  <c r="G242" i="5" s="1"/>
  <c r="G241" i="5" s="1"/>
  <c r="G246" i="5"/>
  <c r="G245" i="5" s="1"/>
  <c r="G244" i="5" s="1"/>
  <c r="G409" i="5"/>
  <c r="G408" i="5" s="1"/>
  <c r="G407" i="5" s="1"/>
  <c r="G82" i="5"/>
  <c r="G81" i="5" s="1"/>
  <c r="G80" i="5" s="1"/>
  <c r="F768" i="3"/>
  <c r="F767" i="3" s="1"/>
  <c r="F766" i="3" s="1"/>
  <c r="F658" i="3"/>
  <c r="F657" i="3" s="1"/>
  <c r="F656" i="3" s="1"/>
  <c r="F632" i="3"/>
  <c r="F631" i="3" s="1"/>
  <c r="F630" i="3" s="1"/>
  <c r="F339" i="3"/>
  <c r="F338" i="3" s="1"/>
  <c r="F337" i="3" s="1"/>
  <c r="F336" i="3"/>
  <c r="F331" i="3"/>
  <c r="F330" i="3" s="1"/>
  <c r="F329" i="3" s="1"/>
  <c r="F277" i="3"/>
  <c r="F276" i="3" s="1"/>
  <c r="F275" i="3" s="1"/>
  <c r="F274" i="3"/>
  <c r="C135" i="1" l="1"/>
  <c r="F128" i="3"/>
  <c r="F127" i="3" s="1"/>
  <c r="F126" i="3" s="1"/>
  <c r="F83" i="3"/>
  <c r="F82" i="3" s="1"/>
  <c r="F81" i="3" s="1"/>
  <c r="F86" i="3"/>
  <c r="F85" i="3" s="1"/>
  <c r="F84" i="3" s="1"/>
  <c r="C19" i="7" l="1"/>
  <c r="E19" i="7" s="1"/>
  <c r="G982" i="4"/>
  <c r="G981" i="4" s="1"/>
  <c r="G980" i="4" s="1"/>
  <c r="G979" i="4" s="1"/>
  <c r="G977" i="4"/>
  <c r="G976" i="4" s="1"/>
  <c r="G975" i="4" s="1"/>
  <c r="G911" i="4"/>
  <c r="G910" i="4" s="1"/>
  <c r="G852" i="4"/>
  <c r="G851" i="4" s="1"/>
  <c r="G550" i="4"/>
  <c r="G432" i="4"/>
  <c r="G76" i="11" s="1"/>
  <c r="G75" i="11" s="1"/>
  <c r="G72" i="11" s="1"/>
  <c r="G71" i="11" s="1"/>
  <c r="G70" i="11" s="1"/>
  <c r="G69" i="11" s="1"/>
  <c r="G80" i="11" s="1"/>
  <c r="G359" i="4"/>
  <c r="G358" i="4" s="1"/>
  <c r="G319" i="4"/>
  <c r="G318" i="4" s="1"/>
  <c r="G71" i="4"/>
  <c r="G70" i="4" s="1"/>
  <c r="G69" i="4"/>
  <c r="G234" i="11" s="1"/>
  <c r="G233" i="11" s="1"/>
  <c r="G230" i="11" s="1"/>
  <c r="G974" i="4" l="1"/>
  <c r="F852" i="3"/>
  <c r="F848" i="3"/>
  <c r="F841" i="3"/>
  <c r="F839" i="3"/>
  <c r="F837" i="3"/>
  <c r="F831" i="3"/>
  <c r="F824" i="3"/>
  <c r="F797" i="3"/>
  <c r="F765" i="3"/>
  <c r="F701" i="3"/>
  <c r="F699" i="3" s="1"/>
  <c r="F693" i="3"/>
  <c r="F689" i="3"/>
  <c r="F683" i="3"/>
  <c r="F637" i="3"/>
  <c r="F618" i="3"/>
  <c r="F609" i="3"/>
  <c r="F606" i="3"/>
  <c r="F584" i="3"/>
  <c r="F582" i="3"/>
  <c r="F580" i="3"/>
  <c r="F569" i="3"/>
  <c r="F567" i="3"/>
  <c r="F562" i="3"/>
  <c r="F560" i="3"/>
  <c r="F557" i="3"/>
  <c r="F547" i="3"/>
  <c r="F524" i="3"/>
  <c r="F507" i="3"/>
  <c r="F486" i="3"/>
  <c r="F440" i="3"/>
  <c r="F434" i="3"/>
  <c r="F386" i="3"/>
  <c r="F363" i="3"/>
  <c r="F360" i="3"/>
  <c r="F356" i="3"/>
  <c r="F352" i="3"/>
  <c r="F343" i="3"/>
  <c r="F316" i="3"/>
  <c r="F313" i="3"/>
  <c r="F310" i="3"/>
  <c r="F308" i="3"/>
  <c r="F304" i="3"/>
  <c r="F301" i="3"/>
  <c r="F298" i="3"/>
  <c r="F266" i="3"/>
  <c r="F260" i="3"/>
  <c r="F246" i="3"/>
  <c r="F235" i="3"/>
  <c r="F207" i="3"/>
  <c r="F202" i="3"/>
  <c r="F196" i="3"/>
  <c r="F180" i="3"/>
  <c r="F58" i="3"/>
  <c r="F56" i="3"/>
  <c r="F42" i="3"/>
  <c r="F38" i="3"/>
  <c r="F26" i="3"/>
  <c r="F24" i="3"/>
  <c r="F16" i="3"/>
  <c r="F663" i="3"/>
  <c r="F671" i="3"/>
  <c r="F674" i="3"/>
  <c r="G509" i="5"/>
  <c r="G517" i="5"/>
  <c r="G520" i="5"/>
  <c r="G503" i="5"/>
  <c r="G501" i="5"/>
  <c r="G498" i="5"/>
  <c r="G491" i="5"/>
  <c r="G485" i="5"/>
  <c r="G473" i="5"/>
  <c r="G462" i="5"/>
  <c r="G455" i="5"/>
  <c r="G452" i="5"/>
  <c r="G449" i="5"/>
  <c r="G446" i="5"/>
  <c r="G444" i="5"/>
  <c r="G437" i="5"/>
  <c r="G434" i="5"/>
  <c r="G431" i="5"/>
  <c r="G420" i="5"/>
  <c r="G406" i="5"/>
  <c r="G374" i="5"/>
  <c r="G371" i="5"/>
  <c r="G353" i="5"/>
  <c r="G328" i="5"/>
  <c r="G298" i="5"/>
  <c r="G275" i="5"/>
  <c r="G268" i="5"/>
  <c r="G261" i="5"/>
  <c r="G253" i="5"/>
  <c r="G240" i="5"/>
  <c r="G239" i="5" s="1"/>
  <c r="G238" i="5"/>
  <c r="G221" i="5"/>
  <c r="G178" i="5"/>
  <c r="G172" i="5"/>
  <c r="G138" i="5"/>
  <c r="G143" i="5" s="1"/>
  <c r="G119" i="5"/>
  <c r="G79" i="5"/>
  <c r="G56" i="5"/>
  <c r="G47" i="5"/>
  <c r="G33" i="5"/>
  <c r="G15" i="5"/>
  <c r="G36" i="6" l="1"/>
  <c r="G40" i="6"/>
  <c r="F80" i="3"/>
  <c r="F79" i="3" s="1"/>
  <c r="F78" i="3"/>
  <c r="F91" i="3"/>
  <c r="F95" i="3"/>
  <c r="F99" i="3"/>
  <c r="F103" i="3"/>
  <c r="F120" i="3"/>
  <c r="F134" i="3"/>
  <c r="F139" i="3"/>
  <c r="F143" i="3"/>
  <c r="F146" i="3"/>
  <c r="F712" i="3"/>
  <c r="F720" i="3"/>
  <c r="F726" i="3"/>
  <c r="F740" i="3"/>
  <c r="G60" i="11"/>
  <c r="G59" i="11" s="1"/>
  <c r="G58" i="11" s="1"/>
  <c r="G57" i="11" s="1"/>
  <c r="G56" i="11" s="1"/>
  <c r="G55" i="11" s="1"/>
  <c r="G61" i="11" s="1"/>
  <c r="G419" i="4"/>
  <c r="G405" i="4"/>
  <c r="G404" i="4" s="1"/>
  <c r="G174" i="4"/>
  <c r="G169" i="4"/>
  <c r="G168" i="4" s="1"/>
  <c r="G121" i="4"/>
  <c r="G116" i="4"/>
  <c r="G115" i="4" s="1"/>
  <c r="G105" i="4"/>
  <c r="G104" i="4" s="1"/>
  <c r="G88" i="4"/>
  <c r="G87" i="4" s="1"/>
  <c r="G86" i="4" s="1"/>
  <c r="G1025" i="4" s="1"/>
  <c r="G80" i="4"/>
  <c r="G79" i="4" s="1"/>
  <c r="G76" i="4"/>
  <c r="G75" i="4" s="1"/>
  <c r="G74" i="4" s="1"/>
  <c r="G68" i="4"/>
  <c r="G66" i="4"/>
  <c r="G65" i="4" l="1"/>
  <c r="G423" i="4"/>
  <c r="G422" i="4" s="1"/>
  <c r="G421" i="4" s="1"/>
  <c r="G63" i="5"/>
  <c r="F730" i="3"/>
  <c r="G44" i="6"/>
  <c r="F737" i="3"/>
  <c r="C12" i="7" l="1"/>
  <c r="G43" i="6"/>
  <c r="G42" i="6" s="1"/>
  <c r="G41" i="6" s="1"/>
  <c r="G39" i="6"/>
  <c r="G38" i="6" s="1"/>
  <c r="G37" i="6" s="1"/>
  <c r="G35" i="6"/>
  <c r="G34" i="6" s="1"/>
  <c r="G33" i="6" s="1"/>
  <c r="G31" i="6"/>
  <c r="G30" i="6" s="1"/>
  <c r="G15" i="6"/>
  <c r="G14" i="6" s="1"/>
  <c r="G502" i="5"/>
  <c r="G500" i="5" s="1"/>
  <c r="G497" i="5" s="1"/>
  <c r="G496" i="5" s="1"/>
  <c r="G490" i="5" s="1"/>
  <c r="G489" i="5" s="1"/>
  <c r="G487" i="5"/>
  <c r="G486" i="5" s="1"/>
  <c r="G484" i="5" s="1"/>
  <c r="G483" i="5" s="1"/>
  <c r="G468" i="5"/>
  <c r="G467" i="5" s="1"/>
  <c r="G470" i="5" s="1"/>
  <c r="G461" i="5" s="1"/>
  <c r="G460" i="5" s="1"/>
  <c r="G459" i="5" s="1"/>
  <c r="G458" i="5" s="1"/>
  <c r="G457" i="5" s="1"/>
  <c r="G463" i="5" s="1"/>
  <c r="G454" i="5" s="1"/>
  <c r="G453" i="5" s="1"/>
  <c r="G451" i="5" s="1"/>
  <c r="G450" i="5" s="1"/>
  <c r="G448" i="5" s="1"/>
  <c r="G447" i="5" s="1"/>
  <c r="G445" i="5" s="1"/>
  <c r="G443" i="5" s="1"/>
  <c r="G436" i="5" s="1"/>
  <c r="G435" i="5" s="1"/>
  <c r="G433" i="5" s="1"/>
  <c r="G432" i="5" s="1"/>
  <c r="G430" i="5" s="1"/>
  <c r="G429" i="5" s="1"/>
  <c r="G422" i="5"/>
  <c r="G421" i="5" s="1"/>
  <c r="G419" i="5" s="1"/>
  <c r="G418" i="5" s="1"/>
  <c r="G417" i="5" s="1"/>
  <c r="G416" i="5" s="1"/>
  <c r="G415" i="5" s="1"/>
  <c r="G424" i="5" s="1"/>
  <c r="G414" i="5"/>
  <c r="G411" i="5"/>
  <c r="G405" i="5" s="1"/>
  <c r="G403" i="5" s="1"/>
  <c r="G399" i="5"/>
  <c r="G398" i="5" s="1"/>
  <c r="G401" i="5" s="1"/>
  <c r="G395" i="5"/>
  <c r="G394" i="5" s="1"/>
  <c r="G397" i="5" s="1"/>
  <c r="G391" i="5"/>
  <c r="G390" i="5" s="1"/>
  <c r="G393" i="5" s="1"/>
  <c r="G387" i="5"/>
  <c r="G386" i="5" s="1"/>
  <c r="G389" i="5" s="1"/>
  <c r="G377" i="5"/>
  <c r="G376" i="5" s="1"/>
  <c r="G373" i="5" s="1"/>
  <c r="G372" i="5" s="1"/>
  <c r="G370" i="5" s="1"/>
  <c r="G369" i="5" s="1"/>
  <c r="G366" i="5"/>
  <c r="G365" i="5" s="1"/>
  <c r="G356" i="5"/>
  <c r="G355" i="5" s="1"/>
  <c r="G352" i="5" s="1"/>
  <c r="G351" i="5" s="1"/>
  <c r="G348" i="5"/>
  <c r="G347" i="5" s="1"/>
  <c r="G344" i="5"/>
  <c r="G343" i="5" s="1"/>
  <c r="G340" i="5"/>
  <c r="G339" i="5" s="1"/>
  <c r="G320" i="5"/>
  <c r="G319" i="5" s="1"/>
  <c r="G316" i="5"/>
  <c r="G315" i="5" s="1"/>
  <c r="G312" i="5"/>
  <c r="G311" i="5" s="1"/>
  <c r="G310" i="5"/>
  <c r="G293" i="5"/>
  <c r="G292" i="5" s="1"/>
  <c r="G289" i="5"/>
  <c r="G288" i="5" s="1"/>
  <c r="G287" i="5"/>
  <c r="G286" i="5" s="1"/>
  <c r="G285" i="5" s="1"/>
  <c r="G284" i="5" s="1"/>
  <c r="G212" i="5"/>
  <c r="G211" i="5" s="1"/>
  <c r="G207" i="5"/>
  <c r="G206" i="5" s="1"/>
  <c r="G210" i="5" s="1"/>
  <c r="G204" i="5"/>
  <c r="G203" i="5" s="1"/>
  <c r="G202" i="5" s="1"/>
  <c r="G201" i="5"/>
  <c r="G193" i="5"/>
  <c r="G188" i="5"/>
  <c r="G187" i="5" s="1"/>
  <c r="G184" i="5"/>
  <c r="G183" i="5" s="1"/>
  <c r="G177" i="5" s="1"/>
  <c r="G176" i="5" s="1"/>
  <c r="G171" i="5" s="1"/>
  <c r="G170" i="5" s="1"/>
  <c r="G162" i="5"/>
  <c r="G161" i="5" s="1"/>
  <c r="G160" i="5"/>
  <c r="G158" i="5"/>
  <c r="G157" i="5" s="1"/>
  <c r="G154" i="5"/>
  <c r="G153" i="5" s="1"/>
  <c r="G156" i="5" s="1"/>
  <c r="G150" i="5"/>
  <c r="G149" i="5" s="1"/>
  <c r="G152" i="5" s="1"/>
  <c r="G146" i="5"/>
  <c r="G145" i="5" s="1"/>
  <c r="G141" i="5"/>
  <c r="G140" i="5" s="1"/>
  <c r="G137" i="5" s="1"/>
  <c r="G136" i="5" s="1"/>
  <c r="G133" i="5"/>
  <c r="G132" i="5" s="1"/>
  <c r="G129" i="5"/>
  <c r="G128" i="5" s="1"/>
  <c r="G125" i="5"/>
  <c r="G124" i="5" s="1"/>
  <c r="G118" i="5" s="1"/>
  <c r="G117" i="5" s="1"/>
  <c r="G116" i="5" s="1"/>
  <c r="G93" i="5"/>
  <c r="G92" i="5" s="1"/>
  <c r="G97" i="5" s="1"/>
  <c r="G89" i="5"/>
  <c r="G88" i="5" s="1"/>
  <c r="G91" i="5" s="1"/>
  <c r="G87" i="5"/>
  <c r="G85" i="5"/>
  <c r="G84" i="5" s="1"/>
  <c r="G78" i="5"/>
  <c r="G76" i="5"/>
  <c r="G62" i="5"/>
  <c r="G61" i="5" s="1"/>
  <c r="G60" i="5" s="1"/>
  <c r="G59" i="5" s="1"/>
  <c r="G58" i="5" s="1"/>
  <c r="G64" i="5" s="1"/>
  <c r="G55" i="5"/>
  <c r="G46" i="5"/>
  <c r="G45" i="5" s="1"/>
  <c r="G44" i="5" s="1"/>
  <c r="G43" i="5" s="1"/>
  <c r="G42" i="5" s="1"/>
  <c r="G48" i="5" s="1"/>
  <c r="G24" i="5"/>
  <c r="G14" i="5" s="1"/>
  <c r="G13" i="5" s="1"/>
  <c r="G123" i="5" l="1"/>
  <c r="G122" i="5" s="1"/>
  <c r="G121" i="5" s="1"/>
  <c r="G192" i="5"/>
  <c r="G191" i="5" s="1"/>
  <c r="G237" i="5"/>
  <c r="G12" i="6"/>
  <c r="G11" i="6" s="1"/>
  <c r="G10" i="6" s="1"/>
  <c r="G13" i="6"/>
  <c r="G519" i="5" s="1"/>
  <c r="G518" i="5" s="1"/>
  <c r="G516" i="5" s="1"/>
  <c r="G515" i="5" s="1"/>
  <c r="G508" i="5" s="1"/>
  <c r="G507" i="5" s="1"/>
  <c r="G506" i="5" s="1"/>
  <c r="G428" i="5"/>
  <c r="G427" i="5" s="1"/>
  <c r="G426" i="5" s="1"/>
  <c r="G438" i="5" s="1"/>
  <c r="G75" i="5"/>
  <c r="G402" i="5"/>
  <c r="G499" i="5"/>
  <c r="G495" i="5" s="1"/>
  <c r="G494" i="5" s="1"/>
  <c r="G29" i="6"/>
  <c r="G28" i="6" s="1"/>
  <c r="G27" i="6" s="1"/>
  <c r="G18" i="5"/>
  <c r="G12" i="5"/>
  <c r="G11" i="5" s="1"/>
  <c r="G10" i="5"/>
  <c r="G164" i="5"/>
  <c r="G309" i="5"/>
  <c r="G308" i="5" s="1"/>
  <c r="G307" i="5" s="1"/>
  <c r="G442" i="5"/>
  <c r="G441" i="5" s="1"/>
  <c r="G440" i="5" s="1"/>
  <c r="G439" i="5" s="1"/>
  <c r="G456" i="5" s="1"/>
  <c r="F851" i="3" s="1"/>
  <c r="F832" i="3"/>
  <c r="F830" i="3" s="1"/>
  <c r="F776" i="3"/>
  <c r="F775" i="3" s="1"/>
  <c r="F774" i="3" s="1"/>
  <c r="F770" i="3"/>
  <c r="F769" i="3" s="1"/>
  <c r="F764" i="3" s="1"/>
  <c r="F763" i="3" s="1"/>
  <c r="F761" i="3"/>
  <c r="F760" i="3" s="1"/>
  <c r="F756" i="3" s="1"/>
  <c r="F755" i="3" s="1"/>
  <c r="F754" i="3" s="1"/>
  <c r="F749" i="3"/>
  <c r="F748" i="3" s="1"/>
  <c r="F747" i="3" s="1"/>
  <c r="F745" i="3"/>
  <c r="F744" i="3" s="1"/>
  <c r="F742" i="3"/>
  <c r="F741" i="3" s="1"/>
  <c r="F739" i="3"/>
  <c r="F729" i="3"/>
  <c r="F728" i="3" s="1"/>
  <c r="F727" i="3" s="1"/>
  <c r="F725" i="3"/>
  <c r="F719" i="3"/>
  <c r="F718" i="3" s="1"/>
  <c r="F711" i="3"/>
  <c r="F710" i="3" s="1"/>
  <c r="F708" i="3" s="1"/>
  <c r="F698" i="3" s="1"/>
  <c r="F697" i="3" s="1"/>
  <c r="F696" i="3" s="1"/>
  <c r="F692" i="3" s="1"/>
  <c r="F684" i="3"/>
  <c r="F682" i="3" s="1"/>
  <c r="F673" i="3" s="1"/>
  <c r="F672" i="3" s="1"/>
  <c r="F670" i="3" s="1"/>
  <c r="F669" i="3" s="1"/>
  <c r="F662" i="3" s="1"/>
  <c r="F661" i="3" s="1"/>
  <c r="F660" i="3" s="1"/>
  <c r="F646" i="3"/>
  <c r="F643" i="3" s="1"/>
  <c r="F641" i="3" s="1"/>
  <c r="F636" i="3" s="1"/>
  <c r="F635" i="3" s="1"/>
  <c r="F634" i="3" s="1"/>
  <c r="F629" i="3" s="1"/>
  <c r="F628" i="3" s="1"/>
  <c r="F626" i="3"/>
  <c r="F625" i="3" s="1"/>
  <c r="F623" i="3"/>
  <c r="F622" i="3" s="1"/>
  <c r="F620" i="3"/>
  <c r="F619" i="3" s="1"/>
  <c r="F617" i="3"/>
  <c r="F615" i="3"/>
  <c r="F602" i="3"/>
  <c r="F601" i="3" s="1"/>
  <c r="F599" i="3"/>
  <c r="F598" i="3" s="1"/>
  <c r="F596" i="3"/>
  <c r="F595" i="3" s="1"/>
  <c r="F593" i="3"/>
  <c r="F592" i="3" s="1"/>
  <c r="F573" i="3"/>
  <c r="F572" i="3" s="1"/>
  <c r="F571" i="3" s="1"/>
  <c r="F570" i="3" s="1"/>
  <c r="F568" i="3" s="1"/>
  <c r="F566" i="3" s="1"/>
  <c r="F561" i="3"/>
  <c r="F559" i="3"/>
  <c r="F556" i="3" s="1"/>
  <c r="F555" i="3" s="1"/>
  <c r="F455" i="3"/>
  <c r="F454" i="3" s="1"/>
  <c r="F452" i="3"/>
  <c r="F451" i="3" s="1"/>
  <c r="F447" i="3"/>
  <c r="F446" i="3" s="1"/>
  <c r="F445" i="3" s="1"/>
  <c r="F442" i="3"/>
  <c r="F441" i="3" s="1"/>
  <c r="F439" i="3" s="1"/>
  <c r="F438" i="3" s="1"/>
  <c r="F436" i="3"/>
  <c r="F435" i="3" s="1"/>
  <c r="F433" i="3" s="1"/>
  <c r="F432" i="3" s="1"/>
  <c r="F427" i="3"/>
  <c r="F426" i="3" s="1"/>
  <c r="F424" i="3"/>
  <c r="F423" i="3" s="1"/>
  <c r="F422" i="3" s="1"/>
  <c r="F420" i="3"/>
  <c r="F419" i="3" s="1"/>
  <c r="F417" i="3"/>
  <c r="F416" i="3" s="1"/>
  <c r="F415" i="3" s="1"/>
  <c r="F388" i="3"/>
  <c r="F387" i="3" s="1"/>
  <c r="F385" i="3" s="1"/>
  <c r="F384" i="3" s="1"/>
  <c r="F382" i="3"/>
  <c r="F381" i="3" s="1"/>
  <c r="F379" i="3"/>
  <c r="F378" i="3" s="1"/>
  <c r="F377" i="3" s="1"/>
  <c r="F375" i="3"/>
  <c r="F374" i="3" s="1"/>
  <c r="F353" i="3"/>
  <c r="F351" i="3" s="1"/>
  <c r="F345" i="3"/>
  <c r="F344" i="3" s="1"/>
  <c r="F342" i="3" s="1"/>
  <c r="F341" i="3" s="1"/>
  <c r="F335" i="3"/>
  <c r="F334" i="3" s="1"/>
  <c r="F291" i="3"/>
  <c r="F290" i="3" s="1"/>
  <c r="F288" i="3" s="1"/>
  <c r="F273" i="3"/>
  <c r="F272" i="3" s="1"/>
  <c r="F262" i="3"/>
  <c r="F261" i="3" s="1"/>
  <c r="F259" i="3" s="1"/>
  <c r="F258" i="3" s="1"/>
  <c r="F242" i="3"/>
  <c r="F241" i="3" s="1"/>
  <c r="F188" i="3"/>
  <c r="F187" i="3" s="1"/>
  <c r="F186" i="3" s="1"/>
  <c r="F185" i="3" s="1"/>
  <c r="F184" i="3" s="1"/>
  <c r="F182" i="3" s="1"/>
  <c r="F181" i="3" s="1"/>
  <c r="F179" i="3" s="1"/>
  <c r="F157" i="3"/>
  <c r="F145" i="3"/>
  <c r="F144" i="3" s="1"/>
  <c r="F142" i="3"/>
  <c r="F141" i="3" s="1"/>
  <c r="F138" i="3"/>
  <c r="F133" i="3"/>
  <c r="F132" i="3" s="1"/>
  <c r="F119" i="3"/>
  <c r="F118" i="3" s="1"/>
  <c r="F116" i="3"/>
  <c r="F114" i="3"/>
  <c r="F102" i="3"/>
  <c r="F101" i="3" s="1"/>
  <c r="F100" i="3" s="1"/>
  <c r="F98" i="3"/>
  <c r="F97" i="3" s="1"/>
  <c r="F96" i="3" s="1"/>
  <c r="F94" i="3"/>
  <c r="F93" i="3" s="1"/>
  <c r="F92" i="3" s="1"/>
  <c r="F90" i="3"/>
  <c r="F89" i="3" s="1"/>
  <c r="F88" i="3" s="1"/>
  <c r="F77" i="3"/>
  <c r="F65" i="3"/>
  <c r="F63" i="3"/>
  <c r="F57" i="3" s="1"/>
  <c r="F55" i="3" s="1"/>
  <c r="F27" i="3"/>
  <c r="F25" i="3" s="1"/>
  <c r="F23" i="3" s="1"/>
  <c r="F22" i="3" s="1"/>
  <c r="F21" i="3" s="1"/>
  <c r="F20" i="3" s="1"/>
  <c r="F19" i="3" s="1"/>
  <c r="D14" i="2" s="1"/>
  <c r="F17" i="3"/>
  <c r="F15" i="3" s="1"/>
  <c r="F373" i="3" l="1"/>
  <c r="F282" i="3"/>
  <c r="F285" i="3"/>
  <c r="F14" i="3"/>
  <c r="F13" i="3" s="1"/>
  <c r="F12" i="3" s="1"/>
  <c r="F11" i="3" s="1"/>
  <c r="D13" i="2" s="1"/>
  <c r="F759" i="3"/>
  <c r="F758" i="3" s="1"/>
  <c r="G9" i="6"/>
  <c r="G200" i="5"/>
  <c r="G74" i="5"/>
  <c r="G73" i="5" s="1"/>
  <c r="G72" i="5" s="1"/>
  <c r="G83" i="5" s="1"/>
  <c r="G505" i="5"/>
  <c r="G521" i="5" s="1"/>
  <c r="G236" i="5"/>
  <c r="F76" i="3"/>
  <c r="F201" i="3"/>
  <c r="F200" i="3" s="1"/>
  <c r="F199" i="3" s="1"/>
  <c r="F198" i="3" s="1"/>
  <c r="F197" i="3" s="1"/>
  <c r="F614" i="3"/>
  <c r="F113" i="3"/>
  <c r="F558" i="3"/>
  <c r="F554" i="3" s="1"/>
  <c r="F62" i="3"/>
  <c r="F61" i="3" s="1"/>
  <c r="F60" i="3" s="1"/>
  <c r="F59" i="3" s="1"/>
  <c r="F340" i="3"/>
  <c r="F640" i="3"/>
  <c r="F681" i="3"/>
  <c r="F680" i="3" s="1"/>
  <c r="F717" i="3"/>
  <c r="F736" i="3"/>
  <c r="F735" i="3" s="1"/>
  <c r="F829" i="3"/>
  <c r="F828" i="3" s="1"/>
  <c r="G504" i="5"/>
  <c r="F565" i="3"/>
  <c r="F564" i="3" s="1"/>
  <c r="G425" i="5"/>
  <c r="G26" i="6"/>
  <c r="G25" i="6" s="1"/>
  <c r="G45" i="6" s="1"/>
  <c r="F87" i="3"/>
  <c r="F695" i="3"/>
  <c r="D43" i="2" s="1"/>
  <c r="G994" i="4"/>
  <c r="G990" i="4"/>
  <c r="G972" i="4"/>
  <c r="G970" i="4"/>
  <c r="G964" i="4"/>
  <c r="G962" i="4"/>
  <c r="G960" i="4"/>
  <c r="G954" i="4"/>
  <c r="G951" i="4" s="1"/>
  <c r="G950" i="4" s="1"/>
  <c r="G949" i="4" s="1"/>
  <c r="G948" i="4" s="1"/>
  <c r="G944" i="4"/>
  <c r="G943" i="4" s="1"/>
  <c r="G942" i="4" s="1"/>
  <c r="G941" i="4" s="1"/>
  <c r="G940" i="4" s="1"/>
  <c r="G939" i="4" s="1"/>
  <c r="G935" i="4"/>
  <c r="G932" i="4"/>
  <c r="G931" i="4" s="1"/>
  <c r="G928" i="4"/>
  <c r="G926" i="4"/>
  <c r="G924" i="4"/>
  <c r="G918" i="4"/>
  <c r="G917" i="4" s="1"/>
  <c r="G915" i="4"/>
  <c r="G914" i="4" s="1"/>
  <c r="G913" i="4" s="1"/>
  <c r="G908" i="4"/>
  <c r="G907" i="4" s="1"/>
  <c r="G903" i="4"/>
  <c r="G902" i="4" s="1"/>
  <c r="G891" i="4"/>
  <c r="G890" i="4" s="1"/>
  <c r="G888" i="4"/>
  <c r="G887" i="4" s="1"/>
  <c r="G885" i="4"/>
  <c r="G884" i="4" s="1"/>
  <c r="G882" i="4"/>
  <c r="G880" i="4"/>
  <c r="G876" i="4"/>
  <c r="G875" i="4" s="1"/>
  <c r="G873" i="4"/>
  <c r="G872" i="4" s="1"/>
  <c r="G870" i="4"/>
  <c r="G869" i="4" s="1"/>
  <c r="G864" i="4"/>
  <c r="G861" i="4" s="1"/>
  <c r="G858" i="4"/>
  <c r="G849" i="4"/>
  <c r="G848" i="4" s="1"/>
  <c r="G847" i="4"/>
  <c r="G841" i="4"/>
  <c r="G840" i="4" s="1"/>
  <c r="G838" i="4"/>
  <c r="G837" i="4" s="1"/>
  <c r="G835" i="4"/>
  <c r="G834" i="4" s="1"/>
  <c r="G821" i="4"/>
  <c r="G820" i="4" s="1"/>
  <c r="G818" i="4"/>
  <c r="G817" i="4" s="1"/>
  <c r="G814" i="4"/>
  <c r="F229" i="3"/>
  <c r="F228" i="3" s="1"/>
  <c r="F225" i="3" s="1"/>
  <c r="G808" i="4"/>
  <c r="G804" i="4"/>
  <c r="G803" i="4" s="1"/>
  <c r="G802" i="4" s="1"/>
  <c r="G795" i="4"/>
  <c r="G790" i="4"/>
  <c r="G789" i="4" s="1"/>
  <c r="G788" i="4" s="1"/>
  <c r="G787" i="4" s="1"/>
  <c r="G786" i="4" s="1"/>
  <c r="G783" i="4"/>
  <c r="G782" i="4" s="1"/>
  <c r="G781" i="4" s="1"/>
  <c r="G780" i="4" s="1"/>
  <c r="G779" i="4" s="1"/>
  <c r="G778" i="4" s="1"/>
  <c r="G760" i="4"/>
  <c r="G758" i="4"/>
  <c r="G756" i="4"/>
  <c r="G752" i="4"/>
  <c r="G750" i="4"/>
  <c r="G324" i="11"/>
  <c r="G323" i="11" s="1"/>
  <c r="G320" i="11" s="1"/>
  <c r="G319" i="11" s="1"/>
  <c r="G318" i="11" s="1"/>
  <c r="G317" i="11" s="1"/>
  <c r="G743" i="4"/>
  <c r="G732" i="4"/>
  <c r="G731" i="4" s="1"/>
  <c r="G729" i="4"/>
  <c r="G728" i="4" s="1"/>
  <c r="G726" i="4"/>
  <c r="G725" i="4" s="1"/>
  <c r="G710" i="4"/>
  <c r="G709" i="4" s="1"/>
  <c r="G705" i="4"/>
  <c r="G704" i="4" s="1"/>
  <c r="G702" i="4"/>
  <c r="G701" i="4" s="1"/>
  <c r="G699" i="4"/>
  <c r="G698" i="4" s="1"/>
  <c r="G696" i="4"/>
  <c r="G695" i="4" s="1"/>
  <c r="G685" i="4"/>
  <c r="G683" i="4"/>
  <c r="G681" i="4"/>
  <c r="G674" i="4"/>
  <c r="G672" i="4"/>
  <c r="G667" i="4"/>
  <c r="G665" i="4"/>
  <c r="G662" i="4"/>
  <c r="G661" i="4" s="1"/>
  <c r="G658" i="4"/>
  <c r="G651" i="4"/>
  <c r="G650" i="4" s="1"/>
  <c r="G649" i="4" s="1"/>
  <c r="G648" i="4" s="1"/>
  <c r="G645" i="4"/>
  <c r="G644" i="4" s="1"/>
  <c r="G642" i="4"/>
  <c r="G641" i="4" s="1"/>
  <c r="G639" i="4"/>
  <c r="G638" i="4" s="1"/>
  <c r="G627" i="4"/>
  <c r="G626" i="4" s="1"/>
  <c r="G625" i="4" s="1"/>
  <c r="G624" i="4" s="1"/>
  <c r="F477" i="3"/>
  <c r="F471" i="3"/>
  <c r="G610" i="4"/>
  <c r="F468" i="3" s="1"/>
  <c r="F462" i="3"/>
  <c r="G601" i="4"/>
  <c r="G600" i="4" s="1"/>
  <c r="G599" i="4" s="1"/>
  <c r="G597" i="4"/>
  <c r="G596" i="4" s="1"/>
  <c r="G594" i="4"/>
  <c r="G593" i="4" s="1"/>
  <c r="G589" i="4"/>
  <c r="G588" i="4" s="1"/>
  <c r="G586" i="4"/>
  <c r="G585" i="4" s="1"/>
  <c r="G583" i="4"/>
  <c r="G582" i="4" s="1"/>
  <c r="G580" i="4"/>
  <c r="G579" i="4" s="1"/>
  <c r="G577" i="4"/>
  <c r="G576" i="4" s="1"/>
  <c r="G574" i="4"/>
  <c r="G573" i="4" s="1"/>
  <c r="G572" i="4"/>
  <c r="G166" i="11" s="1"/>
  <c r="G165" i="11" s="1"/>
  <c r="G164" i="11" s="1"/>
  <c r="G163" i="11" s="1"/>
  <c r="G568" i="4"/>
  <c r="G567" i="4" s="1"/>
  <c r="G565" i="4"/>
  <c r="G564" i="4" s="1"/>
  <c r="G556" i="4"/>
  <c r="G555" i="4" s="1"/>
  <c r="G554" i="4" s="1"/>
  <c r="F398" i="3"/>
  <c r="F395" i="3"/>
  <c r="G535" i="4"/>
  <c r="G534" i="4" s="1"/>
  <c r="G532" i="4"/>
  <c r="G531" i="4" s="1"/>
  <c r="G529" i="4"/>
  <c r="G528" i="4" s="1"/>
  <c r="G526" i="4"/>
  <c r="G525" i="4" s="1"/>
  <c r="G515" i="4"/>
  <c r="G514" i="4" s="1"/>
  <c r="G513" i="4" s="1"/>
  <c r="G512" i="4" s="1"/>
  <c r="G511" i="4" s="1"/>
  <c r="G510" i="4" s="1"/>
  <c r="G508" i="4"/>
  <c r="G498" i="4"/>
  <c r="G497" i="4" s="1"/>
  <c r="G501" i="4"/>
  <c r="G500" i="4" s="1"/>
  <c r="G483" i="4"/>
  <c r="G482" i="4" s="1"/>
  <c r="G477" i="4"/>
  <c r="G475" i="4"/>
  <c r="G473" i="4"/>
  <c r="G465" i="4"/>
  <c r="G464" i="4" s="1"/>
  <c r="G463" i="4" s="1"/>
  <c r="G457" i="4"/>
  <c r="G456" i="4" s="1"/>
  <c r="G454" i="4"/>
  <c r="G453" i="4" s="1"/>
  <c r="G445" i="4"/>
  <c r="G443" i="4"/>
  <c r="G440" i="4"/>
  <c r="G439" i="4" s="1"/>
  <c r="G437" i="4"/>
  <c r="G436" i="4" s="1"/>
  <c r="G431" i="4"/>
  <c r="G430" i="4" s="1"/>
  <c r="G54" i="5"/>
  <c r="G413" i="4"/>
  <c r="G412" i="4" s="1"/>
  <c r="G411" i="4" s="1"/>
  <c r="G402" i="4"/>
  <c r="G27" i="5"/>
  <c r="G394" i="4"/>
  <c r="F691" i="3"/>
  <c r="F690" i="3" s="1"/>
  <c r="F688" i="3" s="1"/>
  <c r="F687" i="3" s="1"/>
  <c r="F686" i="3" s="1"/>
  <c r="G390" i="4"/>
  <c r="G386" i="4"/>
  <c r="G384" i="4"/>
  <c r="G375" i="4"/>
  <c r="G374" i="4" s="1"/>
  <c r="G372" i="4"/>
  <c r="G371" i="4" s="1"/>
  <c r="G364" i="4"/>
  <c r="G363" i="4" s="1"/>
  <c r="G354" i="4"/>
  <c r="F652" i="3" s="1"/>
  <c r="G351" i="4"/>
  <c r="F649" i="3" s="1"/>
  <c r="G348" i="4"/>
  <c r="G346" i="4"/>
  <c r="G344" i="4"/>
  <c r="G343" i="4" s="1"/>
  <c r="G338" i="4"/>
  <c r="G337" i="4" s="1"/>
  <c r="G336" i="4" s="1"/>
  <c r="G1023" i="4" s="1"/>
  <c r="G334" i="4"/>
  <c r="G333" i="4" s="1"/>
  <c r="G331" i="4"/>
  <c r="G330" i="4" s="1"/>
  <c r="G328" i="4"/>
  <c r="G327" i="4" s="1"/>
  <c r="G325" i="4"/>
  <c r="G324" i="4" s="1"/>
  <c r="G322" i="4"/>
  <c r="G321" i="4" s="1"/>
  <c r="G316" i="4"/>
  <c r="G314" i="4"/>
  <c r="G307" i="4"/>
  <c r="G305" i="4"/>
  <c r="G303" i="4"/>
  <c r="G300" i="4"/>
  <c r="G299" i="4" s="1"/>
  <c r="G297" i="4"/>
  <c r="G296" i="4" s="1"/>
  <c r="G294" i="4"/>
  <c r="G293" i="4" s="1"/>
  <c r="G291" i="4"/>
  <c r="G290" i="4" s="1"/>
  <c r="G288" i="4"/>
  <c r="G287" i="4" s="1"/>
  <c r="G278" i="4"/>
  <c r="G277" i="4" s="1"/>
  <c r="G276" i="4" s="1"/>
  <c r="G275" i="4" s="1"/>
  <c r="G274" i="4" s="1"/>
  <c r="G270" i="4"/>
  <c r="G269" i="4" s="1"/>
  <c r="G268" i="4" s="1"/>
  <c r="F535" i="3"/>
  <c r="G261" i="4"/>
  <c r="G260" i="4" s="1"/>
  <c r="G258" i="4"/>
  <c r="G257" i="4" s="1"/>
  <c r="G255" i="4"/>
  <c r="G254" i="4" s="1"/>
  <c r="G252" i="4"/>
  <c r="G251" i="4" s="1"/>
  <c r="G249" i="4"/>
  <c r="G248" i="4" s="1"/>
  <c r="G246" i="4"/>
  <c r="G245" i="4" s="1"/>
  <c r="G229" i="4"/>
  <c r="G228" i="4" s="1"/>
  <c r="G227" i="4" s="1"/>
  <c r="G226" i="4" s="1"/>
  <c r="G225" i="4" s="1"/>
  <c r="G224" i="4" s="1"/>
  <c r="F791" i="3"/>
  <c r="G213" i="4"/>
  <c r="G212" i="4" s="1"/>
  <c r="G211" i="4" s="1"/>
  <c r="G210" i="4" s="1"/>
  <c r="G208" i="4"/>
  <c r="G207" i="4" s="1"/>
  <c r="G206" i="4" s="1"/>
  <c r="G201" i="4"/>
  <c r="G200" i="4" s="1"/>
  <c r="G199" i="4" s="1"/>
  <c r="G198" i="4" s="1"/>
  <c r="G184" i="4"/>
  <c r="G183" i="4" s="1"/>
  <c r="G182" i="4" s="1"/>
  <c r="G177" i="4"/>
  <c r="G176" i="4" s="1"/>
  <c r="G159" i="4"/>
  <c r="G158" i="4" s="1"/>
  <c r="G157" i="4" s="1"/>
  <c r="G156" i="4" s="1"/>
  <c r="G154" i="4"/>
  <c r="G153" i="4" s="1"/>
  <c r="G152" i="4" s="1"/>
  <c r="G151" i="4" s="1"/>
  <c r="G150" i="4" s="1"/>
  <c r="G134" i="4"/>
  <c r="G133" i="4" s="1"/>
  <c r="G131" i="4"/>
  <c r="G130" i="4" s="1"/>
  <c r="G128" i="4"/>
  <c r="G127" i="4" s="1"/>
  <c r="G125" i="4"/>
  <c r="G124" i="4" s="1"/>
  <c r="G113" i="4"/>
  <c r="G112" i="4" s="1"/>
  <c r="G102" i="4"/>
  <c r="G100" i="4"/>
  <c r="G84" i="4"/>
  <c r="G83" i="4" s="1"/>
  <c r="G82" i="4" s="1"/>
  <c r="G78" i="4"/>
  <c r="G64" i="4"/>
  <c r="G229" i="11" s="1"/>
  <c r="G228" i="11" s="1"/>
  <c r="G227" i="11" s="1"/>
  <c r="G226" i="11" s="1"/>
  <c r="G225" i="11" s="1"/>
  <c r="G224" i="11" s="1"/>
  <c r="G241" i="11" s="1"/>
  <c r="G60" i="4"/>
  <c r="G222" i="11" s="1"/>
  <c r="G221" i="11" s="1"/>
  <c r="G220" i="11" s="1"/>
  <c r="G54" i="4"/>
  <c r="F54" i="3"/>
  <c r="F53" i="3" s="1"/>
  <c r="F52" i="3" s="1"/>
  <c r="F51" i="3" s="1"/>
  <c r="F50" i="3" s="1"/>
  <c r="F49" i="3" s="1"/>
  <c r="D16" i="2" s="1"/>
  <c r="F46" i="3"/>
  <c r="G40" i="4"/>
  <c r="G39" i="4" s="1"/>
  <c r="G37" i="4"/>
  <c r="F34" i="3"/>
  <c r="G25" i="4"/>
  <c r="G24" i="4" s="1"/>
  <c r="G23" i="4" s="1"/>
  <c r="G22" i="4" s="1"/>
  <c r="G20" i="4"/>
  <c r="G18" i="4"/>
  <c r="G16" i="4"/>
  <c r="G524" i="4" l="1"/>
  <c r="G362" i="4"/>
  <c r="G481" i="4"/>
  <c r="G480" i="4" s="1"/>
  <c r="G479" i="4" s="1"/>
  <c r="G325" i="11"/>
  <c r="G271" i="11"/>
  <c r="G40" i="5"/>
  <c r="G39" i="5" s="1"/>
  <c r="G38" i="5" s="1"/>
  <c r="G37" i="5" s="1"/>
  <c r="G36" i="5" s="1"/>
  <c r="G35" i="5" s="1"/>
  <c r="G41" i="5" s="1"/>
  <c r="G32" i="5" s="1"/>
  <c r="G31" i="5" s="1"/>
  <c r="G37" i="11"/>
  <c r="G36" i="11" s="1"/>
  <c r="G35" i="11" s="1"/>
  <c r="G34" i="11" s="1"/>
  <c r="G33" i="11" s="1"/>
  <c r="G32" i="11" s="1"/>
  <c r="G103" i="5"/>
  <c r="G100" i="11"/>
  <c r="G99" i="11" s="1"/>
  <c r="G98" i="11" s="1"/>
  <c r="G97" i="11" s="1"/>
  <c r="G96" i="11" s="1"/>
  <c r="G95" i="11" s="1"/>
  <c r="G101" i="11" s="1"/>
  <c r="G219" i="11"/>
  <c r="G218" i="11" s="1"/>
  <c r="G217" i="11"/>
  <c r="G223" i="11" s="1"/>
  <c r="G70" i="5"/>
  <c r="G69" i="5" s="1"/>
  <c r="G68" i="5" s="1"/>
  <c r="G67" i="5" s="1"/>
  <c r="G66" i="5" s="1"/>
  <c r="G65" i="5" s="1"/>
  <c r="G71" i="5" s="1"/>
  <c r="G67" i="11"/>
  <c r="G66" i="11" s="1"/>
  <c r="G65" i="11" s="1"/>
  <c r="G64" i="11" s="1"/>
  <c r="G63" i="11" s="1"/>
  <c r="G62" i="11" s="1"/>
  <c r="G68" i="11" s="1"/>
  <c r="G162" i="11"/>
  <c r="G141" i="11" s="1"/>
  <c r="G179" i="11" s="1"/>
  <c r="G102" i="11"/>
  <c r="G969" i="4"/>
  <c r="G968" i="4" s="1"/>
  <c r="G967" i="4" s="1"/>
  <c r="G966" i="4" s="1"/>
  <c r="G181" i="4"/>
  <c r="G180" i="4" s="1"/>
  <c r="G923" i="4"/>
  <c r="G922" i="4" s="1"/>
  <c r="G794" i="4"/>
  <c r="G793" i="4" s="1"/>
  <c r="F541" i="3"/>
  <c r="F651" i="3"/>
  <c r="F650" i="3" s="1"/>
  <c r="F648" i="3" s="1"/>
  <c r="F645" i="3" s="1"/>
  <c r="G243" i="4"/>
  <c r="G242" i="4" s="1"/>
  <c r="G241" i="4" s="1"/>
  <c r="G240" i="4" s="1"/>
  <c r="F512" i="3"/>
  <c r="G338" i="5"/>
  <c r="G337" i="5" s="1"/>
  <c r="G336" i="5" s="1"/>
  <c r="G59" i="4"/>
  <c r="G58" i="4" s="1"/>
  <c r="G57" i="4" s="1"/>
  <c r="G228" i="5"/>
  <c r="G227" i="5" s="1"/>
  <c r="G226" i="5" s="1"/>
  <c r="G225" i="5" s="1"/>
  <c r="G224" i="5" s="1"/>
  <c r="G220" i="5" s="1"/>
  <c r="G219" i="5" s="1"/>
  <c r="G218" i="5" s="1"/>
  <c r="G217" i="5" s="1"/>
  <c r="G216" i="5" s="1"/>
  <c r="F71" i="3"/>
  <c r="F70" i="3" s="1"/>
  <c r="G172" i="4"/>
  <c r="G171" i="4" s="1"/>
  <c r="F178" i="3"/>
  <c r="F177" i="3" s="1"/>
  <c r="G561" i="4"/>
  <c r="G560" i="4" s="1"/>
  <c r="G559" i="4" s="1"/>
  <c r="G115" i="5"/>
  <c r="G114" i="5" s="1"/>
  <c r="G113" i="5" s="1"/>
  <c r="G112" i="5" s="1"/>
  <c r="F413" i="3"/>
  <c r="F412" i="3" s="1"/>
  <c r="F411" i="3" s="1"/>
  <c r="F410" i="3" s="1"/>
  <c r="F406" i="3" s="1"/>
  <c r="F405" i="3" s="1"/>
  <c r="F826" i="3"/>
  <c r="F825" i="3" s="1"/>
  <c r="G330" i="5"/>
  <c r="G827" i="4"/>
  <c r="G826" i="4" s="1"/>
  <c r="F252" i="3"/>
  <c r="G479" i="5"/>
  <c r="G35" i="4"/>
  <c r="F36" i="3"/>
  <c r="G235" i="5"/>
  <c r="G234" i="5" s="1"/>
  <c r="G233" i="5" s="1"/>
  <c r="F75" i="3"/>
  <c r="F74" i="3" s="1"/>
  <c r="F73" i="3" s="1"/>
  <c r="F72" i="3" s="1"/>
  <c r="G285" i="4"/>
  <c r="G284" i="4" s="1"/>
  <c r="F591" i="3"/>
  <c r="F590" i="3" s="1"/>
  <c r="F589" i="3" s="1"/>
  <c r="G364" i="5"/>
  <c r="G363" i="5" s="1"/>
  <c r="G362" i="5" s="1"/>
  <c r="G361" i="5" s="1"/>
  <c r="G360" i="5" s="1"/>
  <c r="G359" i="5" s="1"/>
  <c r="G375" i="5" s="1"/>
  <c r="G522" i="4"/>
  <c r="G521" i="4" s="1"/>
  <c r="G520" i="4" s="1"/>
  <c r="F372" i="3"/>
  <c r="F371" i="3" s="1"/>
  <c r="F370" i="3" s="1"/>
  <c r="F369" i="3" s="1"/>
  <c r="G111" i="5"/>
  <c r="G552" i="4"/>
  <c r="G551" i="4" s="1"/>
  <c r="F404" i="3"/>
  <c r="G606" i="4"/>
  <c r="G605" i="4" s="1"/>
  <c r="F465" i="3"/>
  <c r="G900" i="4"/>
  <c r="G899" i="4" s="1"/>
  <c r="G898" i="4" s="1"/>
  <c r="F328" i="3"/>
  <c r="F327" i="3" s="1"/>
  <c r="F326" i="3" s="1"/>
  <c r="G166" i="4"/>
  <c r="G165" i="4" s="1"/>
  <c r="F175" i="3"/>
  <c r="G193" i="4"/>
  <c r="F218" i="3"/>
  <c r="G311" i="4"/>
  <c r="G310" i="4" s="1"/>
  <c r="F613" i="3"/>
  <c r="F612" i="3" s="1"/>
  <c r="F611" i="3" s="1"/>
  <c r="F610" i="3" s="1"/>
  <c r="G385" i="5"/>
  <c r="G384" i="5" s="1"/>
  <c r="G383" i="5" s="1"/>
  <c r="G382" i="5" s="1"/>
  <c r="F431" i="3"/>
  <c r="F430" i="3" s="1"/>
  <c r="F429" i="3" s="1"/>
  <c r="F414" i="3" s="1"/>
  <c r="G169" i="5"/>
  <c r="G168" i="5" s="1"/>
  <c r="G167" i="5" s="1"/>
  <c r="G166" i="5" s="1"/>
  <c r="G621" i="4"/>
  <c r="G620" i="4" s="1"/>
  <c r="F480" i="3"/>
  <c r="G678" i="4"/>
  <c r="G677" i="4" s="1"/>
  <c r="F577" i="3"/>
  <c r="G693" i="4"/>
  <c r="G692" i="4" s="1"/>
  <c r="G691" i="4" s="1"/>
  <c r="G690" i="4" s="1"/>
  <c r="G283" i="5"/>
  <c r="G282" i="5" s="1"/>
  <c r="G281" i="5" s="1"/>
  <c r="F498" i="3"/>
  <c r="G723" i="4"/>
  <c r="G722" i="4" s="1"/>
  <c r="F804" i="3"/>
  <c r="G305" i="5"/>
  <c r="G810" i="4"/>
  <c r="G807" i="4" s="1"/>
  <c r="F236" i="3"/>
  <c r="G824" i="4"/>
  <c r="G823" i="4" s="1"/>
  <c r="F249" i="3"/>
  <c r="G476" i="5"/>
  <c r="G856" i="4"/>
  <c r="F281" i="3"/>
  <c r="F280" i="3" s="1"/>
  <c r="G195" i="4"/>
  <c r="F220" i="3"/>
  <c r="G813" i="4"/>
  <c r="G812" i="4" s="1"/>
  <c r="F232" i="3"/>
  <c r="G937" i="4"/>
  <c r="F365" i="3"/>
  <c r="G46" i="4"/>
  <c r="F48" i="3"/>
  <c r="F47" i="3" s="1"/>
  <c r="F45" i="3" s="1"/>
  <c r="G221" i="4"/>
  <c r="F793" i="3"/>
  <c r="G549" i="4"/>
  <c r="G548" i="4" s="1"/>
  <c r="F401" i="3"/>
  <c r="G615" i="4"/>
  <c r="G614" i="4" s="1"/>
  <c r="F474" i="3"/>
  <c r="G657" i="4"/>
  <c r="G656" i="4" s="1"/>
  <c r="G654" i="4" s="1"/>
  <c r="G653" i="4" s="1"/>
  <c r="G647" i="4" s="1"/>
  <c r="F552" i="3"/>
  <c r="F551" i="3" s="1"/>
  <c r="F550" i="3" s="1"/>
  <c r="F549" i="3" s="1"/>
  <c r="F548" i="3" s="1"/>
  <c r="F546" i="3" s="1"/>
  <c r="F538" i="3"/>
  <c r="G832" i="4"/>
  <c r="G831" i="4" s="1"/>
  <c r="F257" i="3"/>
  <c r="F256" i="3" s="1"/>
  <c r="F255" i="3" s="1"/>
  <c r="G482" i="5"/>
  <c r="G481" i="5" s="1"/>
  <c r="G480" i="5" s="1"/>
  <c r="G846" i="4"/>
  <c r="G845" i="4" s="1"/>
  <c r="G844" i="4" s="1"/>
  <c r="F271" i="3"/>
  <c r="F270" i="3" s="1"/>
  <c r="F269" i="3" s="1"/>
  <c r="F268" i="3" s="1"/>
  <c r="G992" i="4"/>
  <c r="G989" i="4" s="1"/>
  <c r="G988" i="4" s="1"/>
  <c r="G987" i="4" s="1"/>
  <c r="G986" i="4" s="1"/>
  <c r="G985" i="4" s="1"/>
  <c r="F850" i="3"/>
  <c r="F849" i="3" s="1"/>
  <c r="F847" i="3" s="1"/>
  <c r="G493" i="5"/>
  <c r="F195" i="3"/>
  <c r="F194" i="3" s="1"/>
  <c r="F193" i="3" s="1"/>
  <c r="F192" i="3" s="1"/>
  <c r="F191" i="3" s="1"/>
  <c r="D24" i="2" s="1"/>
  <c r="D25" i="2"/>
  <c r="G137" i="4"/>
  <c r="F149" i="3"/>
  <c r="F148" i="3" s="1"/>
  <c r="G449" i="4"/>
  <c r="G448" i="4" s="1"/>
  <c r="G447" i="4" s="1"/>
  <c r="F753" i="3"/>
  <c r="F752" i="3" s="1"/>
  <c r="F751" i="3" s="1"/>
  <c r="F750" i="3" s="1"/>
  <c r="G119" i="4"/>
  <c r="G118" i="4" s="1"/>
  <c r="F137" i="3"/>
  <c r="F136" i="3" s="1"/>
  <c r="F135" i="3" s="1"/>
  <c r="G144" i="4"/>
  <c r="F156" i="3"/>
  <c r="F155" i="3" s="1"/>
  <c r="G110" i="4"/>
  <c r="G109" i="4" s="1"/>
  <c r="F131" i="3"/>
  <c r="F130" i="3" s="1"/>
  <c r="F129" i="3" s="1"/>
  <c r="G139" i="4"/>
  <c r="F151" i="3"/>
  <c r="F150" i="3" s="1"/>
  <c r="G26" i="5"/>
  <c r="G23" i="5" s="1"/>
  <c r="F707" i="3"/>
  <c r="F706" i="3" s="1"/>
  <c r="F705" i="3" s="1"/>
  <c r="F704" i="3" s="1"/>
  <c r="G417" i="4"/>
  <c r="G416" i="4" s="1"/>
  <c r="G415" i="4" s="1"/>
  <c r="G53" i="5"/>
  <c r="G52" i="5" s="1"/>
  <c r="G51" i="5" s="1"/>
  <c r="G50" i="5" s="1"/>
  <c r="G49" i="5" s="1"/>
  <c r="G57" i="5" s="1"/>
  <c r="F724" i="3"/>
  <c r="F723" i="3" s="1"/>
  <c r="F722" i="3" s="1"/>
  <c r="F721" i="3" s="1"/>
  <c r="F716" i="3"/>
  <c r="F715" i="3" s="1"/>
  <c r="F714" i="3" s="1"/>
  <c r="F713" i="3" s="1"/>
  <c r="G142" i="4"/>
  <c r="F154" i="3"/>
  <c r="F153" i="3" s="1"/>
  <c r="G427" i="4"/>
  <c r="G426" i="4" s="1"/>
  <c r="G425" i="4" s="1"/>
  <c r="F734" i="3"/>
  <c r="F733" i="3" s="1"/>
  <c r="F732" i="3" s="1"/>
  <c r="F731" i="3" s="1"/>
  <c r="G400" i="4"/>
  <c r="G399" i="4" s="1"/>
  <c r="G496" i="4"/>
  <c r="G383" i="4"/>
  <c r="G382" i="4" s="1"/>
  <c r="G472" i="4"/>
  <c r="G471" i="4" s="1"/>
  <c r="G470" i="4" s="1"/>
  <c r="G469" i="4" s="1"/>
  <c r="G63" i="4"/>
  <c r="G62" i="4" s="1"/>
  <c r="G61" i="4" s="1"/>
  <c r="G1018" i="4" s="1"/>
  <c r="G73" i="4"/>
  <c r="G1020" i="4" s="1"/>
  <c r="F679" i="3"/>
  <c r="G755" i="4"/>
  <c r="G754" i="4" s="1"/>
  <c r="G959" i="4"/>
  <c r="G958" i="4" s="1"/>
  <c r="G957" i="4" s="1"/>
  <c r="G956" i="4" s="1"/>
  <c r="G99" i="4"/>
  <c r="G749" i="4"/>
  <c r="G748" i="4" s="1"/>
  <c r="G149" i="4"/>
  <c r="G1003" i="4" s="1"/>
  <c r="G266" i="4"/>
  <c r="G265" i="4" s="1"/>
  <c r="G350" i="4"/>
  <c r="G347" i="4" s="1"/>
  <c r="G637" i="4"/>
  <c r="G636" i="4" s="1"/>
  <c r="G623" i="4" s="1"/>
  <c r="G302" i="4"/>
  <c r="G313" i="4"/>
  <c r="G409" i="4"/>
  <c r="G408" i="4" s="1"/>
  <c r="G407" i="4" s="1"/>
  <c r="G442" i="4"/>
  <c r="G429" i="4" s="1"/>
  <c r="G671" i="4"/>
  <c r="G670" i="4" s="1"/>
  <c r="G618" i="4"/>
  <c r="G617" i="4" s="1"/>
  <c r="G52" i="4"/>
  <c r="G51" i="4" s="1"/>
  <c r="G50" i="4" s="1"/>
  <c r="G49" i="4" s="1"/>
  <c r="G48" i="4" s="1"/>
  <c r="G190" i="4"/>
  <c r="G189" i="4" s="1"/>
  <c r="G219" i="4"/>
  <c r="G44" i="4"/>
  <c r="G355" i="4"/>
  <c r="F655" i="3" s="1"/>
  <c r="F654" i="3" s="1"/>
  <c r="F653" i="3" s="1"/>
  <c r="F639" i="3" s="1"/>
  <c r="F638" i="3" s="1"/>
  <c r="G745" i="4"/>
  <c r="G742" i="4" s="1"/>
  <c r="G741" i="4" s="1"/>
  <c r="G740" i="4" s="1"/>
  <c r="G540" i="4"/>
  <c r="G539" i="4" s="1"/>
  <c r="G609" i="4"/>
  <c r="G608" i="4" s="1"/>
  <c r="G713" i="4"/>
  <c r="G712" i="4" s="1"/>
  <c r="G15" i="4"/>
  <c r="G14" i="4" s="1"/>
  <c r="G13" i="4" s="1"/>
  <c r="G12" i="4" s="1"/>
  <c r="G11" i="4" s="1"/>
  <c r="G392" i="4"/>
  <c r="G543" i="4"/>
  <c r="G542" i="4" s="1"/>
  <c r="G680" i="4"/>
  <c r="G664" i="4"/>
  <c r="G660" i="4" s="1"/>
  <c r="G879" i="4"/>
  <c r="G878" i="4" s="1"/>
  <c r="G345" i="4"/>
  <c r="G342" i="4" s="1"/>
  <c r="G33" i="4"/>
  <c r="G1019" i="4"/>
  <c r="G205" i="4"/>
  <c r="G460" i="4"/>
  <c r="G459" i="4" s="1"/>
  <c r="G452" i="4" s="1"/>
  <c r="G272" i="4"/>
  <c r="G271" i="4" s="1"/>
  <c r="G353" i="4"/>
  <c r="G352" i="4" s="1"/>
  <c r="G603" i="4"/>
  <c r="G602" i="4" s="1"/>
  <c r="G546" i="4"/>
  <c r="G545" i="4" s="1"/>
  <c r="G612" i="4"/>
  <c r="G611" i="4" s="1"/>
  <c r="G494" i="4"/>
  <c r="G493" i="4" s="1"/>
  <c r="G492" i="4" s="1"/>
  <c r="G491" i="4" s="1"/>
  <c r="G507" i="4"/>
  <c r="G506" i="4" s="1"/>
  <c r="G505" i="4" s="1"/>
  <c r="G504" i="4" s="1"/>
  <c r="G503" i="4" s="1"/>
  <c r="G571" i="4"/>
  <c r="G570" i="4" s="1"/>
  <c r="G563" i="4" s="1"/>
  <c r="G716" i="4"/>
  <c r="G715" i="4" s="1"/>
  <c r="G868" i="4"/>
  <c r="G934" i="4" l="1"/>
  <c r="G930" i="4" s="1"/>
  <c r="G921" i="4" s="1"/>
  <c r="G920" i="4" s="1"/>
  <c r="F112" i="3"/>
  <c r="G98" i="4"/>
  <c r="G519" i="4"/>
  <c r="G389" i="4"/>
  <c r="G388" i="4" s="1"/>
  <c r="G381" i="4" s="1"/>
  <c r="G361" i="4" s="1"/>
  <c r="G468" i="4"/>
  <c r="G38" i="11"/>
  <c r="G19" i="11"/>
  <c r="G534" i="11" s="1"/>
  <c r="G22" i="5"/>
  <c r="G21" i="5" s="1"/>
  <c r="G20" i="5" s="1"/>
  <c r="G34" i="5" s="1"/>
  <c r="G816" i="4"/>
  <c r="G747" i="4"/>
  <c r="G739" i="4" s="1"/>
  <c r="G451" i="4"/>
  <c r="G304" i="5"/>
  <c r="G303" i="5" s="1"/>
  <c r="G302" i="5" s="1"/>
  <c r="G301" i="5" s="1"/>
  <c r="G300" i="5" s="1"/>
  <c r="G306" i="5" s="1"/>
  <c r="G314" i="5"/>
  <c r="G721" i="4"/>
  <c r="G720" i="4" s="1"/>
  <c r="G719" i="4" s="1"/>
  <c r="G164" i="4"/>
  <c r="G163" i="4" s="1"/>
  <c r="G162" i="4" s="1"/>
  <c r="G161" i="4" s="1"/>
  <c r="G1004" i="4" s="1"/>
  <c r="G1017" i="4"/>
  <c r="F659" i="3"/>
  <c r="D41" i="2" s="1"/>
  <c r="G855" i="4"/>
  <c r="G854" i="4" s="1"/>
  <c r="G843" i="4" s="1"/>
  <c r="F279" i="3"/>
  <c r="F278" i="3" s="1"/>
  <c r="F267" i="3" s="1"/>
  <c r="G708" i="4"/>
  <c r="G707" i="4" s="1"/>
  <c r="G689" i="4" s="1"/>
  <c r="G341" i="4"/>
  <c r="G340" i="4" s="1"/>
  <c r="G141" i="4"/>
  <c r="G806" i="4"/>
  <c r="G801" i="4" s="1"/>
  <c r="G800" i="4" s="1"/>
  <c r="G283" i="4"/>
  <c r="G1014" i="4"/>
  <c r="G792" i="4"/>
  <c r="G785" i="4" s="1"/>
  <c r="G947" i="4"/>
  <c r="G165" i="5"/>
  <c r="G144" i="5" s="1"/>
  <c r="G182" i="5" s="1"/>
  <c r="G232" i="5"/>
  <c r="G231" i="5" s="1"/>
  <c r="G230" i="5" s="1"/>
  <c r="G247" i="5" s="1"/>
  <c r="G218" i="4"/>
  <c r="G217" i="4" s="1"/>
  <c r="G216" i="4" s="1"/>
  <c r="G215" i="4" s="1"/>
  <c r="G197" i="4" s="1"/>
  <c r="G10" i="4"/>
  <c r="G309" i="4"/>
  <c r="G381" i="5"/>
  <c r="G380" i="5" s="1"/>
  <c r="G410" i="5" s="1"/>
  <c r="F318" i="3"/>
  <c r="F317" i="3" s="1"/>
  <c r="F315" i="3" s="1"/>
  <c r="F314" i="3" s="1"/>
  <c r="F312" i="3" s="1"/>
  <c r="F311" i="3" s="1"/>
  <c r="F309" i="3" s="1"/>
  <c r="F307" i="3" s="1"/>
  <c r="F306" i="3" s="1"/>
  <c r="F305" i="3" s="1"/>
  <c r="F325" i="3"/>
  <c r="F324" i="3" s="1"/>
  <c r="G897" i="4"/>
  <c r="G558" i="4"/>
  <c r="G32" i="4"/>
  <c r="G31" i="4" s="1"/>
  <c r="G136" i="4"/>
  <c r="G43" i="4"/>
  <c r="G42" i="4" s="1"/>
  <c r="G676" i="4"/>
  <c r="G669" i="4" s="1"/>
  <c r="G659" i="4" s="1"/>
  <c r="G192" i="4"/>
  <c r="F251" i="3"/>
  <c r="F250" i="3" s="1"/>
  <c r="G223" i="5"/>
  <c r="G229" i="5" s="1"/>
  <c r="G478" i="5"/>
  <c r="G477" i="5" s="1"/>
  <c r="G475" i="5" s="1"/>
  <c r="G474" i="5" s="1"/>
  <c r="G472" i="5" s="1"/>
  <c r="G471" i="5" s="1"/>
  <c r="G466" i="5" s="1"/>
  <c r="G465" i="5" s="1"/>
  <c r="G464" i="5" s="1"/>
  <c r="G492" i="5" s="1"/>
  <c r="F41" i="3"/>
  <c r="F40" i="3" s="1"/>
  <c r="F39" i="3" s="1"/>
  <c r="F37" i="3" s="1"/>
  <c r="F35" i="3" s="1"/>
  <c r="F33" i="3" s="1"/>
  <c r="F32" i="3" s="1"/>
  <c r="F31" i="3" s="1"/>
  <c r="F44" i="3"/>
  <c r="F43" i="3" s="1"/>
  <c r="F840" i="3"/>
  <c r="F838" i="3" s="1"/>
  <c r="F836" i="3" s="1"/>
  <c r="F835" i="3" s="1"/>
  <c r="F834" i="3" s="1"/>
  <c r="F827" i="3" s="1"/>
  <c r="F846" i="3"/>
  <c r="F845" i="3" s="1"/>
  <c r="F844" i="3" s="1"/>
  <c r="F843" i="3" s="1"/>
  <c r="F545" i="3"/>
  <c r="F540" i="3" s="1"/>
  <c r="F539" i="3" s="1"/>
  <c r="F537" i="3" s="1"/>
  <c r="F536" i="3" s="1"/>
  <c r="F534" i="3" s="1"/>
  <c r="F533" i="3" s="1"/>
  <c r="F544" i="3"/>
  <c r="F543" i="3" s="1"/>
  <c r="F542" i="3" s="1"/>
  <c r="D37" i="2" s="1"/>
  <c r="G297" i="5"/>
  <c r="G296" i="5" s="1"/>
  <c r="G280" i="5" s="1"/>
  <c r="G279" i="5" s="1"/>
  <c r="G274" i="5"/>
  <c r="G273" i="5" s="1"/>
  <c r="G272" i="5" s="1"/>
  <c r="G271" i="5" s="1"/>
  <c r="G270" i="5" s="1"/>
  <c r="G276" i="5" s="1"/>
  <c r="G267" i="5" s="1"/>
  <c r="G266" i="5" s="1"/>
  <c r="G265" i="5" s="1"/>
  <c r="G264" i="5" s="1"/>
  <c r="G263" i="5" s="1"/>
  <c r="G269" i="5" s="1"/>
  <c r="G260" i="5" s="1"/>
  <c r="G259" i="5" s="1"/>
  <c r="G258" i="5" s="1"/>
  <c r="G257" i="5" s="1"/>
  <c r="G256" i="5" s="1"/>
  <c r="F303" i="3"/>
  <c r="F302" i="3" s="1"/>
  <c r="F300" i="3" s="1"/>
  <c r="F299" i="3" s="1"/>
  <c r="F823" i="3"/>
  <c r="F803" i="3" s="1"/>
  <c r="F174" i="3"/>
  <c r="F173" i="3" s="1"/>
  <c r="F176" i="3"/>
  <c r="F248" i="3"/>
  <c r="F247" i="3" s="1"/>
  <c r="F245" i="3" s="1"/>
  <c r="F244" i="3" s="1"/>
  <c r="F608" i="3"/>
  <c r="F607" i="3" s="1"/>
  <c r="F605" i="3" s="1"/>
  <c r="F604" i="3" s="1"/>
  <c r="F588" i="3" s="1"/>
  <c r="G655" i="4"/>
  <c r="F152" i="3"/>
  <c r="F409" i="3"/>
  <c r="F364" i="3"/>
  <c r="F362" i="3" s="1"/>
  <c r="G329" i="5"/>
  <c r="G335" i="5"/>
  <c r="G334" i="5" s="1"/>
  <c r="G333" i="5" s="1"/>
  <c r="F703" i="3"/>
  <c r="F702" i="3" s="1"/>
  <c r="D44" i="2" s="1"/>
  <c r="F403" i="3"/>
  <c r="F402" i="3" s="1"/>
  <c r="F400" i="3" s="1"/>
  <c r="F399" i="3" s="1"/>
  <c r="F397" i="3" s="1"/>
  <c r="F396" i="3" s="1"/>
  <c r="F394" i="3" s="1"/>
  <c r="F393" i="3" s="1"/>
  <c r="F392" i="3" s="1"/>
  <c r="F391" i="3" s="1"/>
  <c r="F265" i="3"/>
  <c r="F264" i="3" s="1"/>
  <c r="F234" i="3"/>
  <c r="F231" i="3" s="1"/>
  <c r="F230" i="3" s="1"/>
  <c r="F219" i="3" s="1"/>
  <c r="F217" i="3" s="1"/>
  <c r="F583" i="3"/>
  <c r="F581" i="3" s="1"/>
  <c r="F579" i="3" s="1"/>
  <c r="G110" i="5"/>
  <c r="G109" i="5" s="1"/>
  <c r="G108" i="5" s="1"/>
  <c r="F368" i="3"/>
  <c r="G222" i="5"/>
  <c r="F68" i="3"/>
  <c r="F69" i="3"/>
  <c r="F147" i="3"/>
  <c r="G490" i="4"/>
  <c r="G489" i="4" s="1"/>
  <c r="G488" i="4" s="1"/>
  <c r="G398" i="4"/>
  <c r="G1015" i="4" s="1"/>
  <c r="G264" i="4"/>
  <c r="G263" i="4" s="1"/>
  <c r="G239" i="4" s="1"/>
  <c r="G238" i="4" s="1"/>
  <c r="G538" i="4"/>
  <c r="G537" i="4" s="1"/>
  <c r="G867" i="4"/>
  <c r="G592" i="4"/>
  <c r="G591" i="4" s="1"/>
  <c r="G1011" i="4"/>
  <c r="G984" i="4"/>
  <c r="G1027" i="4"/>
  <c r="F140" i="3" l="1"/>
  <c r="F111" i="3" s="1"/>
  <c r="G946" i="4"/>
  <c r="G188" i="4"/>
  <c r="G718" i="4"/>
  <c r="G1010" i="4" s="1"/>
  <c r="G1021" i="4"/>
  <c r="G1024" i="4"/>
  <c r="G866" i="4"/>
  <c r="G518" i="4"/>
  <c r="G467" i="4"/>
  <c r="G123" i="4"/>
  <c r="G97" i="4" s="1"/>
  <c r="G56" i="4" s="1"/>
  <c r="G1026" i="4"/>
  <c r="G30" i="4"/>
  <c r="G29" i="4" s="1"/>
  <c r="G1016" i="4"/>
  <c r="G282" i="4"/>
  <c r="G1022" i="4" s="1"/>
  <c r="G815" i="4"/>
  <c r="F233" i="3"/>
  <c r="F240" i="3"/>
  <c r="F822" i="3"/>
  <c r="F821" i="3" s="1"/>
  <c r="F820" i="3" s="1"/>
  <c r="F819" i="3" s="1"/>
  <c r="D49" i="2" s="1"/>
  <c r="F367" i="3"/>
  <c r="D34" i="2" s="1"/>
  <c r="F587" i="3"/>
  <c r="F586" i="3" s="1"/>
  <c r="D40" i="2" s="1"/>
  <c r="D39" i="2" s="1"/>
  <c r="G278" i="5"/>
  <c r="G299" i="5" s="1"/>
  <c r="G327" i="5"/>
  <c r="G326" i="5" s="1"/>
  <c r="G325" i="5" s="1"/>
  <c r="G324" i="5" s="1"/>
  <c r="G323" i="5" s="1"/>
  <c r="G331" i="5" s="1"/>
  <c r="F297" i="3"/>
  <c r="F296" i="3" s="1"/>
  <c r="F295" i="3" s="1"/>
  <c r="F294" i="3" s="1"/>
  <c r="G102" i="5"/>
  <c r="G101" i="5" s="1"/>
  <c r="G100" i="5" s="1"/>
  <c r="G99" i="5" s="1"/>
  <c r="G98" i="5" s="1"/>
  <c r="G104" i="5" s="1"/>
  <c r="G107" i="5"/>
  <c r="G106" i="5" s="1"/>
  <c r="G105" i="5" s="1"/>
  <c r="F206" i="3"/>
  <c r="F216" i="3"/>
  <c r="F359" i="3"/>
  <c r="F358" i="3" s="1"/>
  <c r="F361" i="3"/>
  <c r="G252" i="5"/>
  <c r="G251" i="5" s="1"/>
  <c r="G250" i="5" s="1"/>
  <c r="G249" i="5" s="1"/>
  <c r="G248" i="5" s="1"/>
  <c r="G254" i="5" s="1"/>
  <c r="G255" i="5"/>
  <c r="G262" i="5"/>
  <c r="F523" i="3"/>
  <c r="F522" i="3" s="1"/>
  <c r="F511" i="3" s="1"/>
  <c r="F510" i="3" s="1"/>
  <c r="F532" i="3"/>
  <c r="F531" i="3" s="1"/>
  <c r="F30" i="3"/>
  <c r="F29" i="3" s="1"/>
  <c r="D15" i="2" s="1"/>
  <c r="F576" i="3"/>
  <c r="F575" i="3" s="1"/>
  <c r="F578" i="3"/>
  <c r="G354" i="5"/>
  <c r="G332" i="5"/>
  <c r="F172" i="3"/>
  <c r="F171" i="3" s="1"/>
  <c r="F170" i="3" s="1"/>
  <c r="F842" i="3"/>
  <c r="D51" i="2"/>
  <c r="D50" i="2" s="1"/>
  <c r="F796" i="3"/>
  <c r="F795" i="3" s="1"/>
  <c r="F794" i="3" s="1"/>
  <c r="F792" i="3" s="1"/>
  <c r="F790" i="3" s="1"/>
  <c r="F802" i="3"/>
  <c r="F801" i="3"/>
  <c r="F800" i="3" s="1"/>
  <c r="F799" i="3" s="1"/>
  <c r="G557" i="4"/>
  <c r="G397" i="4"/>
  <c r="G396" i="4" s="1"/>
  <c r="G1009" i="4" s="1"/>
  <c r="G688" i="4"/>
  <c r="G187" i="4" l="1"/>
  <c r="G186" i="4" s="1"/>
  <c r="G179" i="4" s="1"/>
  <c r="G1005" i="4" s="1"/>
  <c r="G999" i="4"/>
  <c r="I1008" i="4"/>
  <c r="I987" i="10"/>
  <c r="I1011" i="4"/>
  <c r="I990" i="10"/>
  <c r="G517" i="4"/>
  <c r="G509" i="4" s="1"/>
  <c r="F212" i="3"/>
  <c r="F211" i="3" s="1"/>
  <c r="F210" i="3" s="1"/>
  <c r="D27" i="2" s="1"/>
  <c r="G1030" i="4"/>
  <c r="F293" i="3"/>
  <c r="D31" i="2" s="1"/>
  <c r="F67" i="3"/>
  <c r="D18" i="2" s="1"/>
  <c r="D12" i="2" s="1"/>
  <c r="F357" i="3"/>
  <c r="F355" i="3"/>
  <c r="F350" i="3" s="1"/>
  <c r="F349" i="3" s="1"/>
  <c r="F224" i="3"/>
  <c r="F223" i="3" s="1"/>
  <c r="F222" i="3" s="1"/>
  <c r="D29" i="2" s="1"/>
  <c r="G28" i="4"/>
  <c r="G1002" i="4" s="1"/>
  <c r="G281" i="4"/>
  <c r="G280" i="4" s="1"/>
  <c r="F239" i="3"/>
  <c r="D30" i="2" s="1"/>
  <c r="F205" i="3"/>
  <c r="F204" i="3" s="1"/>
  <c r="F203" i="3" s="1"/>
  <c r="F585" i="3"/>
  <c r="F574" i="3"/>
  <c r="F563" i="3" s="1"/>
  <c r="F553" i="3" s="1"/>
  <c r="D38" i="2" s="1"/>
  <c r="G19" i="5"/>
  <c r="F506" i="3"/>
  <c r="F505" i="3" s="1"/>
  <c r="F497" i="3" s="1"/>
  <c r="F496" i="3" s="1"/>
  <c r="F509" i="3"/>
  <c r="F508" i="3" s="1"/>
  <c r="D22" i="2"/>
  <c r="D21" i="2" s="1"/>
  <c r="F169" i="3"/>
  <c r="G120" i="5"/>
  <c r="F781" i="3"/>
  <c r="F780" i="3" s="1"/>
  <c r="F779" i="3" s="1"/>
  <c r="F778" i="3" s="1"/>
  <c r="F789" i="3"/>
  <c r="F788" i="3" s="1"/>
  <c r="F787" i="3" s="1"/>
  <c r="F786" i="3" s="1"/>
  <c r="D48" i="2"/>
  <c r="D47" i="2" s="1"/>
  <c r="I989" i="10" s="1"/>
  <c r="F798" i="3"/>
  <c r="G277" i="5"/>
  <c r="G799" i="4"/>
  <c r="G687" i="4"/>
  <c r="I1004" i="4" l="1"/>
  <c r="I983" i="10"/>
  <c r="I1002" i="4"/>
  <c r="I981" i="10"/>
  <c r="G1008" i="4"/>
  <c r="G223" i="4"/>
  <c r="G1007" i="4"/>
  <c r="G545" i="5"/>
  <c r="F10" i="3"/>
  <c r="G762" i="4"/>
  <c r="G1006" i="4"/>
  <c r="G27" i="4"/>
  <c r="F348" i="3"/>
  <c r="F347" i="3" s="1"/>
  <c r="D32" i="2" s="1"/>
  <c r="D28" i="2" s="1"/>
  <c r="D26" i="2"/>
  <c r="D23" i="2" s="1"/>
  <c r="F190" i="3"/>
  <c r="I1010" i="4"/>
  <c r="D19" i="2"/>
  <c r="F485" i="3"/>
  <c r="F484" i="3" s="1"/>
  <c r="F483" i="3" s="1"/>
  <c r="F482" i="3" s="1"/>
  <c r="F495" i="3"/>
  <c r="F494" i="3" s="1"/>
  <c r="D46" i="2"/>
  <c r="D42" i="2" s="1"/>
  <c r="I988" i="10" s="1"/>
  <c r="F694" i="3"/>
  <c r="I1005" i="4" l="1"/>
  <c r="I984" i="10"/>
  <c r="I1006" i="4"/>
  <c r="I985" i="10"/>
  <c r="F221" i="3"/>
  <c r="G996" i="4"/>
  <c r="C20" i="7" s="1"/>
  <c r="I1009" i="4"/>
  <c r="F479" i="3"/>
  <c r="F478" i="3" s="1"/>
  <c r="F476" i="3" s="1"/>
  <c r="F475" i="3" s="1"/>
  <c r="F473" i="3" s="1"/>
  <c r="F472" i="3" s="1"/>
  <c r="F470" i="3" s="1"/>
  <c r="F469" i="3" s="1"/>
  <c r="F467" i="3" s="1"/>
  <c r="F466" i="3" s="1"/>
  <c r="F464" i="3" s="1"/>
  <c r="F463" i="3" s="1"/>
  <c r="F461" i="3" s="1"/>
  <c r="F460" i="3" s="1"/>
  <c r="F458" i="3" s="1"/>
  <c r="F457" i="3" s="1"/>
  <c r="F450" i="3" s="1"/>
  <c r="F449" i="3" s="1"/>
  <c r="F408" i="3" s="1"/>
  <c r="F481" i="3"/>
  <c r="D36" i="2" s="1"/>
  <c r="G1012" i="4"/>
  <c r="C21" i="7" l="1"/>
  <c r="E20" i="7"/>
  <c r="E21" i="7" s="1"/>
  <c r="E15" i="7" s="1"/>
  <c r="G998" i="4"/>
  <c r="D35" i="2"/>
  <c r="D33" i="2" s="1"/>
  <c r="F366" i="3"/>
  <c r="C15" i="7" l="1"/>
  <c r="C16" i="7" s="1"/>
  <c r="I1007" i="4"/>
  <c r="I986" i="10"/>
  <c r="E16" i="7"/>
  <c r="E14" i="7"/>
  <c r="E11" i="7" s="1"/>
  <c r="F853" i="3"/>
  <c r="D52" i="2"/>
  <c r="C14" i="7" l="1"/>
  <c r="C11" i="7" s="1"/>
  <c r="I1012" i="4"/>
  <c r="I991" i="10"/>
</calcChain>
</file>

<file path=xl/sharedStrings.xml><?xml version="1.0" encoding="utf-8"?>
<sst xmlns="http://schemas.openxmlformats.org/spreadsheetml/2006/main" count="17552" uniqueCount="1033">
  <si>
    <t>к решению СПОГО</t>
  </si>
  <si>
    <t xml:space="preserve">ПЛАН ПОСТУПЛЕНИЯ ДОХОДОВ </t>
  </si>
  <si>
    <t>бюджета Омсукчанского городского огруга</t>
  </si>
  <si>
    <t>на 2017 год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</si>
  <si>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</si>
  <si>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</si>
  <si>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</si>
  <si>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</si>
  <si>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</si>
  <si>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</si>
  <si>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</si>
  <si>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</si>
  <si>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</si>
  <si>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</si>
  <si>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</si>
  <si>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</si>
  <si>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</si>
  <si>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</si>
  <si>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</si>
  <si>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</si>
  <si>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</si>
  <si>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</si>
  <si>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</si>
  <si>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</si>
  <si>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</si>
  <si>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</si>
  <si>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</si>
  <si>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</si>
  <si>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</si>
  <si>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</si>
  <si>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</si>
  <si>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</si>
  <si>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</si>
  <si>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</si>
  <si>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</si>
  <si>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</si>
  <si>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</si>
  <si>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</si>
  <si>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</si>
  <si>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</si>
  <si>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</si>
  <si>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</si>
  <si>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</si>
  <si>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</si>
  <si>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</si>
  <si>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</si>
  <si>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</si>
  <si>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</si>
  <si>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</si>
  <si>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</si>
  <si>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</si>
  <si>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</si>
  <si>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</si>
  <si>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</si>
  <si>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</si>
  <si>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</si>
  <si>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</si>
  <si>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</si>
  <si>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</si>
  <si>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</si>
  <si>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</si>
  <si>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</si>
  <si>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</si>
  <si>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</si>
  <si>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</si>
  <si>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</si>
  <si>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</si>
  <si>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</si>
  <si>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</si>
  <si>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</si>
  <si>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</si>
  <si>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</si>
  <si>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</si>
  <si>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</si>
  <si>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</si>
  <si>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</si>
  <si>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</si>
  <si>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</si>
  <si>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</si>
  <si>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</si>
  <si>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</si>
  <si>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</si>
  <si>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</si>
  <si>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</si>
  <si>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</si>
  <si>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</si>
  <si>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</si>
  <si>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</si>
  <si>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</si>
  <si>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</si>
  <si>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</si>
  <si>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</si>
  <si>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</si>
  <si>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</si>
  <si>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</si>
  <si>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</si>
  <si>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</si>
  <si>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</si>
  <si>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</si>
  <si>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</si>
  <si>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</si>
  <si>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</si>
  <si>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</si>
  <si>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</si>
  <si>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</si>
  <si>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</si>
  <si>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</si>
  <si>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</si>
  <si>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</si>
  <si>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</si>
  <si>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</si>
  <si>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</si>
  <si>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</si>
  <si>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</si>
  <si>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</si>
  <si>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</si>
  <si>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</si>
  <si>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</si>
  <si>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</si>
  <si>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</si>
  <si>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</si>
  <si>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</si>
  <si>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</si>
  <si>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</si>
  <si>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</si>
  <si>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</si>
  <si>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</si>
  <si>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</si>
  <si>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</si>
  <si>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</si>
  <si>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</si>
  <si>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</si>
  <si>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</si>
  <si>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</si>
  <si>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</si>
  <si>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</si>
  <si>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</si>
  <si>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</si>
  <si>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</si>
  <si>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</si>
  <si>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</si>
  <si>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</si>
  <si>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</si>
  <si>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</si>
  <si>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</si>
  <si>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</si>
  <si>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</si>
  <si>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</si>
  <si>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</si>
  <si>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</si>
  <si>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</si>
  <si>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</si>
  <si>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</si>
  <si>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</si>
  <si>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</si>
  <si>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</si>
  <si>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</si>
  <si>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</si>
  <si>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2017 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</si>
  <si>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</si>
  <si>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</si>
  <si>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</si>
  <si>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</si>
  <si>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</si>
  <si>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</si>
  <si>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</si>
  <si>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</si>
  <si>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</si>
  <si>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</si>
  <si>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</si>
  <si>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</si>
  <si>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</si>
  <si>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</si>
  <si>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</si>
  <si>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</si>
  <si>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</si>
  <si>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</si>
  <si>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</si>
  <si>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</si>
  <si>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</si>
  <si>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</si>
  <si>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</si>
  <si>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</si>
  <si>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</si>
  <si>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</si>
  <si>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</si>
  <si>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</si>
  <si>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</si>
  <si>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</si>
  <si>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</si>
  <si>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</si>
  <si>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</si>
  <si>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</si>
  <si>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</si>
  <si>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</si>
  <si>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</si>
  <si>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</si>
  <si>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</si>
  <si>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</si>
  <si>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</si>
  <si>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</si>
  <si>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</si>
  <si>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</si>
  <si>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</si>
  <si>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</si>
  <si>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</si>
  <si>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</si>
  <si>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</si>
  <si>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</si>
  <si>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</si>
  <si>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</si>
  <si>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</si>
  <si>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</si>
  <si>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</si>
  <si>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</si>
  <si>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</si>
  <si>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</si>
  <si>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</si>
  <si>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</si>
  <si>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</si>
  <si>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</si>
  <si>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</si>
  <si>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</si>
  <si>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</si>
  <si>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</si>
  <si>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</si>
  <si>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</si>
  <si>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</si>
  <si>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</si>
  <si>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</si>
  <si>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</si>
  <si>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</si>
  <si>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</si>
  <si>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</si>
  <si>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</si>
  <si>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</si>
  <si>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</si>
  <si>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</si>
  <si>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</si>
  <si>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</si>
  <si>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</si>
  <si>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</si>
  <si>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</si>
  <si>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</si>
  <si>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</si>
  <si>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</si>
  <si>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</si>
  <si>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</si>
  <si>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</si>
  <si>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</si>
  <si>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</si>
  <si>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</si>
  <si>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</si>
  <si>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</si>
  <si>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</si>
  <si>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</si>
  <si>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</si>
  <si>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</si>
  <si>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</si>
  <si>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</si>
  <si>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</si>
  <si>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</si>
  <si>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</si>
  <si>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</si>
  <si>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</si>
  <si>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</si>
  <si>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</si>
  <si>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</si>
  <si>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</si>
  <si>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</si>
  <si>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</si>
  <si>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</si>
  <si>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</si>
  <si>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</si>
  <si>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</si>
  <si>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</si>
  <si>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</si>
  <si>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</si>
  <si>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</si>
  <si>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</si>
  <si>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</si>
  <si>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</si>
  <si>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</si>
  <si>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</si>
  <si>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</si>
  <si>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</si>
  <si>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</si>
  <si>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</si>
  <si>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</si>
  <si>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</si>
  <si>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</si>
  <si>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</si>
  <si>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</si>
  <si>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</si>
  <si>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</si>
  <si>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</si>
  <si>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</si>
  <si>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</si>
  <si>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</si>
  <si>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</si>
  <si>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</si>
  <si>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</si>
  <si>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</si>
  <si>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</si>
  <si>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</si>
  <si>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</si>
  <si>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</si>
  <si>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</si>
  <si>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</si>
  <si>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</si>
  <si>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</si>
  <si>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</si>
  <si>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</si>
  <si>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</si>
  <si>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</si>
  <si>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</si>
  <si>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</si>
  <si>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</si>
  <si>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</si>
  <si>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</si>
  <si>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</si>
  <si>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</si>
  <si>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</si>
  <si>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</si>
  <si>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</si>
  <si>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</si>
  <si>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</si>
  <si>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</si>
  <si>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</si>
  <si>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</si>
  <si>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</si>
  <si>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</si>
  <si>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</si>
  <si>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</si>
  <si>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</si>
  <si>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</si>
  <si>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</si>
  <si>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</si>
  <si>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</si>
  <si>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</si>
  <si>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</si>
  <si>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</si>
  <si>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</si>
  <si>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</si>
  <si>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</si>
  <si>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</si>
  <si>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</si>
  <si>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</si>
  <si>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</si>
  <si>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</si>
  <si>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</si>
  <si>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</si>
  <si>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</si>
  <si>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</si>
  <si>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</si>
  <si>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</si>
  <si>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</si>
  <si>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</si>
  <si>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</si>
  <si>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</si>
  <si>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</si>
  <si>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</si>
  <si>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</si>
  <si>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</si>
  <si>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</si>
  <si>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</si>
  <si>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</si>
  <si>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</si>
  <si>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</si>
  <si>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</si>
  <si>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</si>
  <si>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</si>
  <si>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</si>
  <si>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</si>
  <si>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</si>
  <si>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</si>
  <si>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</si>
  <si>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</si>
  <si>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</si>
  <si>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</si>
  <si>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</si>
  <si>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</si>
  <si>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</si>
  <si>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</si>
  <si>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</si>
  <si>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</si>
  <si>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</si>
  <si>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</si>
  <si>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</si>
  <si>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</si>
  <si>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</si>
  <si>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</si>
  <si>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</si>
  <si>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</si>
  <si>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</si>
  <si>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</si>
  <si>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</si>
  <si>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</si>
  <si>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</si>
  <si>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</si>
  <si>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</si>
  <si>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</si>
  <si>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</si>
  <si>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</si>
  <si>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</si>
  <si>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</si>
  <si>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</si>
  <si>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</si>
  <si>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</si>
  <si>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</si>
  <si>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</si>
  <si>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</si>
  <si>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</si>
  <si>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</si>
  <si>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</si>
  <si>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</si>
  <si>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</si>
  <si>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</si>
  <si>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</si>
  <si>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</si>
  <si>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</si>
  <si>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</si>
  <si>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</si>
  <si>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</si>
  <si>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</si>
  <si>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</si>
  <si>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</si>
  <si>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</si>
  <si>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</si>
  <si>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</si>
  <si>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</si>
  <si>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</si>
  <si>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</si>
  <si>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</si>
  <si>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</si>
  <si>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</si>
  <si>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</si>
  <si>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</si>
  <si>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</si>
  <si>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</si>
  <si>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</si>
  <si>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</si>
  <si>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</si>
  <si>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</si>
  <si>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</si>
  <si>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</si>
  <si>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</si>
  <si>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</si>
  <si>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</si>
  <si>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</si>
  <si>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</si>
  <si>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</si>
  <si>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</si>
  <si>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</si>
  <si>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</si>
  <si>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</si>
  <si>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</si>
  <si>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</si>
  <si>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</si>
  <si>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</si>
  <si>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</si>
  <si>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</si>
  <si>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</si>
  <si>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</si>
  <si>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</si>
  <si>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</si>
  <si>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</si>
  <si>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</si>
  <si>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</si>
  <si>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</si>
  <si>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</si>
  <si>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</si>
  <si>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</si>
  <si>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</si>
  <si>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</si>
  <si>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</si>
  <si>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</si>
  <si>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</si>
  <si>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</si>
  <si>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</si>
  <si>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</si>
  <si>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</si>
  <si>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</si>
  <si>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</si>
  <si>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</si>
  <si>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</si>
  <si>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</si>
  <si>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</si>
  <si>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</si>
  <si>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</si>
  <si>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</si>
  <si>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</si>
  <si>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</si>
  <si>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</si>
  <si>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</si>
  <si>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</si>
  <si>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</si>
  <si>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</si>
  <si>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</si>
  <si>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</si>
  <si>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</si>
  <si>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</si>
  <si>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</si>
  <si>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</si>
  <si>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</si>
  <si>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</si>
  <si>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</si>
  <si>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</si>
  <si>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</si>
  <si>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</si>
  <si>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</si>
  <si>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</si>
  <si>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</si>
  <si>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</si>
  <si>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</si>
  <si>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</si>
  <si>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</si>
  <si>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</si>
  <si>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</si>
  <si>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</si>
  <si>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</si>
  <si>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</si>
  <si>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</si>
  <si>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</si>
  <si>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</si>
  <si>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</si>
  <si>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</si>
  <si>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</si>
  <si>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</si>
  <si>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</si>
  <si>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</si>
  <si>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</si>
  <si>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</si>
  <si>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</si>
  <si>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</si>
  <si>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</si>
  <si>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</si>
  <si>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</si>
  <si>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</si>
  <si>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</si>
  <si>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</si>
  <si>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</si>
  <si>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</si>
  <si>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</si>
  <si>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</si>
  <si>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</si>
  <si>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</si>
  <si>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</si>
  <si>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</si>
  <si>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</si>
  <si>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</si>
  <si>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</si>
  <si>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</si>
  <si>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</si>
  <si>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</si>
  <si>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</si>
  <si>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</si>
  <si>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</si>
  <si>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</si>
  <si>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</si>
  <si>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</si>
  <si>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</si>
  <si>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</si>
  <si>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</si>
  <si>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</si>
  <si>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</si>
  <si>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</si>
  <si>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</si>
  <si>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</si>
  <si>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</si>
  <si>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</si>
  <si>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</si>
  <si>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</si>
  <si>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</si>
  <si>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</si>
  <si>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</si>
  <si>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</si>
  <si>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</si>
  <si>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</si>
  <si>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</si>
  <si>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</si>
  <si>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</si>
  <si>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</si>
  <si>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</si>
  <si>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</si>
  <si>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</si>
  <si>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</si>
  <si>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</si>
  <si>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</si>
  <si>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</si>
  <si>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</si>
  <si>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</si>
  <si>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</si>
  <si>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</si>
  <si>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</si>
  <si>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</si>
  <si>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</si>
  <si>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</si>
  <si>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</si>
  <si>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</si>
  <si>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</si>
  <si>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</si>
  <si>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</si>
  <si>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</si>
  <si>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</si>
  <si>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</si>
  <si>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</si>
  <si>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</si>
  <si>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</si>
  <si>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</si>
  <si>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</si>
  <si>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</si>
  <si>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</si>
  <si>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</si>
  <si>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</si>
  <si>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</si>
  <si>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</si>
  <si>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</si>
  <si>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</si>
  <si>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</si>
  <si>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</si>
  <si>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</si>
  <si>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</si>
  <si>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</si>
  <si>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</si>
  <si>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</si>
  <si>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</si>
  <si>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</si>
  <si>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</si>
  <si>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</si>
  <si>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</si>
  <si>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</si>
  <si>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</si>
  <si>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</si>
  <si>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</si>
  <si>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</si>
  <si>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</si>
  <si>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</si>
  <si>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</si>
  <si>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</si>
  <si>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</si>
  <si>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</si>
  <si>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</si>
  <si>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</si>
  <si>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</si>
  <si>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</si>
  <si>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</si>
  <si>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</si>
  <si>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</si>
  <si>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</si>
  <si>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</si>
  <si>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</si>
  <si>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</si>
  <si>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</si>
  <si>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</si>
  <si>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</si>
  <si>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</si>
  <si>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</si>
  <si>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Распределение ассигнований из бюджета Омсукчанского городского округа на 2017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</si>
  <si>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</si>
  <si>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</si>
  <si>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</si>
  <si>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</si>
  <si>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</si>
  <si>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</si>
  <si>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</si>
  <si>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</si>
  <si>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Обеспечение пожарной безопасности</t>
  </si>
  <si>
    <t>68 3 0125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</si>
  <si>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</si>
  <si>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</si>
  <si>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</si>
  <si>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 xml:space="preserve">68 3 00 S2110 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</si>
  <si>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</si>
  <si>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</si>
  <si>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</si>
  <si>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</si>
  <si>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</si>
  <si>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</si>
  <si>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</si>
  <si>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</si>
  <si>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</si>
  <si>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</si>
  <si>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</si>
  <si>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</si>
  <si>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</si>
  <si>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Целевые субсидии муниципальным учреждениям  на содержание социальной группы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</si>
  <si>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</si>
  <si>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</si>
  <si>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</si>
  <si>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</si>
  <si>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</si>
  <si>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</si>
  <si>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</si>
  <si>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</si>
  <si>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</si>
  <si>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</si>
  <si>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</si>
  <si>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</si>
  <si>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</si>
  <si>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</si>
  <si>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</si>
  <si>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</si>
  <si>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</si>
  <si>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</si>
  <si>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</si>
  <si>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</si>
  <si>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</si>
  <si>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</si>
  <si>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</si>
  <si>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</si>
  <si>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57 0 2004</t>
  </si>
  <si>
    <t>57 0 2007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</si>
  <si>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</si>
  <si>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</si>
  <si>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</si>
  <si>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</si>
  <si>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</si>
  <si>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</si>
  <si>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</si>
  <si>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</si>
  <si>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</si>
  <si>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</si>
  <si>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</si>
  <si>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</si>
  <si>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</si>
  <si>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</si>
  <si>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</si>
  <si>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</si>
  <si>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</si>
  <si>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</si>
  <si>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</si>
  <si>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</si>
  <si>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</si>
  <si>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</si>
  <si>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</si>
  <si>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</si>
  <si>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</si>
  <si>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</si>
  <si>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</si>
  <si>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</si>
  <si>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</si>
  <si>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</si>
  <si>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</si>
  <si>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</si>
  <si>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</si>
  <si>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</si>
  <si>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</si>
  <si>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</si>
  <si>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</si>
  <si>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</si>
  <si>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</si>
  <si>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</si>
  <si>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</si>
  <si>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</si>
  <si>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</si>
  <si>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</si>
  <si>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</si>
  <si>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</si>
  <si>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</si>
  <si>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</si>
  <si>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бюджета Омсукчанского городского округа  на 2017 год</t>
  </si>
  <si>
    <t>Код бюджетной классификации</t>
  </si>
  <si>
    <t>Наименование источника</t>
  </si>
  <si>
    <t>Сумма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</si>
  <si>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</si>
  <si>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</si>
  <si>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</si>
  <si>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</si>
  <si>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</si>
  <si>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</si>
  <si>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</si>
  <si>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</si>
  <si>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</si>
  <si>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</si>
  <si>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</si>
  <si>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</si>
  <si>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</si>
  <si>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</si>
  <si>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</si>
  <si>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 xml:space="preserve"> классификации расходов бюджетов Российской Федерации на  2017 год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</si>
  <si>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</si>
  <si>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</si>
  <si>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</si>
  <si>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</si>
  <si>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</si>
  <si>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</si>
  <si>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</si>
  <si>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</si>
  <si>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</si>
  <si>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</si>
  <si>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</si>
  <si>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</si>
  <si>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</si>
  <si>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</si>
  <si>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</si>
  <si>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</si>
  <si>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</si>
  <si>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</si>
  <si>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</si>
  <si>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</si>
  <si>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</si>
  <si>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</si>
  <si>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</si>
  <si>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</si>
  <si>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</si>
  <si>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</si>
  <si>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</si>
  <si>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</si>
  <si>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</si>
  <si>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</si>
  <si>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</si>
  <si>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</si>
  <si>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</si>
  <si>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
на 2017-2021 годы» на 2017 год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</si>
  <si>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</si>
  <si>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</si>
  <si>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</si>
  <si>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</si>
  <si>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на 2017 год</t>
  </si>
  <si>
    <t>Субсидии бюджетам городских округов на 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</si>
  <si>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</si>
  <si>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</si>
  <si>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</si>
  <si>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</si>
  <si>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</si>
  <si>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</si>
  <si>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</si>
  <si>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</si>
  <si>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</si>
  <si>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бюджетам городских округов на благоустройство их территории и развитие объектов социально-культурного назначения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</si>
  <si>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</si>
  <si>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</si>
  <si>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</si>
  <si>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</si>
  <si>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</si>
  <si>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округов, предоставляемых в рамках реализации подпрограммы «Формирование и подготовка резерва управленческих кадров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</si>
  <si>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</si>
  <si>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</si>
  <si>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</si>
  <si>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</si>
  <si>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</si>
  <si>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</si>
  <si>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</si>
  <si>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</si>
  <si>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</si>
  <si>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</si>
  <si>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</si>
  <si>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</si>
  <si>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</si>
  <si>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</si>
  <si>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</si>
  <si>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</si>
  <si>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</si>
  <si>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Приложение № 3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</si>
  <si>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</si>
  <si>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</si>
  <si>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</si>
  <si>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</si>
  <si>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</si>
  <si>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</si>
  <si>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</si>
  <si>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</si>
  <si>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</si>
  <si>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</si>
  <si>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</si>
  <si>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</si>
  <si>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 xml:space="preserve"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</si>
  <si>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для последующего предоставления молодым семьям  - участникам подпрограммы дополнтельной социальной выплаты</t>
  </si>
  <si>
    <t>Субсидия на реализацию мероприятий подпрограммы «Обеспечение процесса физической подготовки и спорта» на 2014 - 2020 годы» государственной программы Магаданской области «Развитие физической культуры и спорта в Магаданской области» на 2014-2020 годы»</t>
  </si>
  <si>
    <t>Субсидии бюджетам городских округов на реалицацию мероприятий поддержки развития малого и среднего предпринимательства государственной программы "Экономическое развитие и инновационная экономика Магаданской области на 2014 - 2020 годы"</t>
  </si>
  <si>
    <t>(+59,4)</t>
  </si>
  <si>
    <t>(+90)</t>
  </si>
  <si>
    <t>68 2 00 11830</t>
  </si>
  <si>
    <t>(+88,7)</t>
  </si>
  <si>
    <t>Субсидий бюджетам городских округов, предоставляемые в рамках реализации подпрограммы «Гармонизация межнациональных отношений, этнокультурное развитие народов и профилактика экстремистских проявлений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</si>
  <si>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</si>
  <si>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</si>
  <si>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</si>
  <si>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</si>
  <si>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</si>
  <si>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</si>
  <si>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</si>
  <si>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</si>
  <si>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</si>
  <si>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</si>
  <si>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</si>
  <si>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</si>
  <si>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</si>
  <si>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</si>
  <si>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</si>
  <si>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</si>
  <si>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</si>
  <si>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</si>
  <si>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</si>
  <si>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</si>
  <si>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</si>
  <si>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</si>
  <si>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</si>
  <si>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</si>
  <si>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</si>
  <si>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</si>
  <si>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</si>
  <si>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</si>
  <si>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</si>
  <si>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</si>
  <si>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</si>
  <si>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</si>
  <si>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</si>
  <si>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</si>
  <si>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</si>
  <si>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</si>
  <si>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Распределение ассигнований, направляемых на исполнение публичных нормативных обязательств из бюджета Омсукчанского городского округа, на 2017 год</t>
  </si>
  <si>
    <t>Приложение № 2</t>
  </si>
  <si>
    <t>68 2 00 73070</t>
  </si>
  <si>
    <t>2 02 19999 04 0000 151</t>
  </si>
  <si>
    <t>Прочие дотации бюджетам городских округов</t>
  </si>
  <si>
    <t>Дотации бюджетам городских округов на поощрение достижения наилучших значений показателей деятельности органов местного самлуправления городских округов Магаданской области по итогам 2016 года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</si>
  <si>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</si>
  <si>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</si>
  <si>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52 4 00 20070</t>
  </si>
  <si>
    <t>(-50)</t>
  </si>
  <si>
    <t>(-79)</t>
  </si>
  <si>
    <t>(-32,5)</t>
  </si>
  <si>
    <t>(+22)</t>
  </si>
  <si>
    <t>(+10,5)</t>
  </si>
  <si>
    <t>(+50)</t>
  </si>
  <si>
    <t>(-70)</t>
  </si>
  <si>
    <t>(+3,0)</t>
  </si>
  <si>
    <t>(-4,3)</t>
  </si>
  <si>
    <t>(+1,3)</t>
  </si>
  <si>
    <t>(-34,6)</t>
  </si>
  <si>
    <t>(+34,6)</t>
  </si>
  <si>
    <t>(-300)</t>
  </si>
  <si>
    <t>(-98,3)</t>
  </si>
  <si>
    <t>(-13,2)</t>
  </si>
  <si>
    <t>(-5)</t>
  </si>
  <si>
    <t>(-15)</t>
  </si>
  <si>
    <t>(-500)</t>
  </si>
  <si>
    <t>(-107,6)</t>
  </si>
  <si>
    <t>(-1904,1)</t>
  </si>
  <si>
    <t>(-355,9)</t>
  </si>
  <si>
    <t>(+209,8)</t>
  </si>
  <si>
    <t>(-1700)</t>
  </si>
  <si>
    <t>(+0,1)</t>
  </si>
  <si>
    <t>(-3,4)</t>
  </si>
  <si>
    <t>(-86,6)</t>
  </si>
  <si>
    <t>(-2130,6)</t>
  </si>
  <si>
    <t>(-60,6)</t>
  </si>
  <si>
    <t>(-55,1)</t>
  </si>
  <si>
    <t>(-87,1)</t>
  </si>
  <si>
    <t>(-20)</t>
  </si>
  <si>
    <t>(-25,4)</t>
  </si>
  <si>
    <t>(-11,7)</t>
  </si>
  <si>
    <t>(-72)</t>
  </si>
  <si>
    <t>(-89,7)</t>
  </si>
  <si>
    <t>(-61)</t>
  </si>
  <si>
    <t>(-40)</t>
  </si>
  <si>
    <t>(-30,3)</t>
  </si>
  <si>
    <t>(+41)</t>
  </si>
  <si>
    <t>(-43,7)</t>
  </si>
  <si>
    <t>(+2,7)</t>
  </si>
  <si>
    <t>(-26,1)</t>
  </si>
  <si>
    <t>(-141,2)</t>
  </si>
  <si>
    <t>(-58,7)</t>
  </si>
  <si>
    <t>(-41)</t>
  </si>
  <si>
    <t>(-60)</t>
  </si>
  <si>
    <t>(+95,3)</t>
  </si>
  <si>
    <t>(+97,6)</t>
  </si>
  <si>
    <t>(-20,0)</t>
  </si>
  <si>
    <t>(-61,0)</t>
  </si>
  <si>
    <t>(-40,0)</t>
  </si>
  <si>
    <t>(-259,9)</t>
  </si>
  <si>
    <t>(-386,4)</t>
  </si>
  <si>
    <t>(-161,7)</t>
  </si>
  <si>
    <t>(-69,0)</t>
  </si>
  <si>
    <t>(-37,1)</t>
  </si>
  <si>
    <t>(-100,0)</t>
  </si>
  <si>
    <t>(+16,3)</t>
  </si>
  <si>
    <t>(+5,0)</t>
  </si>
  <si>
    <t>(-21,3)</t>
  </si>
  <si>
    <t>(+2,4)</t>
  </si>
  <si>
    <t>(+110)</t>
  </si>
  <si>
    <t>(-110)</t>
  </si>
  <si>
    <t>(+640)</t>
  </si>
  <si>
    <t>(-994,4)</t>
  </si>
  <si>
    <t>(+33,5)</t>
  </si>
  <si>
    <t>(+746,5)</t>
  </si>
  <si>
    <t>(+91,6)</t>
  </si>
  <si>
    <t>(+50,2)</t>
  </si>
  <si>
    <t>(-39)</t>
  </si>
  <si>
    <t>(+39)</t>
  </si>
  <si>
    <t>(-92,9)</t>
  </si>
  <si>
    <t>(+240)</t>
  </si>
  <si>
    <t>(-765,2)</t>
  </si>
  <si>
    <t>(-7,6)</t>
  </si>
  <si>
    <t>(-295)</t>
  </si>
  <si>
    <t>(-240,6)</t>
  </si>
  <si>
    <t>(-60,5)</t>
  </si>
  <si>
    <t>(+26,1)</t>
  </si>
  <si>
    <t>(-295,4)</t>
  </si>
  <si>
    <t>(+2)</t>
  </si>
  <si>
    <t>(+1451)</t>
  </si>
  <si>
    <t>(+349)</t>
  </si>
  <si>
    <t>(-120,2)</t>
  </si>
  <si>
    <t>(-631,6)</t>
  </si>
  <si>
    <t>(+33)</t>
  </si>
  <si>
    <t>(-43)</t>
  </si>
  <si>
    <t>(+10)</t>
  </si>
  <si>
    <t>(+25,7)</t>
  </si>
  <si>
    <t>(+2960)</t>
  </si>
  <si>
    <t>(-3150,7)</t>
  </si>
  <si>
    <t>(-11,1)</t>
  </si>
  <si>
    <t>(-2415)</t>
  </si>
  <si>
    <t>(-250)</t>
  </si>
  <si>
    <t>(+216,8)</t>
  </si>
  <si>
    <t>(-1446,8)</t>
  </si>
  <si>
    <t>(+1421,4)</t>
  </si>
  <si>
    <t>(-199,1)</t>
  </si>
  <si>
    <t>(+317,5)</t>
  </si>
  <si>
    <t>(-7110,4)</t>
  </si>
  <si>
    <t>(-53,5)</t>
  </si>
  <si>
    <t>(-15,4)</t>
  </si>
  <si>
    <t>(-30)</t>
  </si>
  <si>
    <t>(-42,1)</t>
  </si>
  <si>
    <t>(-148,4)</t>
  </si>
  <si>
    <t>(-1486,5)</t>
  </si>
  <si>
    <t>(+743,3)</t>
  </si>
  <si>
    <t>(+250)</t>
  </si>
  <si>
    <t xml:space="preserve">                                                                          от 25.12.2017г. № 67</t>
  </si>
  <si>
    <t xml:space="preserve">                                                                          к решению СПОГО</t>
  </si>
  <si>
    <t xml:space="preserve">                                                                          Приложение № 1</t>
  </si>
  <si>
    <t>от 25.12.2017г. №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</si>
</sst>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15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3" fillId="0" borderId="0" xfId="0" applyFont="1" applyFill="1" applyAlignment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0" fontId="27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0" xfId="1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0" borderId="0" xfId="0" applyFont="1" applyFill="1" applyAlignment="1">
      <alignment vertical="center"/>
    </xf>
    <xf numFmtId="0" fontId="0" fillId="10" borderId="0" xfId="0" applyFill="1"/>
    <xf numFmtId="0" fontId="28" fillId="2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49" fontId="1" fillId="7" borderId="15" xfId="1" applyNumberFormat="1" applyFont="1" applyFill="1" applyBorder="1" applyAlignment="1">
      <alignment horizontal="center" vertical="center"/>
    </xf>
    <xf numFmtId="0" fontId="28" fillId="7" borderId="0" xfId="0" applyFont="1" applyFill="1"/>
    <xf numFmtId="49" fontId="1" fillId="7" borderId="15" xfId="1" applyNumberFormat="1" applyFont="1" applyFill="1" applyBorder="1" applyAlignment="1">
      <alignment horizontal="left" vertical="center"/>
    </xf>
    <xf numFmtId="49" fontId="1" fillId="7" borderId="9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>
      <alignment horizontal="justify"/>
    </xf>
    <xf numFmtId="0" fontId="13" fillId="0" borderId="0" xfId="1" applyFont="1" applyFill="1"/>
    <xf numFmtId="0" fontId="13" fillId="0" borderId="0" xfId="0" applyFont="1"/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zoomScaleNormal="100" workbookViewId="0">
      <selection activeCell="B1" sqref="B1"/>
    </sheetView>
  </sheetViews>
  <sheetFormatPr defaultRowHeight="15" x14ac:dyDescent="0.25"/>
  <cols>
    <col min="1" max="1" width="26.5703125" style="157" customWidth="1"/>
    <col min="2" max="2" width="77.5703125" style="157" customWidth="1"/>
    <col min="3" max="3" width="15.28515625" style="157" customWidth="1"/>
    <col min="4" max="4" width="12.7109375" style="157" customWidth="1"/>
    <col min="5" max="16384" width="9.140625" style="157"/>
  </cols>
  <sheetData>
    <row r="1" spans="1:3" ht="18.75" customHeight="1" x14ac:dyDescent="0.3">
      <c r="B1" s="261" t="s">
        <v>1031</v>
      </c>
      <c r="C1" s="158"/>
    </row>
    <row r="2" spans="1:3" ht="18.75" customHeight="1" x14ac:dyDescent="0.3">
      <c r="B2" s="261" t="s">
        <v>1030</v>
      </c>
      <c r="C2" s="158"/>
    </row>
    <row r="3" spans="1:3" ht="18.75" customHeight="1" x14ac:dyDescent="0.3">
      <c r="B3" s="261" t="s">
        <v>1029</v>
      </c>
      <c r="C3" s="158"/>
    </row>
    <row r="4" spans="1:3" ht="15.75" x14ac:dyDescent="0.25">
      <c r="B4" s="159"/>
      <c r="C4" s="159"/>
    </row>
    <row r="5" spans="1:3" ht="15.75" x14ac:dyDescent="0.25">
      <c r="A5" s="267" t="s">
        <v>1</v>
      </c>
      <c r="B5" s="267"/>
      <c r="C5" s="267"/>
    </row>
    <row r="6" spans="1:3" ht="15.75" x14ac:dyDescent="0.25">
      <c r="A6" s="267" t="s">
        <v>2</v>
      </c>
      <c r="B6" s="267"/>
      <c r="C6" s="267"/>
    </row>
    <row r="7" spans="1:3" ht="15.75" x14ac:dyDescent="0.25">
      <c r="A7" s="267" t="s">
        <v>3</v>
      </c>
      <c r="B7" s="267"/>
      <c r="C7" s="267"/>
    </row>
    <row r="8" spans="1:3" ht="15.75" x14ac:dyDescent="0.25">
      <c r="A8" s="160"/>
      <c r="B8" s="160"/>
      <c r="C8" s="158" t="s">
        <v>805</v>
      </c>
    </row>
    <row r="9" spans="1:3" ht="31.5" x14ac:dyDescent="0.25">
      <c r="A9" s="161" t="s">
        <v>5</v>
      </c>
      <c r="B9" s="162" t="s">
        <v>6</v>
      </c>
      <c r="C9" s="163" t="s">
        <v>7</v>
      </c>
    </row>
    <row r="10" spans="1:3" ht="15.75" x14ac:dyDescent="0.25">
      <c r="A10" s="161">
        <v>1</v>
      </c>
      <c r="B10" s="162">
        <v>2</v>
      </c>
      <c r="C10" s="163">
        <v>3</v>
      </c>
    </row>
    <row r="11" spans="1:3" ht="15.75" x14ac:dyDescent="0.25">
      <c r="A11" s="164" t="s">
        <v>8</v>
      </c>
      <c r="B11" s="165" t="s">
        <v>9</v>
      </c>
      <c r="C11" s="4">
        <f>C12+C18+C23+C30+C36+C39+C45+C50+C53+C58</f>
        <v>272834.3</v>
      </c>
    </row>
    <row r="12" spans="1:3" ht="15.75" x14ac:dyDescent="0.25">
      <c r="A12" s="166" t="s">
        <v>10</v>
      </c>
      <c r="B12" s="165" t="s">
        <v>11</v>
      </c>
      <c r="C12" s="4">
        <f>C13</f>
        <v>207151</v>
      </c>
    </row>
    <row r="13" spans="1:3" ht="15.75" x14ac:dyDescent="0.25">
      <c r="A13" s="167" t="s">
        <v>12</v>
      </c>
      <c r="B13" s="168" t="s">
        <v>13</v>
      </c>
      <c r="C13" s="4">
        <f>SUM(C14:C17)</f>
        <v>207151</v>
      </c>
    </row>
    <row r="14" spans="1:3" ht="63" x14ac:dyDescent="0.25">
      <c r="A14" s="163" t="s">
        <v>14</v>
      </c>
      <c r="B14" s="169" t="s">
        <v>15</v>
      </c>
      <c r="C14" s="198">
        <f>216801-10000</f>
        <v>206801</v>
      </c>
    </row>
    <row r="15" spans="1:3" ht="94.5" x14ac:dyDescent="0.25">
      <c r="A15" s="163" t="s">
        <v>16</v>
      </c>
      <c r="B15" s="171" t="s">
        <v>17</v>
      </c>
      <c r="C15" s="198">
        <v>2</v>
      </c>
    </row>
    <row r="16" spans="1:3" ht="47.25" x14ac:dyDescent="0.25">
      <c r="A16" s="163" t="s">
        <v>18</v>
      </c>
      <c r="B16" s="171" t="s">
        <v>19</v>
      </c>
      <c r="C16" s="198">
        <v>337</v>
      </c>
    </row>
    <row r="17" spans="1:3" ht="78.75" x14ac:dyDescent="0.25">
      <c r="A17" s="163" t="s">
        <v>20</v>
      </c>
      <c r="B17" s="171" t="s">
        <v>21</v>
      </c>
      <c r="C17" s="198">
        <v>11</v>
      </c>
    </row>
    <row r="18" spans="1:3" ht="31.5" x14ac:dyDescent="0.25">
      <c r="A18" s="172" t="s">
        <v>22</v>
      </c>
      <c r="B18" s="173" t="s">
        <v>23</v>
      </c>
      <c r="C18" s="4">
        <f>C19</f>
        <v>3358</v>
      </c>
    </row>
    <row r="19" spans="1:3" ht="31.5" x14ac:dyDescent="0.25">
      <c r="A19" s="174" t="s">
        <v>24</v>
      </c>
      <c r="B19" s="175" t="s">
        <v>25</v>
      </c>
      <c r="C19" s="7">
        <f>SUM(C20:C22)</f>
        <v>3358</v>
      </c>
    </row>
    <row r="20" spans="1:3" ht="63" x14ac:dyDescent="0.25">
      <c r="A20" s="174" t="s">
        <v>26</v>
      </c>
      <c r="B20" s="171" t="s">
        <v>27</v>
      </c>
      <c r="C20" s="198">
        <v>1191.5</v>
      </c>
    </row>
    <row r="21" spans="1:3" ht="78.75" x14ac:dyDescent="0.25">
      <c r="A21" s="176" t="s">
        <v>28</v>
      </c>
      <c r="B21" s="171" t="s">
        <v>29</v>
      </c>
      <c r="C21" s="198">
        <v>18.100000000000001</v>
      </c>
    </row>
    <row r="22" spans="1:3" ht="63" x14ac:dyDescent="0.25">
      <c r="A22" s="176" t="s">
        <v>30</v>
      </c>
      <c r="B22" s="171" t="s">
        <v>31</v>
      </c>
      <c r="C22" s="199">
        <v>2148.4</v>
      </c>
    </row>
    <row r="23" spans="1:3" ht="15.75" x14ac:dyDescent="0.25">
      <c r="A23" s="167" t="s">
        <v>32</v>
      </c>
      <c r="B23" s="168" t="s">
        <v>33</v>
      </c>
      <c r="C23" s="4">
        <f>SUM(C24+C27+C29)</f>
        <v>20489.8</v>
      </c>
    </row>
    <row r="24" spans="1:3" ht="31.5" x14ac:dyDescent="0.25">
      <c r="A24" s="164" t="s">
        <v>34</v>
      </c>
      <c r="B24" s="168" t="s">
        <v>35</v>
      </c>
      <c r="C24" s="4">
        <f>SUM(C25:C26)</f>
        <v>10695.8</v>
      </c>
    </row>
    <row r="25" spans="1:3" ht="31.5" x14ac:dyDescent="0.25">
      <c r="A25" s="161" t="s">
        <v>36</v>
      </c>
      <c r="B25" s="177" t="s">
        <v>37</v>
      </c>
      <c r="C25" s="7">
        <f>10695.8/2</f>
        <v>5347.9</v>
      </c>
    </row>
    <row r="26" spans="1:3" ht="63" x14ac:dyDescent="0.25">
      <c r="A26" s="161" t="s">
        <v>38</v>
      </c>
      <c r="B26" s="177" t="s">
        <v>39</v>
      </c>
      <c r="C26" s="7">
        <f>10695.8/2</f>
        <v>5347.9</v>
      </c>
    </row>
    <row r="27" spans="1:3" ht="15.75" x14ac:dyDescent="0.25">
      <c r="A27" s="164" t="s">
        <v>40</v>
      </c>
      <c r="B27" s="168" t="s">
        <v>41</v>
      </c>
      <c r="C27" s="4">
        <f>SUM(C28)</f>
        <v>9639</v>
      </c>
    </row>
    <row r="28" spans="1:3" ht="15.75" x14ac:dyDescent="0.25">
      <c r="A28" s="163" t="s">
        <v>42</v>
      </c>
      <c r="B28" s="169" t="s">
        <v>41</v>
      </c>
      <c r="C28" s="7">
        <v>9639</v>
      </c>
    </row>
    <row r="29" spans="1:3" ht="31.5" x14ac:dyDescent="0.25">
      <c r="A29" s="164" t="s">
        <v>43</v>
      </c>
      <c r="B29" s="178" t="s">
        <v>44</v>
      </c>
      <c r="C29" s="4">
        <v>155</v>
      </c>
    </row>
    <row r="30" spans="1:3" ht="15.75" x14ac:dyDescent="0.25">
      <c r="A30" s="167" t="s">
        <v>45</v>
      </c>
      <c r="B30" s="168" t="s">
        <v>46</v>
      </c>
      <c r="C30" s="4">
        <f>C31+C33</f>
        <v>383</v>
      </c>
    </row>
    <row r="31" spans="1:3" ht="15.75" x14ac:dyDescent="0.25">
      <c r="A31" s="167" t="s">
        <v>47</v>
      </c>
      <c r="B31" s="168" t="s">
        <v>48</v>
      </c>
      <c r="C31" s="4">
        <f>C32</f>
        <v>71</v>
      </c>
    </row>
    <row r="32" spans="1:3" ht="47.25" x14ac:dyDescent="0.25">
      <c r="A32" s="163" t="s">
        <v>49</v>
      </c>
      <c r="B32" s="177" t="s">
        <v>50</v>
      </c>
      <c r="C32" s="7">
        <v>71</v>
      </c>
    </row>
    <row r="33" spans="1:3" ht="15.75" x14ac:dyDescent="0.25">
      <c r="A33" s="167" t="s">
        <v>51</v>
      </c>
      <c r="B33" s="168" t="s">
        <v>52</v>
      </c>
      <c r="C33" s="4">
        <f>C35+C34</f>
        <v>312</v>
      </c>
    </row>
    <row r="34" spans="1:3" ht="31.5" x14ac:dyDescent="0.25">
      <c r="A34" s="163" t="s">
        <v>53</v>
      </c>
      <c r="B34" s="177" t="s">
        <v>54</v>
      </c>
      <c r="C34" s="7">
        <v>167</v>
      </c>
    </row>
    <row r="35" spans="1:3" ht="31.5" x14ac:dyDescent="0.25">
      <c r="A35" s="163" t="s">
        <v>55</v>
      </c>
      <c r="B35" s="177" t="s">
        <v>56</v>
      </c>
      <c r="C35" s="7">
        <v>145</v>
      </c>
    </row>
    <row r="36" spans="1:3" ht="15.75" x14ac:dyDescent="0.25">
      <c r="A36" s="167" t="s">
        <v>57</v>
      </c>
      <c r="B36" s="168" t="s">
        <v>58</v>
      </c>
      <c r="C36" s="4">
        <f>C37</f>
        <v>2294</v>
      </c>
    </row>
    <row r="37" spans="1:3" ht="31.5" x14ac:dyDescent="0.25">
      <c r="A37" s="167" t="s">
        <v>59</v>
      </c>
      <c r="B37" s="168" t="s">
        <v>60</v>
      </c>
      <c r="C37" s="4">
        <f>C38</f>
        <v>2294</v>
      </c>
    </row>
    <row r="38" spans="1:3" ht="47.25" x14ac:dyDescent="0.25">
      <c r="A38" s="163" t="s">
        <v>61</v>
      </c>
      <c r="B38" s="169" t="s">
        <v>62</v>
      </c>
      <c r="C38" s="7">
        <v>2294</v>
      </c>
    </row>
    <row r="39" spans="1:3" ht="31.5" x14ac:dyDescent="0.25">
      <c r="A39" s="167" t="s">
        <v>63</v>
      </c>
      <c r="B39" s="179" t="s">
        <v>64</v>
      </c>
      <c r="C39" s="4">
        <f>C40</f>
        <v>30200</v>
      </c>
    </row>
    <row r="40" spans="1:3" ht="78.75" x14ac:dyDescent="0.25">
      <c r="A40" s="167" t="s">
        <v>65</v>
      </c>
      <c r="B40" s="179" t="s">
        <v>66</v>
      </c>
      <c r="C40" s="4">
        <f>C41+C43</f>
        <v>30200</v>
      </c>
    </row>
    <row r="41" spans="1:3" ht="63" x14ac:dyDescent="0.25">
      <c r="A41" s="167" t="s">
        <v>67</v>
      </c>
      <c r="B41" s="168" t="s">
        <v>68</v>
      </c>
      <c r="C41" s="4">
        <f>C42</f>
        <v>26900</v>
      </c>
    </row>
    <row r="42" spans="1:3" ht="63" x14ac:dyDescent="0.25">
      <c r="A42" s="163" t="s">
        <v>69</v>
      </c>
      <c r="B42" s="177" t="s">
        <v>70</v>
      </c>
      <c r="C42" s="7">
        <v>26900</v>
      </c>
    </row>
    <row r="43" spans="1:3" ht="31.5" x14ac:dyDescent="0.25">
      <c r="A43" s="167" t="s">
        <v>71</v>
      </c>
      <c r="B43" s="168" t="s">
        <v>72</v>
      </c>
      <c r="C43" s="4">
        <f>C44</f>
        <v>3300</v>
      </c>
    </row>
    <row r="44" spans="1:3" ht="31.5" x14ac:dyDescent="0.25">
      <c r="A44" s="163" t="s">
        <v>73</v>
      </c>
      <c r="B44" s="177" t="s">
        <v>74</v>
      </c>
      <c r="C44" s="7">
        <v>3300</v>
      </c>
    </row>
    <row r="45" spans="1:3" ht="15.75" x14ac:dyDescent="0.25">
      <c r="A45" s="167" t="s">
        <v>75</v>
      </c>
      <c r="B45" s="179" t="s">
        <v>76</v>
      </c>
      <c r="C45" s="4">
        <f>SUM(C46)</f>
        <v>5112.9999999999991</v>
      </c>
    </row>
    <row r="46" spans="1:3" ht="15.75" x14ac:dyDescent="0.25">
      <c r="A46" s="167" t="s">
        <v>77</v>
      </c>
      <c r="B46" s="179" t="s">
        <v>78</v>
      </c>
      <c r="C46" s="4">
        <f>SUM(C47:C49)</f>
        <v>5112.9999999999991</v>
      </c>
    </row>
    <row r="47" spans="1:3" ht="31.5" x14ac:dyDescent="0.25">
      <c r="A47" s="163" t="s">
        <v>79</v>
      </c>
      <c r="B47" s="169" t="s">
        <v>80</v>
      </c>
      <c r="C47" s="7">
        <v>386.3</v>
      </c>
    </row>
    <row r="48" spans="1:3" ht="15.75" x14ac:dyDescent="0.25">
      <c r="A48" s="163" t="s">
        <v>81</v>
      </c>
      <c r="B48" s="169" t="s">
        <v>82</v>
      </c>
      <c r="C48" s="7">
        <v>10.4</v>
      </c>
    </row>
    <row r="49" spans="1:3" ht="15.75" x14ac:dyDescent="0.25">
      <c r="A49" s="163" t="s">
        <v>83</v>
      </c>
      <c r="B49" s="169" t="s">
        <v>84</v>
      </c>
      <c r="C49" s="7">
        <f>6725.4-2009.1</f>
        <v>4716.2999999999993</v>
      </c>
    </row>
    <row r="50" spans="1:3" ht="31.5" x14ac:dyDescent="0.25">
      <c r="A50" s="167" t="s">
        <v>85</v>
      </c>
      <c r="B50" s="179" t="s">
        <v>86</v>
      </c>
      <c r="C50" s="4">
        <f>C52</f>
        <v>320</v>
      </c>
    </row>
    <row r="51" spans="1:3" ht="15.75" x14ac:dyDescent="0.25">
      <c r="A51" s="167" t="s">
        <v>87</v>
      </c>
      <c r="B51" s="179" t="s">
        <v>88</v>
      </c>
      <c r="C51" s="4">
        <f>C52</f>
        <v>320</v>
      </c>
    </row>
    <row r="52" spans="1:3" ht="31.5" x14ac:dyDescent="0.25">
      <c r="A52" s="163" t="s">
        <v>89</v>
      </c>
      <c r="B52" s="169" t="s">
        <v>90</v>
      </c>
      <c r="C52" s="7">
        <v>320</v>
      </c>
    </row>
    <row r="53" spans="1:3" ht="31.5" x14ac:dyDescent="0.25">
      <c r="A53" s="167" t="s">
        <v>91</v>
      </c>
      <c r="B53" s="179" t="s">
        <v>92</v>
      </c>
      <c r="C53" s="4">
        <f>SUM(C54+C56)</f>
        <v>650</v>
      </c>
    </row>
    <row r="54" spans="1:3" ht="78.75" x14ac:dyDescent="0.25">
      <c r="A54" s="167" t="s">
        <v>93</v>
      </c>
      <c r="B54" s="179" t="s">
        <v>94</v>
      </c>
      <c r="C54" s="4">
        <f>C55</f>
        <v>500</v>
      </c>
    </row>
    <row r="55" spans="1:3" ht="78.75" x14ac:dyDescent="0.25">
      <c r="A55" s="163" t="s">
        <v>95</v>
      </c>
      <c r="B55" s="169" t="s">
        <v>806</v>
      </c>
      <c r="C55" s="7">
        <v>500</v>
      </c>
    </row>
    <row r="56" spans="1:3" ht="31.5" x14ac:dyDescent="0.25">
      <c r="A56" s="167" t="s">
        <v>96</v>
      </c>
      <c r="B56" s="179" t="s">
        <v>97</v>
      </c>
      <c r="C56" s="4">
        <f>SUM(C57)</f>
        <v>150</v>
      </c>
    </row>
    <row r="57" spans="1:3" ht="47.25" x14ac:dyDescent="0.25">
      <c r="A57" s="163" t="s">
        <v>98</v>
      </c>
      <c r="B57" s="169" t="s">
        <v>99</v>
      </c>
      <c r="C57" s="7">
        <v>150</v>
      </c>
    </row>
    <row r="58" spans="1:3" ht="15.75" x14ac:dyDescent="0.25">
      <c r="A58" s="167" t="s">
        <v>100</v>
      </c>
      <c r="B58" s="179" t="s">
        <v>101</v>
      </c>
      <c r="C58" s="4">
        <f>C59+C62+C65+C70+C68+C66</f>
        <v>2875.5</v>
      </c>
    </row>
    <row r="59" spans="1:3" ht="31.5" x14ac:dyDescent="0.25">
      <c r="A59" s="167" t="s">
        <v>102</v>
      </c>
      <c r="B59" s="179" t="s">
        <v>103</v>
      </c>
      <c r="C59" s="4">
        <f>C60+C61</f>
        <v>28</v>
      </c>
    </row>
    <row r="60" spans="1:3" ht="63" x14ac:dyDescent="0.25">
      <c r="A60" s="163" t="s">
        <v>104</v>
      </c>
      <c r="B60" s="169" t="s">
        <v>105</v>
      </c>
      <c r="C60" s="7">
        <v>24.4</v>
      </c>
    </row>
    <row r="61" spans="1:3" ht="47.25" x14ac:dyDescent="0.25">
      <c r="A61" s="163" t="s">
        <v>106</v>
      </c>
      <c r="B61" s="169" t="s">
        <v>807</v>
      </c>
      <c r="C61" s="7">
        <v>3.6</v>
      </c>
    </row>
    <row r="62" spans="1:3" ht="94.5" x14ac:dyDescent="0.25">
      <c r="A62" s="167" t="s">
        <v>107</v>
      </c>
      <c r="B62" s="179" t="s">
        <v>108</v>
      </c>
      <c r="C62" s="4">
        <f>C63+C64</f>
        <v>80</v>
      </c>
    </row>
    <row r="63" spans="1:3" ht="31.5" x14ac:dyDescent="0.25">
      <c r="A63" s="163" t="s">
        <v>109</v>
      </c>
      <c r="B63" s="169" t="s">
        <v>110</v>
      </c>
      <c r="C63" s="7">
        <v>50</v>
      </c>
    </row>
    <row r="64" spans="1:3" ht="15.75" x14ac:dyDescent="0.25">
      <c r="A64" s="163" t="s">
        <v>111</v>
      </c>
      <c r="B64" s="169" t="s">
        <v>112</v>
      </c>
      <c r="C64" s="7">
        <v>30</v>
      </c>
    </row>
    <row r="65" spans="1:5" ht="47.25" x14ac:dyDescent="0.25">
      <c r="A65" s="167" t="s">
        <v>113</v>
      </c>
      <c r="B65" s="179" t="s">
        <v>114</v>
      </c>
      <c r="C65" s="4">
        <v>2000</v>
      </c>
    </row>
    <row r="66" spans="1:5" ht="31.5" x14ac:dyDescent="0.25">
      <c r="A66" s="167" t="s">
        <v>115</v>
      </c>
      <c r="B66" s="179" t="s">
        <v>116</v>
      </c>
      <c r="C66" s="4">
        <f>C67</f>
        <v>5</v>
      </c>
    </row>
    <row r="67" spans="1:5" ht="31.5" x14ac:dyDescent="0.25">
      <c r="A67" s="163" t="s">
        <v>117</v>
      </c>
      <c r="B67" s="169" t="s">
        <v>118</v>
      </c>
      <c r="C67" s="7">
        <v>5</v>
      </c>
    </row>
    <row r="68" spans="1:5" ht="63" x14ac:dyDescent="0.25">
      <c r="A68" s="167" t="s">
        <v>119</v>
      </c>
      <c r="B68" s="179" t="s">
        <v>120</v>
      </c>
      <c r="C68" s="4">
        <v>215</v>
      </c>
    </row>
    <row r="69" spans="1:5" ht="31.5" x14ac:dyDescent="0.25">
      <c r="A69" s="167" t="s">
        <v>121</v>
      </c>
      <c r="B69" s="179" t="s">
        <v>122</v>
      </c>
      <c r="C69" s="4">
        <f>C70</f>
        <v>547.5</v>
      </c>
    </row>
    <row r="70" spans="1:5" ht="31.5" x14ac:dyDescent="0.25">
      <c r="A70" s="163" t="s">
        <v>123</v>
      </c>
      <c r="B70" s="169" t="s">
        <v>124</v>
      </c>
      <c r="C70" s="7">
        <v>547.5</v>
      </c>
    </row>
    <row r="71" spans="1:5" ht="15.75" x14ac:dyDescent="0.25">
      <c r="A71" s="167" t="s">
        <v>125</v>
      </c>
      <c r="B71" s="168" t="s">
        <v>126</v>
      </c>
      <c r="C71" s="4">
        <f>C72</f>
        <v>326435.90000000002</v>
      </c>
    </row>
    <row r="72" spans="1:5" ht="31.5" x14ac:dyDescent="0.25">
      <c r="A72" s="167" t="s">
        <v>127</v>
      </c>
      <c r="B72" s="168" t="s">
        <v>128</v>
      </c>
      <c r="C72" s="4">
        <f>C73+C79+C108+C128</f>
        <v>326435.90000000002</v>
      </c>
    </row>
    <row r="73" spans="1:5" ht="15.75" x14ac:dyDescent="0.25">
      <c r="A73" s="167" t="s">
        <v>129</v>
      </c>
      <c r="B73" s="180" t="s">
        <v>130</v>
      </c>
      <c r="C73" s="4">
        <f>C74+C77</f>
        <v>106990.8</v>
      </c>
    </row>
    <row r="74" spans="1:5" ht="31.5" x14ac:dyDescent="0.25">
      <c r="A74" s="167" t="s">
        <v>131</v>
      </c>
      <c r="B74" s="168" t="s">
        <v>132</v>
      </c>
      <c r="C74" s="4">
        <f>SUM(C75+C76)</f>
        <v>105360</v>
      </c>
    </row>
    <row r="75" spans="1:5" ht="94.5" x14ac:dyDescent="0.25">
      <c r="A75" s="170" t="s">
        <v>131</v>
      </c>
      <c r="B75" s="177" t="s">
        <v>133</v>
      </c>
      <c r="C75" s="7">
        <v>104300</v>
      </c>
    </row>
    <row r="76" spans="1:5" ht="94.5" x14ac:dyDescent="0.25">
      <c r="A76" s="170" t="s">
        <v>131</v>
      </c>
      <c r="B76" s="177" t="s">
        <v>134</v>
      </c>
      <c r="C76" s="7">
        <v>1060</v>
      </c>
    </row>
    <row r="77" spans="1:5" ht="15.75" x14ac:dyDescent="0.25">
      <c r="A77" s="244" t="s">
        <v>915</v>
      </c>
      <c r="B77" s="245" t="s">
        <v>916</v>
      </c>
      <c r="C77" s="68">
        <f>SUM(C78)</f>
        <v>1630.8</v>
      </c>
    </row>
    <row r="78" spans="1:5" ht="48.75" customHeight="1" x14ac:dyDescent="0.25">
      <c r="A78" s="6" t="s">
        <v>915</v>
      </c>
      <c r="B78" s="246" t="s">
        <v>917</v>
      </c>
      <c r="C78" s="6">
        <v>1630.8</v>
      </c>
    </row>
    <row r="79" spans="1:5" ht="31.5" x14ac:dyDescent="0.25">
      <c r="A79" s="167" t="s">
        <v>135</v>
      </c>
      <c r="B79" s="168" t="s">
        <v>136</v>
      </c>
      <c r="C79" s="4">
        <f>C80+C82+C84+C86</f>
        <v>48373.5</v>
      </c>
      <c r="E79" s="142"/>
    </row>
    <row r="80" spans="1:5" ht="15.75" x14ac:dyDescent="0.25">
      <c r="A80" s="181" t="s">
        <v>850</v>
      </c>
      <c r="B80" s="168" t="s">
        <v>851</v>
      </c>
      <c r="C80" s="4">
        <f>SUM(C81)</f>
        <v>319</v>
      </c>
    </row>
    <row r="81" spans="1:4" s="182" customFormat="1" ht="78.75" x14ac:dyDescent="0.25">
      <c r="A81" s="234" t="s">
        <v>852</v>
      </c>
      <c r="B81" s="177" t="s">
        <v>866</v>
      </c>
      <c r="C81" s="7">
        <v>319</v>
      </c>
    </row>
    <row r="82" spans="1:4" ht="15.75" x14ac:dyDescent="0.25">
      <c r="A82" s="181" t="s">
        <v>808</v>
      </c>
      <c r="B82" s="168" t="s">
        <v>809</v>
      </c>
      <c r="C82" s="4">
        <f>SUM(C83)</f>
        <v>3.5</v>
      </c>
    </row>
    <row r="83" spans="1:4" s="182" customFormat="1" ht="63" x14ac:dyDescent="0.25">
      <c r="A83" s="234" t="s">
        <v>810</v>
      </c>
      <c r="B83" s="177" t="s">
        <v>867</v>
      </c>
      <c r="C83" s="7">
        <v>3.5</v>
      </c>
    </row>
    <row r="84" spans="1:4" ht="47.25" x14ac:dyDescent="0.25">
      <c r="A84" s="181" t="s">
        <v>811</v>
      </c>
      <c r="B84" s="168" t="s">
        <v>812</v>
      </c>
      <c r="C84" s="4">
        <f>SUM(C85)</f>
        <v>1406.9</v>
      </c>
    </row>
    <row r="85" spans="1:4" s="182" customFormat="1" ht="110.25" x14ac:dyDescent="0.25">
      <c r="A85" s="234" t="s">
        <v>813</v>
      </c>
      <c r="B85" s="177" t="s">
        <v>818</v>
      </c>
      <c r="C85" s="7">
        <v>1406.9</v>
      </c>
    </row>
    <row r="86" spans="1:4" ht="15.75" x14ac:dyDescent="0.25">
      <c r="A86" s="264" t="s">
        <v>137</v>
      </c>
      <c r="B86" s="177" t="s">
        <v>138</v>
      </c>
      <c r="C86" s="7">
        <f>SUM(C88+C89+C90+C91+C94+C95+C96+C97+C98+C99+C100+C101+C102+C103+C104+C105+C106+C107)</f>
        <v>46644.1</v>
      </c>
    </row>
    <row r="87" spans="1:4" ht="15.75" x14ac:dyDescent="0.25">
      <c r="A87" s="265"/>
      <c r="B87" s="177" t="s">
        <v>139</v>
      </c>
      <c r="C87" s="7"/>
    </row>
    <row r="88" spans="1:4" ht="141.75" x14ac:dyDescent="0.25">
      <c r="A88" s="265"/>
      <c r="B88" s="177" t="s">
        <v>140</v>
      </c>
      <c r="C88" s="7">
        <v>18292</v>
      </c>
    </row>
    <row r="89" spans="1:4" ht="63" x14ac:dyDescent="0.25">
      <c r="A89" s="265"/>
      <c r="B89" s="169" t="s">
        <v>141</v>
      </c>
      <c r="C89" s="7">
        <v>177.3</v>
      </c>
    </row>
    <row r="90" spans="1:4" ht="94.5" x14ac:dyDescent="0.25">
      <c r="A90" s="265"/>
      <c r="B90" s="183" t="s">
        <v>837</v>
      </c>
      <c r="C90" s="200">
        <v>1303.8</v>
      </c>
    </row>
    <row r="91" spans="1:4" ht="78.75" x14ac:dyDescent="0.25">
      <c r="A91" s="265"/>
      <c r="B91" s="184" t="s">
        <v>814</v>
      </c>
      <c r="C91" s="11">
        <f>SUM(C92:C93)</f>
        <v>52</v>
      </c>
    </row>
    <row r="92" spans="1:4" s="185" customFormat="1" ht="94.5" x14ac:dyDescent="0.25">
      <c r="A92" s="265"/>
      <c r="B92" s="210" t="s">
        <v>815</v>
      </c>
      <c r="C92" s="201">
        <v>32</v>
      </c>
    </row>
    <row r="93" spans="1:4" s="185" customFormat="1" ht="94.5" x14ac:dyDescent="0.25">
      <c r="A93" s="265"/>
      <c r="B93" s="211" t="s">
        <v>836</v>
      </c>
      <c r="C93" s="202">
        <v>20</v>
      </c>
      <c r="D93" s="185" t="s">
        <v>969</v>
      </c>
    </row>
    <row r="94" spans="1:4" ht="78.75" x14ac:dyDescent="0.25">
      <c r="A94" s="265"/>
      <c r="B94" s="169" t="s">
        <v>142</v>
      </c>
      <c r="C94" s="7">
        <v>1232.5999999999999</v>
      </c>
      <c r="D94" s="185" t="s">
        <v>970</v>
      </c>
    </row>
    <row r="95" spans="1:4" ht="78.75" x14ac:dyDescent="0.25">
      <c r="A95" s="265"/>
      <c r="B95" s="169" t="s">
        <v>143</v>
      </c>
      <c r="C95" s="7">
        <v>450</v>
      </c>
    </row>
    <row r="96" spans="1:4" ht="78.75" x14ac:dyDescent="0.25">
      <c r="A96" s="265"/>
      <c r="B96" s="169" t="s">
        <v>144</v>
      </c>
      <c r="C96" s="7">
        <f>3907.3-814.9</f>
        <v>3092.4</v>
      </c>
    </row>
    <row r="97" spans="1:4" ht="94.5" x14ac:dyDescent="0.25">
      <c r="A97" s="265"/>
      <c r="B97" s="169" t="s">
        <v>145</v>
      </c>
      <c r="C97" s="7">
        <v>448.7</v>
      </c>
      <c r="D97" s="185" t="s">
        <v>971</v>
      </c>
    </row>
    <row r="98" spans="1:4" ht="94.5" x14ac:dyDescent="0.25">
      <c r="A98" s="265"/>
      <c r="B98" s="169" t="s">
        <v>816</v>
      </c>
      <c r="C98" s="7">
        <v>20000</v>
      </c>
    </row>
    <row r="99" spans="1:4" ht="78.75" x14ac:dyDescent="0.25">
      <c r="A99" s="265"/>
      <c r="B99" s="169" t="s">
        <v>817</v>
      </c>
      <c r="C99" s="7">
        <v>111.2</v>
      </c>
    </row>
    <row r="100" spans="1:4" ht="110.25" x14ac:dyDescent="0.25">
      <c r="A100" s="265"/>
      <c r="B100" s="169" t="s">
        <v>818</v>
      </c>
      <c r="C100" s="7">
        <v>191.9</v>
      </c>
    </row>
    <row r="101" spans="1:4" ht="78.75" x14ac:dyDescent="0.25">
      <c r="A101" s="265"/>
      <c r="B101" s="169" t="s">
        <v>819</v>
      </c>
      <c r="C101" s="7">
        <v>0.5</v>
      </c>
    </row>
    <row r="102" spans="1:4" ht="63" x14ac:dyDescent="0.25">
      <c r="A102" s="265"/>
      <c r="B102" s="169" t="s">
        <v>820</v>
      </c>
      <c r="C102" s="7">
        <v>500</v>
      </c>
    </row>
    <row r="103" spans="1:4" ht="78.75" x14ac:dyDescent="0.25">
      <c r="A103" s="265"/>
      <c r="B103" s="169" t="s">
        <v>866</v>
      </c>
      <c r="C103" s="7">
        <v>53.6</v>
      </c>
    </row>
    <row r="104" spans="1:4" ht="94.5" x14ac:dyDescent="0.25">
      <c r="A104" s="265"/>
      <c r="B104" s="169" t="s">
        <v>868</v>
      </c>
      <c r="C104" s="7">
        <v>59.4</v>
      </c>
    </row>
    <row r="105" spans="1:4" ht="63" x14ac:dyDescent="0.25">
      <c r="A105" s="265"/>
      <c r="B105" s="169" t="s">
        <v>869</v>
      </c>
      <c r="C105" s="7">
        <v>500</v>
      </c>
    </row>
    <row r="106" spans="1:4" ht="63" x14ac:dyDescent="0.25">
      <c r="A106" s="265"/>
      <c r="B106" s="169" t="s">
        <v>870</v>
      </c>
      <c r="C106" s="7">
        <v>90</v>
      </c>
    </row>
    <row r="107" spans="1:4" ht="126" x14ac:dyDescent="0.25">
      <c r="A107" s="266"/>
      <c r="B107" s="169" t="s">
        <v>875</v>
      </c>
      <c r="C107" s="7">
        <v>88.7</v>
      </c>
    </row>
    <row r="108" spans="1:4" ht="15.75" x14ac:dyDescent="0.25">
      <c r="A108" s="167" t="s">
        <v>146</v>
      </c>
      <c r="B108" s="179" t="s">
        <v>147</v>
      </c>
      <c r="C108" s="4">
        <f>C126+C109</f>
        <v>152842.1</v>
      </c>
    </row>
    <row r="109" spans="1:4" ht="31.5" x14ac:dyDescent="0.25">
      <c r="A109" s="167" t="s">
        <v>148</v>
      </c>
      <c r="B109" s="179" t="s">
        <v>149</v>
      </c>
      <c r="C109" s="4">
        <f>C110</f>
        <v>152140.30000000002</v>
      </c>
    </row>
    <row r="110" spans="1:4" ht="31.5" x14ac:dyDescent="0.25">
      <c r="A110" s="264" t="s">
        <v>150</v>
      </c>
      <c r="B110" s="169" t="s">
        <v>151</v>
      </c>
      <c r="C110" s="7">
        <f>SUM(C112+C113+C114+C115+C116+C118+C119+C122+C123+C124+C125)</f>
        <v>152140.30000000002</v>
      </c>
    </row>
    <row r="111" spans="1:4" ht="15.75" x14ac:dyDescent="0.25">
      <c r="A111" s="265"/>
      <c r="B111" s="169" t="s">
        <v>152</v>
      </c>
      <c r="C111" s="7"/>
    </row>
    <row r="112" spans="1:4" ht="110.25" x14ac:dyDescent="0.25">
      <c r="A112" s="265"/>
      <c r="B112" s="183" t="s">
        <v>838</v>
      </c>
      <c r="C112" s="11">
        <v>79753.600000000006</v>
      </c>
    </row>
    <row r="113" spans="1:4" ht="78.75" x14ac:dyDescent="0.25">
      <c r="A113" s="265"/>
      <c r="B113" s="169" t="s">
        <v>153</v>
      </c>
      <c r="C113" s="7">
        <f>58518.6-2198.6</f>
        <v>56320</v>
      </c>
    </row>
    <row r="114" spans="1:4" ht="110.25" x14ac:dyDescent="0.25">
      <c r="A114" s="265"/>
      <c r="B114" s="169" t="s">
        <v>821</v>
      </c>
      <c r="C114" s="7">
        <v>4672.6000000000004</v>
      </c>
      <c r="D114" s="185" t="s">
        <v>972</v>
      </c>
    </row>
    <row r="115" spans="1:4" ht="110.25" x14ac:dyDescent="0.25">
      <c r="A115" s="265"/>
      <c r="B115" s="169" t="s">
        <v>822</v>
      </c>
      <c r="C115" s="7">
        <v>1121.4000000000001</v>
      </c>
      <c r="D115" s="185" t="s">
        <v>973</v>
      </c>
    </row>
    <row r="116" spans="1:4" ht="110.25" x14ac:dyDescent="0.25">
      <c r="A116" s="265"/>
      <c r="B116" s="169" t="s">
        <v>154</v>
      </c>
      <c r="C116" s="7">
        <v>1752.9</v>
      </c>
    </row>
    <row r="117" spans="1:4" ht="126" x14ac:dyDescent="0.25">
      <c r="A117" s="265"/>
      <c r="B117" s="169" t="s">
        <v>155</v>
      </c>
      <c r="C117" s="7">
        <v>0</v>
      </c>
    </row>
    <row r="118" spans="1:4" ht="110.25" x14ac:dyDescent="0.25">
      <c r="A118" s="265"/>
      <c r="B118" s="169" t="s">
        <v>156</v>
      </c>
      <c r="C118" s="7">
        <v>1119.7</v>
      </c>
      <c r="D118" s="185" t="s">
        <v>974</v>
      </c>
    </row>
    <row r="119" spans="1:4" ht="47.25" x14ac:dyDescent="0.25">
      <c r="A119" s="265"/>
      <c r="B119" s="169" t="s">
        <v>157</v>
      </c>
      <c r="C119" s="7">
        <f>SUM(C120:C121)</f>
        <v>3079.5</v>
      </c>
    </row>
    <row r="120" spans="1:4" ht="31.5" x14ac:dyDescent="0.25">
      <c r="A120" s="265"/>
      <c r="B120" s="186" t="s">
        <v>823</v>
      </c>
      <c r="C120" s="202">
        <v>2441</v>
      </c>
      <c r="D120" s="185" t="s">
        <v>975</v>
      </c>
    </row>
    <row r="121" spans="1:4" ht="31.5" x14ac:dyDescent="0.25">
      <c r="A121" s="265"/>
      <c r="B121" s="186" t="s">
        <v>824</v>
      </c>
      <c r="C121" s="202">
        <v>638.5</v>
      </c>
    </row>
    <row r="122" spans="1:4" ht="126" x14ac:dyDescent="0.25">
      <c r="A122" s="265"/>
      <c r="B122" s="169" t="s">
        <v>158</v>
      </c>
      <c r="C122" s="7">
        <v>263.3</v>
      </c>
    </row>
    <row r="123" spans="1:4" ht="126" x14ac:dyDescent="0.25">
      <c r="A123" s="265"/>
      <c r="B123" s="169" t="s">
        <v>159</v>
      </c>
      <c r="C123" s="7">
        <v>856.2</v>
      </c>
      <c r="D123" s="185" t="s">
        <v>958</v>
      </c>
    </row>
    <row r="124" spans="1:4" ht="47.25" x14ac:dyDescent="0.25">
      <c r="A124" s="265"/>
      <c r="B124" s="169" t="s">
        <v>160</v>
      </c>
      <c r="C124" s="7">
        <v>1069.0999999999999</v>
      </c>
      <c r="D124" s="185" t="s">
        <v>976</v>
      </c>
    </row>
    <row r="125" spans="1:4" ht="47.25" x14ac:dyDescent="0.25">
      <c r="A125" s="266"/>
      <c r="B125" s="169" t="s">
        <v>825</v>
      </c>
      <c r="C125" s="7">
        <v>2132</v>
      </c>
    </row>
    <row r="126" spans="1:4" ht="31.5" x14ac:dyDescent="0.25">
      <c r="A126" s="167" t="s">
        <v>161</v>
      </c>
      <c r="B126" s="179" t="s">
        <v>162</v>
      </c>
      <c r="C126" s="4">
        <f>C127</f>
        <v>701.8</v>
      </c>
    </row>
    <row r="127" spans="1:4" ht="31.5" x14ac:dyDescent="0.25">
      <c r="A127" s="163" t="s">
        <v>163</v>
      </c>
      <c r="B127" s="169" t="s">
        <v>164</v>
      </c>
      <c r="C127" s="7">
        <v>701.8</v>
      </c>
    </row>
    <row r="128" spans="1:4" ht="15.75" x14ac:dyDescent="0.25">
      <c r="A128" s="167" t="s">
        <v>165</v>
      </c>
      <c r="B128" s="179" t="s">
        <v>166</v>
      </c>
      <c r="C128" s="4">
        <f>SUM(C129+C131)</f>
        <v>18229.5</v>
      </c>
    </row>
    <row r="129" spans="1:4" ht="47.25" x14ac:dyDescent="0.25">
      <c r="A129" s="187" t="s">
        <v>826</v>
      </c>
      <c r="B129" s="188" t="s">
        <v>827</v>
      </c>
      <c r="C129" s="4">
        <f>SUM(C130)</f>
        <v>5000</v>
      </c>
    </row>
    <row r="130" spans="1:4" s="182" customFormat="1" ht="63" x14ac:dyDescent="0.25">
      <c r="A130" s="189" t="s">
        <v>828</v>
      </c>
      <c r="B130" s="190" t="s">
        <v>829</v>
      </c>
      <c r="C130" s="7">
        <v>5000</v>
      </c>
    </row>
    <row r="131" spans="1:4" ht="15.75" x14ac:dyDescent="0.25">
      <c r="A131" s="167" t="s">
        <v>167</v>
      </c>
      <c r="B131" s="179" t="s">
        <v>168</v>
      </c>
      <c r="C131" s="4">
        <f>SUM(C132:C134)</f>
        <v>13229.5</v>
      </c>
    </row>
    <row r="132" spans="1:4" ht="110.25" x14ac:dyDescent="0.25">
      <c r="A132" s="264" t="s">
        <v>169</v>
      </c>
      <c r="B132" s="190" t="s">
        <v>919</v>
      </c>
      <c r="C132" s="203">
        <f>9227.5+408.7</f>
        <v>9636.2000000000007</v>
      </c>
    </row>
    <row r="133" spans="1:4" ht="126" x14ac:dyDescent="0.25">
      <c r="A133" s="265"/>
      <c r="B133" s="190" t="s">
        <v>918</v>
      </c>
      <c r="C133" s="203">
        <v>1593.3</v>
      </c>
      <c r="D133" s="157" t="s">
        <v>977</v>
      </c>
    </row>
    <row r="134" spans="1:4" ht="47.25" x14ac:dyDescent="0.25">
      <c r="A134" s="266"/>
      <c r="B134" s="190" t="s">
        <v>830</v>
      </c>
      <c r="C134" s="203">
        <v>2000</v>
      </c>
    </row>
    <row r="135" spans="1:4" ht="15.75" x14ac:dyDescent="0.25">
      <c r="A135" s="163"/>
      <c r="B135" s="168" t="s">
        <v>170</v>
      </c>
      <c r="C135" s="4">
        <f>SUM(C71+C11)</f>
        <v>599270.19999999995</v>
      </c>
    </row>
    <row r="139" spans="1:4" x14ac:dyDescent="0.25">
      <c r="C139" s="142"/>
    </row>
  </sheetData>
  <mergeCells count="6">
    <mergeCell ref="A132:A134"/>
    <mergeCell ref="A5:C5"/>
    <mergeCell ref="A6:C6"/>
    <mergeCell ref="A7:C7"/>
    <mergeCell ref="A110:A125"/>
    <mergeCell ref="A86:A107"/>
  </mergeCells>
  <pageMargins left="0.39370078740157483" right="0.39370078740157483" top="1.1811023622047245" bottom="0.39370078740157483" header="0.31496062992125984" footer="0.31496062992125984"/>
  <pageSetup paperSize="9" scale="75" orientation="portrait" r:id="rId1"/>
  <ignoredErrors>
    <ignoredError sqref="C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zoomScale="60" zoomScaleNormal="100" workbookViewId="0">
      <selection activeCell="B3" sqref="B3"/>
    </sheetView>
  </sheetViews>
  <sheetFormatPr defaultRowHeight="15" x14ac:dyDescent="0.25"/>
  <cols>
    <col min="1" max="1" width="69.5703125" customWidth="1"/>
    <col min="2" max="2" width="5.7109375" customWidth="1"/>
    <col min="3" max="3" width="6.140625" customWidth="1"/>
    <col min="4" max="4" width="13.85546875" customWidth="1"/>
  </cols>
  <sheetData>
    <row r="1" spans="1:4" ht="18.75" x14ac:dyDescent="0.3">
      <c r="A1" s="12"/>
      <c r="B1" s="191" t="s">
        <v>913</v>
      </c>
      <c r="C1" s="12"/>
    </row>
    <row r="2" spans="1:4" ht="18.75" x14ac:dyDescent="0.3">
      <c r="A2" s="12"/>
      <c r="B2" s="191" t="s">
        <v>0</v>
      </c>
      <c r="C2" s="12"/>
    </row>
    <row r="3" spans="1:4" ht="18.75" x14ac:dyDescent="0.3">
      <c r="A3" s="12"/>
      <c r="B3" s="191" t="s">
        <v>1032</v>
      </c>
      <c r="C3" s="12"/>
    </row>
    <row r="4" spans="1:4" ht="18.75" x14ac:dyDescent="0.3">
      <c r="A4" s="12"/>
      <c r="B4" s="191"/>
      <c r="C4" s="12"/>
    </row>
    <row r="5" spans="1:4" ht="16.5" x14ac:dyDescent="0.25">
      <c r="A5" s="268" t="s">
        <v>778</v>
      </c>
      <c r="B5" s="268"/>
      <c r="C5" s="268"/>
      <c r="D5" s="268"/>
    </row>
    <row r="6" spans="1:4" ht="16.5" x14ac:dyDescent="0.25">
      <c r="A6" s="268" t="s">
        <v>779</v>
      </c>
      <c r="B6" s="268"/>
      <c r="C6" s="268"/>
      <c r="D6" s="268"/>
    </row>
    <row r="7" spans="1:4" ht="16.5" x14ac:dyDescent="0.25">
      <c r="A7" s="268" t="s">
        <v>780</v>
      </c>
      <c r="B7" s="268"/>
      <c r="C7" s="268"/>
      <c r="D7" s="268"/>
    </row>
    <row r="8" spans="1:4" ht="15.75" x14ac:dyDescent="0.25">
      <c r="A8" s="269"/>
      <c r="B8" s="270"/>
      <c r="C8" s="270"/>
      <c r="D8" s="270"/>
    </row>
    <row r="9" spans="1:4" ht="15.75" x14ac:dyDescent="0.25">
      <c r="B9" s="113"/>
      <c r="C9" s="113"/>
      <c r="D9" s="114" t="s">
        <v>4</v>
      </c>
    </row>
    <row r="10" spans="1:4" ht="31.5" x14ac:dyDescent="0.25">
      <c r="A10" s="115" t="s">
        <v>781</v>
      </c>
      <c r="B10" s="115" t="s">
        <v>782</v>
      </c>
      <c r="C10" s="115" t="s">
        <v>783</v>
      </c>
      <c r="D10" s="78" t="s">
        <v>7</v>
      </c>
    </row>
    <row r="11" spans="1:4" ht="15.75" x14ac:dyDescent="0.25">
      <c r="A11" s="116">
        <v>1</v>
      </c>
      <c r="B11" s="116">
        <v>2</v>
      </c>
      <c r="C11" s="116">
        <v>3</v>
      </c>
      <c r="D11" s="78">
        <v>4</v>
      </c>
    </row>
    <row r="12" spans="1:4" ht="15.75" x14ac:dyDescent="0.25">
      <c r="A12" s="49" t="s">
        <v>180</v>
      </c>
      <c r="B12" s="25" t="s">
        <v>181</v>
      </c>
      <c r="C12" s="117"/>
      <c r="D12" s="118">
        <f>D13+D14+D15+D16+D18</f>
        <v>115341.1</v>
      </c>
    </row>
    <row r="13" spans="1:4" ht="31.5" x14ac:dyDescent="0.25">
      <c r="A13" s="33" t="s">
        <v>640</v>
      </c>
      <c r="B13" s="21" t="s">
        <v>181</v>
      </c>
      <c r="C13" s="21" t="s">
        <v>276</v>
      </c>
      <c r="D13" s="28">
        <f>'ПРил.№3 Рд,пр, ЦС,ВР'!F11</f>
        <v>4379.1000000000004</v>
      </c>
    </row>
    <row r="14" spans="1:4" ht="47.25" x14ac:dyDescent="0.25">
      <c r="A14" s="33" t="s">
        <v>643</v>
      </c>
      <c r="B14" s="21" t="s">
        <v>181</v>
      </c>
      <c r="C14" s="21" t="s">
        <v>278</v>
      </c>
      <c r="D14" s="28">
        <f>'ПРил.№3 Рд,пр, ЦС,ВР'!F19</f>
        <v>1324.7</v>
      </c>
    </row>
    <row r="15" spans="1:4" ht="47.25" x14ac:dyDescent="0.25">
      <c r="A15" s="26" t="s">
        <v>212</v>
      </c>
      <c r="B15" s="21" t="s">
        <v>181</v>
      </c>
      <c r="C15" s="21" t="s">
        <v>213</v>
      </c>
      <c r="D15" s="28">
        <f>'ПРил.№3 Рд,пр, ЦС,ВР'!F29</f>
        <v>61138.899999999994</v>
      </c>
    </row>
    <row r="16" spans="1:4" ht="31.5" x14ac:dyDescent="0.25">
      <c r="A16" s="26" t="s">
        <v>182</v>
      </c>
      <c r="B16" s="21" t="s">
        <v>181</v>
      </c>
      <c r="C16" s="21" t="s">
        <v>183</v>
      </c>
      <c r="D16" s="28">
        <f>'ПРил.№3 Рд,пр, ЦС,ВР'!F49</f>
        <v>14736.66</v>
      </c>
    </row>
    <row r="17" spans="1:4" ht="15.75" hidden="1" x14ac:dyDescent="0.25">
      <c r="A17" s="26" t="s">
        <v>784</v>
      </c>
      <c r="B17" s="21" t="s">
        <v>181</v>
      </c>
      <c r="C17" s="21" t="s">
        <v>555</v>
      </c>
      <c r="D17" s="28">
        <v>0</v>
      </c>
    </row>
    <row r="18" spans="1:4" ht="15.75" x14ac:dyDescent="0.25">
      <c r="A18" s="119" t="s">
        <v>202</v>
      </c>
      <c r="B18" s="21" t="s">
        <v>181</v>
      </c>
      <c r="C18" s="21" t="s">
        <v>203</v>
      </c>
      <c r="D18" s="28">
        <f>'ПРил.№3 Рд,пр, ЦС,ВР'!F67</f>
        <v>33761.74</v>
      </c>
    </row>
    <row r="19" spans="1:4" ht="15.75" hidden="1" x14ac:dyDescent="0.25">
      <c r="A19" s="20" t="s">
        <v>275</v>
      </c>
      <c r="B19" s="25" t="s">
        <v>276</v>
      </c>
      <c r="C19" s="21"/>
      <c r="D19" s="46">
        <f>D20</f>
        <v>0</v>
      </c>
    </row>
    <row r="20" spans="1:4" ht="15.75" hidden="1" x14ac:dyDescent="0.25">
      <c r="A20" s="26" t="s">
        <v>281</v>
      </c>
      <c r="B20" s="21" t="s">
        <v>276</v>
      </c>
      <c r="C20" s="21" t="s">
        <v>282</v>
      </c>
      <c r="D20" s="28">
        <v>0</v>
      </c>
    </row>
    <row r="21" spans="1:4" ht="18" customHeight="1" x14ac:dyDescent="0.25">
      <c r="A21" s="36" t="s">
        <v>285</v>
      </c>
      <c r="B21" s="25" t="s">
        <v>278</v>
      </c>
      <c r="C21" s="25"/>
      <c r="D21" s="46">
        <f>D22</f>
        <v>5864.8</v>
      </c>
    </row>
    <row r="22" spans="1:4" ht="31.5" x14ac:dyDescent="0.25">
      <c r="A22" s="33" t="s">
        <v>286</v>
      </c>
      <c r="B22" s="21" t="s">
        <v>278</v>
      </c>
      <c r="C22" s="21" t="s">
        <v>282</v>
      </c>
      <c r="D22" s="28">
        <f>'ПРил.№3 Рд,пр, ЦС,ВР'!F170</f>
        <v>5864.8</v>
      </c>
    </row>
    <row r="23" spans="1:4" ht="15.75" x14ac:dyDescent="0.25">
      <c r="A23" s="49" t="s">
        <v>295</v>
      </c>
      <c r="B23" s="25" t="s">
        <v>213</v>
      </c>
      <c r="C23" s="25"/>
      <c r="D23" s="46">
        <f>D24+D25+D26+D27</f>
        <v>19236.3</v>
      </c>
    </row>
    <row r="24" spans="1:4" ht="15.75" x14ac:dyDescent="0.25">
      <c r="A24" s="120" t="s">
        <v>296</v>
      </c>
      <c r="B24" s="21" t="s">
        <v>213</v>
      </c>
      <c r="C24" s="21" t="s">
        <v>297</v>
      </c>
      <c r="D24" s="28">
        <f>'ПРил.№3 Рд,пр, ЦС,ВР'!F191</f>
        <v>450</v>
      </c>
    </row>
    <row r="25" spans="1:4" ht="15.75" x14ac:dyDescent="0.25">
      <c r="A25" s="119" t="s">
        <v>569</v>
      </c>
      <c r="B25" s="21" t="s">
        <v>213</v>
      </c>
      <c r="C25" s="21" t="s">
        <v>362</v>
      </c>
      <c r="D25" s="28">
        <f>'ПРил.№3 Рд,пр, ЦС,ВР'!F197</f>
        <v>3207.7</v>
      </c>
    </row>
    <row r="26" spans="1:4" ht="15.75" x14ac:dyDescent="0.25">
      <c r="A26" s="119" t="s">
        <v>572</v>
      </c>
      <c r="B26" s="21" t="s">
        <v>213</v>
      </c>
      <c r="C26" s="21" t="s">
        <v>282</v>
      </c>
      <c r="D26" s="28">
        <f>'ПРил.№3 Рд,пр, ЦС,ВР'!F203</f>
        <v>14368.9</v>
      </c>
    </row>
    <row r="27" spans="1:4" ht="15.75" x14ac:dyDescent="0.25">
      <c r="A27" s="121" t="s">
        <v>300</v>
      </c>
      <c r="B27" s="21" t="s">
        <v>213</v>
      </c>
      <c r="C27" s="21" t="s">
        <v>301</v>
      </c>
      <c r="D27" s="28">
        <f>'ПРил.№3 Рд,пр, ЦС,ВР'!F210</f>
        <v>1209.6999999999998</v>
      </c>
    </row>
    <row r="28" spans="1:4" ht="15.75" x14ac:dyDescent="0.25">
      <c r="A28" s="49" t="s">
        <v>454</v>
      </c>
      <c r="B28" s="25" t="s">
        <v>297</v>
      </c>
      <c r="C28" s="25"/>
      <c r="D28" s="46">
        <f>SUM(D29:D32)</f>
        <v>85518.389999999985</v>
      </c>
    </row>
    <row r="29" spans="1:4" ht="15.75" x14ac:dyDescent="0.25">
      <c r="A29" s="120" t="s">
        <v>455</v>
      </c>
      <c r="B29" s="21" t="s">
        <v>297</v>
      </c>
      <c r="C29" s="21" t="s">
        <v>181</v>
      </c>
      <c r="D29" s="28">
        <f>'ПРил.№3 Рд,пр, ЦС,ВР'!F222</f>
        <v>8855.2000000000007</v>
      </c>
    </row>
    <row r="30" spans="1:4" ht="15.75" x14ac:dyDescent="0.25">
      <c r="A30" s="120" t="s">
        <v>581</v>
      </c>
      <c r="B30" s="21" t="s">
        <v>297</v>
      </c>
      <c r="C30" s="21" t="s">
        <v>276</v>
      </c>
      <c r="D30" s="28">
        <f>'ПРил.№3 Рд,пр, ЦС,ВР'!F239</f>
        <v>38707.550000000003</v>
      </c>
    </row>
    <row r="31" spans="1:4" ht="15.75" x14ac:dyDescent="0.25">
      <c r="A31" s="119" t="s">
        <v>606</v>
      </c>
      <c r="B31" s="21" t="s">
        <v>297</v>
      </c>
      <c r="C31" s="21" t="s">
        <v>278</v>
      </c>
      <c r="D31" s="28">
        <f>'ПРил.№3 Рд,пр, ЦС,ВР'!F293</f>
        <v>16656.899999999998</v>
      </c>
    </row>
    <row r="32" spans="1:4" ht="15.75" x14ac:dyDescent="0.25">
      <c r="A32" s="26" t="s">
        <v>634</v>
      </c>
      <c r="B32" s="21" t="s">
        <v>297</v>
      </c>
      <c r="C32" s="21" t="s">
        <v>297</v>
      </c>
      <c r="D32" s="28">
        <f>'ПРил.№3 Рд,пр, ЦС,ВР'!F347</f>
        <v>21298.739999999998</v>
      </c>
    </row>
    <row r="33" spans="1:4" ht="15.75" x14ac:dyDescent="0.25">
      <c r="A33" s="49" t="s">
        <v>326</v>
      </c>
      <c r="B33" s="25" t="s">
        <v>327</v>
      </c>
      <c r="C33" s="25"/>
      <c r="D33" s="46">
        <f>SUM(D34:D38)</f>
        <v>285366.40000000002</v>
      </c>
    </row>
    <row r="34" spans="1:4" ht="15.75" x14ac:dyDescent="0.25">
      <c r="A34" s="119" t="s">
        <v>468</v>
      </c>
      <c r="B34" s="21" t="s">
        <v>327</v>
      </c>
      <c r="C34" s="21" t="s">
        <v>181</v>
      </c>
      <c r="D34" s="28">
        <f>'ПРил.№3 Рд,пр, ЦС,ВР'!F367</f>
        <v>84218.6</v>
      </c>
    </row>
    <row r="35" spans="1:4" ht="15.75" x14ac:dyDescent="0.25">
      <c r="A35" s="119" t="s">
        <v>489</v>
      </c>
      <c r="B35" s="21" t="s">
        <v>327</v>
      </c>
      <c r="C35" s="21" t="s">
        <v>276</v>
      </c>
      <c r="D35" s="28">
        <f>'ПРил.№3 Рд,пр, ЦС,ВР'!F408</f>
        <v>126425.1</v>
      </c>
    </row>
    <row r="36" spans="1:4" ht="15.75" x14ac:dyDescent="0.25">
      <c r="A36" s="119" t="s">
        <v>328</v>
      </c>
      <c r="B36" s="21" t="s">
        <v>327</v>
      </c>
      <c r="C36" s="21" t="s">
        <v>278</v>
      </c>
      <c r="D36" s="28">
        <f>'ПРил.№3 Рд,пр, ЦС,ВР'!F481</f>
        <v>50485.9</v>
      </c>
    </row>
    <row r="37" spans="1:4" ht="15.75" x14ac:dyDescent="0.25">
      <c r="A37" s="119" t="s">
        <v>530</v>
      </c>
      <c r="B37" s="21" t="s">
        <v>327</v>
      </c>
      <c r="C37" s="21" t="s">
        <v>327</v>
      </c>
      <c r="D37" s="28">
        <f>'ПРил.№3 Рд,пр, ЦС,ВР'!F542</f>
        <v>4788.6000000000004</v>
      </c>
    </row>
    <row r="38" spans="1:4" ht="15.75" x14ac:dyDescent="0.25">
      <c r="A38" s="119" t="s">
        <v>358</v>
      </c>
      <c r="B38" s="21" t="s">
        <v>327</v>
      </c>
      <c r="C38" s="21" t="s">
        <v>282</v>
      </c>
      <c r="D38" s="28">
        <f>'ПРил.№3 Рд,пр, ЦС,ВР'!F553</f>
        <v>19448.2</v>
      </c>
    </row>
    <row r="39" spans="1:4" ht="15.75" x14ac:dyDescent="0.25">
      <c r="A39" s="122" t="s">
        <v>361</v>
      </c>
      <c r="B39" s="25" t="s">
        <v>362</v>
      </c>
      <c r="C39" s="21"/>
      <c r="D39" s="46">
        <f>D40+D41</f>
        <v>64005.600000000006</v>
      </c>
    </row>
    <row r="40" spans="1:4" ht="15.75" x14ac:dyDescent="0.25">
      <c r="A40" s="121" t="s">
        <v>363</v>
      </c>
      <c r="B40" s="21" t="s">
        <v>362</v>
      </c>
      <c r="C40" s="21" t="s">
        <v>181</v>
      </c>
      <c r="D40" s="28">
        <f>'ПРил.№3 Рд,пр, ЦС,ВР'!F586</f>
        <v>46125.900000000009</v>
      </c>
    </row>
    <row r="41" spans="1:4" ht="15.75" x14ac:dyDescent="0.25">
      <c r="A41" s="121" t="s">
        <v>396</v>
      </c>
      <c r="B41" s="21" t="s">
        <v>362</v>
      </c>
      <c r="C41" s="21" t="s">
        <v>213</v>
      </c>
      <c r="D41" s="28">
        <f>'ПРил.№3 Рд,пр, ЦС,ВР'!F659</f>
        <v>17879.699999999997</v>
      </c>
    </row>
    <row r="42" spans="1:4" ht="15.75" x14ac:dyDescent="0.25">
      <c r="A42" s="49" t="s">
        <v>306</v>
      </c>
      <c r="B42" s="25" t="s">
        <v>307</v>
      </c>
      <c r="C42" s="25"/>
      <c r="D42" s="46">
        <f>D43+D44+D45+D46</f>
        <v>16581</v>
      </c>
    </row>
    <row r="43" spans="1:4" ht="15.75" x14ac:dyDescent="0.25">
      <c r="A43" s="119" t="s">
        <v>308</v>
      </c>
      <c r="B43" s="21" t="s">
        <v>307</v>
      </c>
      <c r="C43" s="21" t="s">
        <v>181</v>
      </c>
      <c r="D43" s="28">
        <f>'ПРил.№3 Рд,пр, ЦС,ВР'!F695</f>
        <v>9066.5</v>
      </c>
    </row>
    <row r="44" spans="1:4" ht="15.75" x14ac:dyDescent="0.25">
      <c r="A44" s="26" t="s">
        <v>315</v>
      </c>
      <c r="B44" s="21" t="s">
        <v>307</v>
      </c>
      <c r="C44" s="21" t="s">
        <v>278</v>
      </c>
      <c r="D44" s="28">
        <f>'ПРил.№3 Рд,пр, ЦС,ВР'!F702</f>
        <v>4435</v>
      </c>
    </row>
    <row r="45" spans="1:4" ht="15.75" hidden="1" x14ac:dyDescent="0.25">
      <c r="A45" s="121" t="s">
        <v>464</v>
      </c>
      <c r="B45" s="21" t="s">
        <v>307</v>
      </c>
      <c r="C45" s="21" t="s">
        <v>213</v>
      </c>
      <c r="D45" s="28">
        <v>0</v>
      </c>
    </row>
    <row r="46" spans="1:4" ht="15.75" x14ac:dyDescent="0.25">
      <c r="A46" s="26" t="s">
        <v>321</v>
      </c>
      <c r="B46" s="21" t="s">
        <v>307</v>
      </c>
      <c r="C46" s="21" t="s">
        <v>183</v>
      </c>
      <c r="D46" s="28">
        <f>'ПРил.№3 Рд,пр, ЦС,ВР'!F786</f>
        <v>3079.5000000000005</v>
      </c>
    </row>
    <row r="47" spans="1:4" ht="15.75" x14ac:dyDescent="0.25">
      <c r="A47" s="122" t="s">
        <v>554</v>
      </c>
      <c r="B47" s="25" t="s">
        <v>555</v>
      </c>
      <c r="C47" s="21"/>
      <c r="D47" s="46">
        <f>D48+D49</f>
        <v>34873</v>
      </c>
    </row>
    <row r="48" spans="1:4" ht="15.75" x14ac:dyDescent="0.25">
      <c r="A48" s="121" t="s">
        <v>556</v>
      </c>
      <c r="B48" s="21" t="s">
        <v>555</v>
      </c>
      <c r="C48" s="21" t="s">
        <v>181</v>
      </c>
      <c r="D48" s="28">
        <f>'ПРил.№3 Рд,пр, ЦС,ВР'!F799</f>
        <v>23494.200000000004</v>
      </c>
    </row>
    <row r="49" spans="1:4" ht="15.75" x14ac:dyDescent="0.25">
      <c r="A49" s="121" t="s">
        <v>564</v>
      </c>
      <c r="B49" s="21" t="s">
        <v>555</v>
      </c>
      <c r="C49" s="21" t="s">
        <v>297</v>
      </c>
      <c r="D49" s="28">
        <f>'ПРил.№3 Рд,пр, ЦС,ВР'!F819</f>
        <v>11378.8</v>
      </c>
    </row>
    <row r="50" spans="1:4" ht="15.75" x14ac:dyDescent="0.25">
      <c r="A50" s="20" t="s">
        <v>647</v>
      </c>
      <c r="B50" s="25" t="s">
        <v>301</v>
      </c>
      <c r="C50" s="21"/>
      <c r="D50" s="46">
        <f>D51</f>
        <v>6584.5999999999995</v>
      </c>
    </row>
    <row r="51" spans="1:4" ht="15.75" x14ac:dyDescent="0.25">
      <c r="A51" s="33" t="s">
        <v>648</v>
      </c>
      <c r="B51" s="21" t="s">
        <v>301</v>
      </c>
      <c r="C51" s="21" t="s">
        <v>276</v>
      </c>
      <c r="D51" s="28">
        <f>'ПРил.№3 Рд,пр, ЦС,ВР'!F843</f>
        <v>6584.5999999999995</v>
      </c>
    </row>
    <row r="52" spans="1:4" ht="15.75" x14ac:dyDescent="0.25">
      <c r="A52" s="117" t="s">
        <v>785</v>
      </c>
      <c r="B52" s="25"/>
      <c r="C52" s="25"/>
      <c r="D52" s="46">
        <f>D12+D21+D23+D28+D33+D39+D42+D47+D50</f>
        <v>633371.18999999994</v>
      </c>
    </row>
  </sheetData>
  <mergeCells count="4">
    <mergeCell ref="A5:D5"/>
    <mergeCell ref="A6:D6"/>
    <mergeCell ref="A7:D7"/>
    <mergeCell ref="A8:D8"/>
  </mergeCells>
  <pageMargins left="1.1811023622047245" right="0.39370078740157483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3"/>
  <sheetViews>
    <sheetView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8.7109375" customWidth="1"/>
  </cols>
  <sheetData>
    <row r="1" spans="1:8" ht="18.75" x14ac:dyDescent="0.3">
      <c r="A1" s="58"/>
      <c r="B1" s="29"/>
      <c r="C1" s="29"/>
      <c r="E1" s="191" t="s">
        <v>854</v>
      </c>
      <c r="F1" s="29"/>
    </row>
    <row r="2" spans="1:8" ht="18.75" x14ac:dyDescent="0.3">
      <c r="A2" s="58"/>
      <c r="B2" s="29"/>
      <c r="C2" s="29"/>
      <c r="E2" s="191" t="s">
        <v>0</v>
      </c>
      <c r="F2" s="60"/>
    </row>
    <row r="3" spans="1:8" ht="18.75" x14ac:dyDescent="0.3">
      <c r="A3" s="58"/>
      <c r="B3" s="29"/>
      <c r="C3" s="29"/>
      <c r="E3" s="191" t="s">
        <v>1032</v>
      </c>
      <c r="F3" s="60"/>
    </row>
    <row r="4" spans="1:8" x14ac:dyDescent="0.25">
      <c r="A4" s="58"/>
      <c r="B4" s="29"/>
      <c r="C4" s="29"/>
      <c r="D4" s="29"/>
      <c r="E4" s="29"/>
      <c r="F4" s="58"/>
    </row>
    <row r="5" spans="1:8" ht="63.75" customHeight="1" x14ac:dyDescent="0.25">
      <c r="A5" s="271" t="s">
        <v>658</v>
      </c>
      <c r="B5" s="271"/>
      <c r="C5" s="271"/>
      <c r="D5" s="271"/>
      <c r="E5" s="271"/>
      <c r="F5" s="271"/>
    </row>
    <row r="6" spans="1:8" ht="15.75" x14ac:dyDescent="0.25">
      <c r="A6" s="58"/>
      <c r="B6" s="29"/>
      <c r="C6" s="29"/>
      <c r="D6" s="29"/>
      <c r="E6" s="29"/>
      <c r="F6" s="61" t="s">
        <v>4</v>
      </c>
    </row>
    <row r="7" spans="1:8" x14ac:dyDescent="0.25">
      <c r="A7" s="272" t="s">
        <v>659</v>
      </c>
      <c r="B7" s="274" t="s">
        <v>175</v>
      </c>
      <c r="C7" s="274" t="s">
        <v>176</v>
      </c>
      <c r="D7" s="274" t="s">
        <v>177</v>
      </c>
      <c r="E7" s="274" t="s">
        <v>178</v>
      </c>
      <c r="F7" s="276" t="s">
        <v>7</v>
      </c>
    </row>
    <row r="8" spans="1:8" x14ac:dyDescent="0.25">
      <c r="A8" s="273"/>
      <c r="B8" s="275"/>
      <c r="C8" s="275"/>
      <c r="D8" s="275"/>
      <c r="E8" s="275"/>
      <c r="F8" s="277"/>
    </row>
    <row r="9" spans="1:8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</row>
    <row r="10" spans="1:8" ht="15.75" x14ac:dyDescent="0.25">
      <c r="A10" s="43" t="s">
        <v>180</v>
      </c>
      <c r="B10" s="8" t="s">
        <v>181</v>
      </c>
      <c r="C10" s="8"/>
      <c r="D10" s="8"/>
      <c r="E10" s="8"/>
      <c r="F10" s="4">
        <f>F11+F19+F29+F49+F67</f>
        <v>115341.1</v>
      </c>
      <c r="H10" s="23"/>
    </row>
    <row r="11" spans="1:8" ht="47.25" x14ac:dyDescent="0.25">
      <c r="A11" s="43" t="s">
        <v>640</v>
      </c>
      <c r="B11" s="8" t="s">
        <v>181</v>
      </c>
      <c r="C11" s="8" t="s">
        <v>276</v>
      </c>
      <c r="D11" s="8"/>
      <c r="E11" s="8"/>
      <c r="F11" s="4">
        <f>F12</f>
        <v>4379.1000000000004</v>
      </c>
    </row>
    <row r="12" spans="1:8" ht="15.75" x14ac:dyDescent="0.25">
      <c r="A12" s="31" t="s">
        <v>184</v>
      </c>
      <c r="B12" s="42" t="s">
        <v>181</v>
      </c>
      <c r="C12" s="42" t="s">
        <v>276</v>
      </c>
      <c r="D12" s="42" t="s">
        <v>185</v>
      </c>
      <c r="E12" s="42"/>
      <c r="F12" s="7">
        <f>F13</f>
        <v>4379.1000000000004</v>
      </c>
    </row>
    <row r="13" spans="1:8" ht="31.5" x14ac:dyDescent="0.25">
      <c r="A13" s="31" t="s">
        <v>186</v>
      </c>
      <c r="B13" s="42" t="s">
        <v>181</v>
      </c>
      <c r="C13" s="42" t="s">
        <v>276</v>
      </c>
      <c r="D13" s="42" t="s">
        <v>187</v>
      </c>
      <c r="E13" s="42"/>
      <c r="F13" s="7">
        <f>F14</f>
        <v>4379.1000000000004</v>
      </c>
    </row>
    <row r="14" spans="1:8" ht="31.5" x14ac:dyDescent="0.25">
      <c r="A14" s="31" t="s">
        <v>641</v>
      </c>
      <c r="B14" s="42" t="s">
        <v>181</v>
      </c>
      <c r="C14" s="42" t="s">
        <v>276</v>
      </c>
      <c r="D14" s="42" t="s">
        <v>642</v>
      </c>
      <c r="E14" s="42"/>
      <c r="F14" s="7">
        <f>F15+F17</f>
        <v>4379.1000000000004</v>
      </c>
    </row>
    <row r="15" spans="1:8" ht="78.75" x14ac:dyDescent="0.25">
      <c r="A15" s="31" t="s">
        <v>190</v>
      </c>
      <c r="B15" s="42" t="s">
        <v>181</v>
      </c>
      <c r="C15" s="42" t="s">
        <v>276</v>
      </c>
      <c r="D15" s="42" t="s">
        <v>642</v>
      </c>
      <c r="E15" s="42" t="s">
        <v>191</v>
      </c>
      <c r="F15" s="63">
        <f>F16</f>
        <v>4378.6000000000004</v>
      </c>
    </row>
    <row r="16" spans="1:8" ht="31.5" x14ac:dyDescent="0.25">
      <c r="A16" s="31" t="s">
        <v>192</v>
      </c>
      <c r="B16" s="42" t="s">
        <v>181</v>
      </c>
      <c r="C16" s="42" t="s">
        <v>276</v>
      </c>
      <c r="D16" s="42" t="s">
        <v>642</v>
      </c>
      <c r="E16" s="42" t="s">
        <v>193</v>
      </c>
      <c r="F16" s="63">
        <f>'Прил.№4 ведомств.'!G953</f>
        <v>4378.6000000000004</v>
      </c>
      <c r="G16" s="213"/>
    </row>
    <row r="17" spans="1:6" ht="31.5" x14ac:dyDescent="0.25">
      <c r="A17" s="31" t="s">
        <v>194</v>
      </c>
      <c r="B17" s="42" t="s">
        <v>181</v>
      </c>
      <c r="C17" s="42" t="s">
        <v>276</v>
      </c>
      <c r="D17" s="42" t="s">
        <v>642</v>
      </c>
      <c r="E17" s="42" t="s">
        <v>195</v>
      </c>
      <c r="F17" s="30">
        <f>F18</f>
        <v>0.5</v>
      </c>
    </row>
    <row r="18" spans="1:6" ht="47.25" x14ac:dyDescent="0.25">
      <c r="A18" s="31" t="s">
        <v>196</v>
      </c>
      <c r="B18" s="42" t="s">
        <v>181</v>
      </c>
      <c r="C18" s="42" t="s">
        <v>276</v>
      </c>
      <c r="D18" s="42" t="s">
        <v>642</v>
      </c>
      <c r="E18" s="42" t="s">
        <v>197</v>
      </c>
      <c r="F18" s="30">
        <f>'Прил.№4 ведомств.'!G955</f>
        <v>0.5</v>
      </c>
    </row>
    <row r="19" spans="1:6" ht="63" x14ac:dyDescent="0.25">
      <c r="A19" s="43" t="s">
        <v>643</v>
      </c>
      <c r="B19" s="8" t="s">
        <v>181</v>
      </c>
      <c r="C19" s="8" t="s">
        <v>278</v>
      </c>
      <c r="D19" s="8"/>
      <c r="E19" s="8"/>
      <c r="F19" s="4">
        <f>F20</f>
        <v>1324.7</v>
      </c>
    </row>
    <row r="20" spans="1:6" ht="15.75" x14ac:dyDescent="0.25">
      <c r="A20" s="31" t="s">
        <v>184</v>
      </c>
      <c r="B20" s="42" t="s">
        <v>181</v>
      </c>
      <c r="C20" s="42" t="s">
        <v>278</v>
      </c>
      <c r="D20" s="42" t="s">
        <v>185</v>
      </c>
      <c r="E20" s="8"/>
      <c r="F20" s="7">
        <f>F21</f>
        <v>1324.7</v>
      </c>
    </row>
    <row r="21" spans="1:6" ht="31.5" x14ac:dyDescent="0.25">
      <c r="A21" s="31" t="s">
        <v>186</v>
      </c>
      <c r="B21" s="42" t="s">
        <v>181</v>
      </c>
      <c r="C21" s="42" t="s">
        <v>278</v>
      </c>
      <c r="D21" s="42" t="s">
        <v>187</v>
      </c>
      <c r="E21" s="8"/>
      <c r="F21" s="7">
        <f>F22</f>
        <v>1324.7</v>
      </c>
    </row>
    <row r="22" spans="1:6" ht="47.25" x14ac:dyDescent="0.25">
      <c r="A22" s="31" t="s">
        <v>644</v>
      </c>
      <c r="B22" s="42" t="s">
        <v>181</v>
      </c>
      <c r="C22" s="42" t="s">
        <v>278</v>
      </c>
      <c r="D22" s="42" t="s">
        <v>645</v>
      </c>
      <c r="E22" s="42"/>
      <c r="F22" s="7">
        <f>F23+F25</f>
        <v>1324.7</v>
      </c>
    </row>
    <row r="23" spans="1:6" ht="78.75" x14ac:dyDescent="0.25">
      <c r="A23" s="31" t="s">
        <v>190</v>
      </c>
      <c r="B23" s="42" t="s">
        <v>181</v>
      </c>
      <c r="C23" s="42" t="s">
        <v>278</v>
      </c>
      <c r="D23" s="42" t="s">
        <v>645</v>
      </c>
      <c r="E23" s="42" t="s">
        <v>191</v>
      </c>
      <c r="F23" s="63">
        <f>F24</f>
        <v>1186.7</v>
      </c>
    </row>
    <row r="24" spans="1:6" ht="31.5" x14ac:dyDescent="0.25">
      <c r="A24" s="31" t="s">
        <v>192</v>
      </c>
      <c r="B24" s="42" t="s">
        <v>181</v>
      </c>
      <c r="C24" s="42" t="s">
        <v>278</v>
      </c>
      <c r="D24" s="42" t="s">
        <v>645</v>
      </c>
      <c r="E24" s="42" t="s">
        <v>193</v>
      </c>
      <c r="F24" s="63">
        <f>'Прил.№4 ведомств.'!G961</f>
        <v>1186.7</v>
      </c>
    </row>
    <row r="25" spans="1:6" ht="31.5" x14ac:dyDescent="0.25">
      <c r="A25" s="31" t="s">
        <v>194</v>
      </c>
      <c r="B25" s="42" t="s">
        <v>181</v>
      </c>
      <c r="C25" s="42" t="s">
        <v>278</v>
      </c>
      <c r="D25" s="42" t="s">
        <v>645</v>
      </c>
      <c r="E25" s="42" t="s">
        <v>195</v>
      </c>
      <c r="F25" s="7">
        <f>F26</f>
        <v>138</v>
      </c>
    </row>
    <row r="26" spans="1:6" ht="47.25" x14ac:dyDescent="0.25">
      <c r="A26" s="31" t="s">
        <v>196</v>
      </c>
      <c r="B26" s="42" t="s">
        <v>181</v>
      </c>
      <c r="C26" s="42" t="s">
        <v>278</v>
      </c>
      <c r="D26" s="42" t="s">
        <v>645</v>
      </c>
      <c r="E26" s="42" t="s">
        <v>197</v>
      </c>
      <c r="F26" s="7">
        <f>'Прил.№4 ведомств.'!G963</f>
        <v>138</v>
      </c>
    </row>
    <row r="27" spans="1:6" ht="15.75" hidden="1" x14ac:dyDescent="0.25">
      <c r="A27" s="31" t="s">
        <v>198</v>
      </c>
      <c r="B27" s="42" t="s">
        <v>181</v>
      </c>
      <c r="C27" s="42" t="s">
        <v>278</v>
      </c>
      <c r="D27" s="42" t="s">
        <v>645</v>
      </c>
      <c r="E27" s="42" t="s">
        <v>208</v>
      </c>
      <c r="F27" s="7">
        <f>F28</f>
        <v>0</v>
      </c>
    </row>
    <row r="28" spans="1:6" ht="15.75" hidden="1" x14ac:dyDescent="0.25">
      <c r="A28" s="31" t="s">
        <v>200</v>
      </c>
      <c r="B28" s="42" t="s">
        <v>181</v>
      </c>
      <c r="C28" s="42" t="s">
        <v>278</v>
      </c>
      <c r="D28" s="42" t="s">
        <v>645</v>
      </c>
      <c r="E28" s="42" t="s">
        <v>201</v>
      </c>
      <c r="F28" s="7">
        <v>0</v>
      </c>
    </row>
    <row r="29" spans="1:6" ht="70.5" customHeight="1" x14ac:dyDescent="0.25">
      <c r="A29" s="43" t="s">
        <v>212</v>
      </c>
      <c r="B29" s="8" t="s">
        <v>181</v>
      </c>
      <c r="C29" s="8" t="s">
        <v>213</v>
      </c>
      <c r="D29" s="8"/>
      <c r="E29" s="8"/>
      <c r="F29" s="4">
        <f>F30</f>
        <v>61138.899999999994</v>
      </c>
    </row>
    <row r="30" spans="1:6" ht="15.75" x14ac:dyDescent="0.25">
      <c r="A30" s="31" t="s">
        <v>184</v>
      </c>
      <c r="B30" s="42" t="s">
        <v>181</v>
      </c>
      <c r="C30" s="42" t="s">
        <v>213</v>
      </c>
      <c r="D30" s="42" t="s">
        <v>185</v>
      </c>
      <c r="E30" s="42"/>
      <c r="F30" s="7">
        <f>F31+F43</f>
        <v>61138.899999999994</v>
      </c>
    </row>
    <row r="31" spans="1:6" ht="31.5" x14ac:dyDescent="0.25">
      <c r="A31" s="31" t="s">
        <v>186</v>
      </c>
      <c r="B31" s="42" t="s">
        <v>181</v>
      </c>
      <c r="C31" s="42" t="s">
        <v>213</v>
      </c>
      <c r="D31" s="42" t="s">
        <v>187</v>
      </c>
      <c r="E31" s="42"/>
      <c r="F31" s="7">
        <f>F32+F40</f>
        <v>53003.799999999996</v>
      </c>
    </row>
    <row r="32" spans="1:6" ht="41.25" customHeight="1" x14ac:dyDescent="0.25">
      <c r="A32" s="31" t="s">
        <v>188</v>
      </c>
      <c r="B32" s="42" t="s">
        <v>181</v>
      </c>
      <c r="C32" s="42" t="s">
        <v>213</v>
      </c>
      <c r="D32" s="42" t="s">
        <v>189</v>
      </c>
      <c r="E32" s="42"/>
      <c r="F32" s="7">
        <f>F33+F35+F37</f>
        <v>48717.7</v>
      </c>
    </row>
    <row r="33" spans="1:7" ht="78.75" x14ac:dyDescent="0.25">
      <c r="A33" s="31" t="s">
        <v>190</v>
      </c>
      <c r="B33" s="42" t="s">
        <v>181</v>
      </c>
      <c r="C33" s="42" t="s">
        <v>213</v>
      </c>
      <c r="D33" s="42" t="s">
        <v>189</v>
      </c>
      <c r="E33" s="42" t="s">
        <v>191</v>
      </c>
      <c r="F33" s="63">
        <f>F34</f>
        <v>42385.799999999996</v>
      </c>
    </row>
    <row r="34" spans="1:7" ht="31.5" x14ac:dyDescent="0.25">
      <c r="A34" s="31" t="s">
        <v>192</v>
      </c>
      <c r="B34" s="42" t="s">
        <v>181</v>
      </c>
      <c r="C34" s="42" t="s">
        <v>213</v>
      </c>
      <c r="D34" s="42" t="s">
        <v>189</v>
      </c>
      <c r="E34" s="42" t="s">
        <v>193</v>
      </c>
      <c r="F34" s="63">
        <f>'Прил.№4 ведомств.'!G474+'Прил.№4 ведомств.'!G34</f>
        <v>42385.799999999996</v>
      </c>
      <c r="G34" s="215"/>
    </row>
    <row r="35" spans="1:7" ht="31.5" x14ac:dyDescent="0.25">
      <c r="A35" s="31" t="s">
        <v>194</v>
      </c>
      <c r="B35" s="42" t="s">
        <v>181</v>
      </c>
      <c r="C35" s="42" t="s">
        <v>213</v>
      </c>
      <c r="D35" s="42" t="s">
        <v>189</v>
      </c>
      <c r="E35" s="42" t="s">
        <v>195</v>
      </c>
      <c r="F35" s="7">
        <f>F36</f>
        <v>5986.4</v>
      </c>
    </row>
    <row r="36" spans="1:7" ht="47.25" x14ac:dyDescent="0.25">
      <c r="A36" s="31" t="s">
        <v>196</v>
      </c>
      <c r="B36" s="42" t="s">
        <v>181</v>
      </c>
      <c r="C36" s="42" t="s">
        <v>213</v>
      </c>
      <c r="D36" s="42" t="s">
        <v>189</v>
      </c>
      <c r="E36" s="42" t="s">
        <v>197</v>
      </c>
      <c r="F36" s="7">
        <f>'Прил.№4 ведомств.'!G36+'Прил.№4 ведомств.'!G476</f>
        <v>5986.4</v>
      </c>
    </row>
    <row r="37" spans="1:7" ht="15.75" x14ac:dyDescent="0.25">
      <c r="A37" s="31" t="s">
        <v>198</v>
      </c>
      <c r="B37" s="42" t="s">
        <v>181</v>
      </c>
      <c r="C37" s="42" t="s">
        <v>213</v>
      </c>
      <c r="D37" s="42" t="s">
        <v>189</v>
      </c>
      <c r="E37" s="42" t="s">
        <v>208</v>
      </c>
      <c r="F37" s="7">
        <f>F38</f>
        <v>345.5</v>
      </c>
    </row>
    <row r="38" spans="1:7" ht="15.75" x14ac:dyDescent="0.25">
      <c r="A38" s="31" t="s">
        <v>633</v>
      </c>
      <c r="B38" s="42" t="s">
        <v>181</v>
      </c>
      <c r="C38" s="42" t="s">
        <v>213</v>
      </c>
      <c r="D38" s="42" t="s">
        <v>189</v>
      </c>
      <c r="E38" s="42" t="s">
        <v>201</v>
      </c>
      <c r="F38" s="7">
        <f>'Прил.№4 ведомств.'!G478+'Прил.№4 ведомств.'!G38</f>
        <v>345.5</v>
      </c>
    </row>
    <row r="39" spans="1:7" ht="31.5" x14ac:dyDescent="0.25">
      <c r="A39" s="26" t="s">
        <v>660</v>
      </c>
      <c r="B39" s="42" t="s">
        <v>181</v>
      </c>
      <c r="C39" s="42" t="s">
        <v>213</v>
      </c>
      <c r="D39" s="42" t="s">
        <v>215</v>
      </c>
      <c r="E39" s="42"/>
      <c r="F39" s="7">
        <f>F40</f>
        <v>4286.1000000000004</v>
      </c>
    </row>
    <row r="40" spans="1:7" ht="31.5" x14ac:dyDescent="0.25">
      <c r="A40" s="31" t="s">
        <v>214</v>
      </c>
      <c r="B40" s="42" t="s">
        <v>181</v>
      </c>
      <c r="C40" s="42" t="s">
        <v>213</v>
      </c>
      <c r="D40" s="42" t="s">
        <v>215</v>
      </c>
      <c r="E40" s="42"/>
      <c r="F40" s="7">
        <f>F41</f>
        <v>4286.1000000000004</v>
      </c>
    </row>
    <row r="41" spans="1:7" ht="78.75" x14ac:dyDescent="0.25">
      <c r="A41" s="31" t="s">
        <v>190</v>
      </c>
      <c r="B41" s="42" t="s">
        <v>181</v>
      </c>
      <c r="C41" s="42" t="s">
        <v>213</v>
      </c>
      <c r="D41" s="42" t="s">
        <v>215</v>
      </c>
      <c r="E41" s="42" t="s">
        <v>191</v>
      </c>
      <c r="F41" s="63">
        <f>F42</f>
        <v>4286.1000000000004</v>
      </c>
    </row>
    <row r="42" spans="1:7" ht="31.5" x14ac:dyDescent="0.25">
      <c r="A42" s="31" t="s">
        <v>192</v>
      </c>
      <c r="B42" s="42" t="s">
        <v>181</v>
      </c>
      <c r="C42" s="42" t="s">
        <v>213</v>
      </c>
      <c r="D42" s="42" t="s">
        <v>215</v>
      </c>
      <c r="E42" s="42" t="s">
        <v>193</v>
      </c>
      <c r="F42" s="63">
        <f>'Прил.№4 ведомств.'!G41</f>
        <v>4286.1000000000004</v>
      </c>
    </row>
    <row r="43" spans="1:7" ht="15.75" x14ac:dyDescent="0.25">
      <c r="A43" s="26" t="s">
        <v>204</v>
      </c>
      <c r="B43" s="21" t="s">
        <v>181</v>
      </c>
      <c r="C43" s="21" t="s">
        <v>213</v>
      </c>
      <c r="D43" s="21" t="s">
        <v>205</v>
      </c>
      <c r="E43" s="21"/>
      <c r="F43" s="30">
        <f>F44</f>
        <v>8135.0999999999995</v>
      </c>
    </row>
    <row r="44" spans="1:7" ht="36.75" customHeight="1" x14ac:dyDescent="0.25">
      <c r="A44" s="26" t="s">
        <v>216</v>
      </c>
      <c r="B44" s="21" t="s">
        <v>181</v>
      </c>
      <c r="C44" s="21" t="s">
        <v>213</v>
      </c>
      <c r="D44" s="21" t="s">
        <v>217</v>
      </c>
      <c r="E44" s="21"/>
      <c r="F44" s="27">
        <f>F45+F47</f>
        <v>8135.0999999999995</v>
      </c>
    </row>
    <row r="45" spans="1:7" ht="84" customHeight="1" x14ac:dyDescent="0.25">
      <c r="A45" s="26" t="s">
        <v>190</v>
      </c>
      <c r="B45" s="21" t="s">
        <v>181</v>
      </c>
      <c r="C45" s="21" t="s">
        <v>213</v>
      </c>
      <c r="D45" s="21" t="s">
        <v>217</v>
      </c>
      <c r="E45" s="21" t="s">
        <v>191</v>
      </c>
      <c r="F45" s="27">
        <f>F46</f>
        <v>5718.5999999999995</v>
      </c>
    </row>
    <row r="46" spans="1:7" ht="31.5" x14ac:dyDescent="0.25">
      <c r="A46" s="26" t="s">
        <v>192</v>
      </c>
      <c r="B46" s="21" t="s">
        <v>181</v>
      </c>
      <c r="C46" s="21" t="s">
        <v>213</v>
      </c>
      <c r="D46" s="21" t="s">
        <v>217</v>
      </c>
      <c r="E46" s="21" t="s">
        <v>193</v>
      </c>
      <c r="F46" s="28">
        <f>'Прил.№4 ведомств.'!G45</f>
        <v>5718.5999999999995</v>
      </c>
      <c r="G46" s="214"/>
    </row>
    <row r="47" spans="1:7" ht="31.5" x14ac:dyDescent="0.25">
      <c r="A47" s="26" t="s">
        <v>194</v>
      </c>
      <c r="B47" s="21" t="s">
        <v>181</v>
      </c>
      <c r="C47" s="21" t="s">
        <v>213</v>
      </c>
      <c r="D47" s="21" t="s">
        <v>217</v>
      </c>
      <c r="E47" s="21" t="s">
        <v>195</v>
      </c>
      <c r="F47" s="27">
        <f>F48</f>
        <v>2416.5</v>
      </c>
    </row>
    <row r="48" spans="1:7" ht="47.25" x14ac:dyDescent="0.25">
      <c r="A48" s="26" t="s">
        <v>196</v>
      </c>
      <c r="B48" s="21" t="s">
        <v>181</v>
      </c>
      <c r="C48" s="21" t="s">
        <v>213</v>
      </c>
      <c r="D48" s="21" t="s">
        <v>217</v>
      </c>
      <c r="E48" s="21" t="s">
        <v>197</v>
      </c>
      <c r="F48" s="28">
        <f>'Прил.№4 ведомств.'!G47</f>
        <v>2416.5</v>
      </c>
    </row>
    <row r="49" spans="1:7" ht="47.25" x14ac:dyDescent="0.25">
      <c r="A49" s="43" t="s">
        <v>182</v>
      </c>
      <c r="B49" s="8" t="s">
        <v>181</v>
      </c>
      <c r="C49" s="8" t="s">
        <v>183</v>
      </c>
      <c r="D49" s="8"/>
      <c r="E49" s="8"/>
      <c r="F49" s="4">
        <f>F50</f>
        <v>14736.66</v>
      </c>
    </row>
    <row r="50" spans="1:7" ht="15.75" x14ac:dyDescent="0.25">
      <c r="A50" s="31" t="s">
        <v>184</v>
      </c>
      <c r="B50" s="42" t="s">
        <v>181</v>
      </c>
      <c r="C50" s="42" t="s">
        <v>183</v>
      </c>
      <c r="D50" s="42" t="s">
        <v>185</v>
      </c>
      <c r="E50" s="42"/>
      <c r="F50" s="7">
        <f>F51</f>
        <v>14736.66</v>
      </c>
    </row>
    <row r="51" spans="1:7" ht="31.5" x14ac:dyDescent="0.25">
      <c r="A51" s="31" t="s">
        <v>186</v>
      </c>
      <c r="B51" s="42" t="s">
        <v>181</v>
      </c>
      <c r="C51" s="42" t="s">
        <v>183</v>
      </c>
      <c r="D51" s="42" t="s">
        <v>187</v>
      </c>
      <c r="E51" s="42"/>
      <c r="F51" s="7">
        <f>F52</f>
        <v>14736.66</v>
      </c>
    </row>
    <row r="52" spans="1:7" ht="47.25" x14ac:dyDescent="0.25">
      <c r="A52" s="31" t="s">
        <v>188</v>
      </c>
      <c r="B52" s="42" t="s">
        <v>181</v>
      </c>
      <c r="C52" s="42" t="s">
        <v>183</v>
      </c>
      <c r="D52" s="42" t="s">
        <v>189</v>
      </c>
      <c r="E52" s="42"/>
      <c r="F52" s="7">
        <f>F53+F55+F57</f>
        <v>14736.66</v>
      </c>
    </row>
    <row r="53" spans="1:7" ht="78.75" x14ac:dyDescent="0.25">
      <c r="A53" s="31" t="s">
        <v>190</v>
      </c>
      <c r="B53" s="42" t="s">
        <v>181</v>
      </c>
      <c r="C53" s="42" t="s">
        <v>183</v>
      </c>
      <c r="D53" s="42" t="s">
        <v>189</v>
      </c>
      <c r="E53" s="42" t="s">
        <v>191</v>
      </c>
      <c r="F53" s="7">
        <f>F54</f>
        <v>13492.5</v>
      </c>
    </row>
    <row r="54" spans="1:7" ht="31.5" x14ac:dyDescent="0.25">
      <c r="A54" s="31" t="s">
        <v>192</v>
      </c>
      <c r="B54" s="42" t="s">
        <v>181</v>
      </c>
      <c r="C54" s="42" t="s">
        <v>183</v>
      </c>
      <c r="D54" s="42" t="s">
        <v>189</v>
      </c>
      <c r="E54" s="42" t="s">
        <v>193</v>
      </c>
      <c r="F54" s="63">
        <f>'Прил.№4 ведомств.'!G17+'Прил.№4 ведомств.'!G53+'Прил.№4 ведомств.'!G971</f>
        <v>13492.5</v>
      </c>
      <c r="G54" s="216"/>
    </row>
    <row r="55" spans="1:7" ht="31.5" x14ac:dyDescent="0.25">
      <c r="A55" s="31" t="s">
        <v>194</v>
      </c>
      <c r="B55" s="42" t="s">
        <v>181</v>
      </c>
      <c r="C55" s="42" t="s">
        <v>183</v>
      </c>
      <c r="D55" s="42" t="s">
        <v>189</v>
      </c>
      <c r="E55" s="42" t="s">
        <v>195</v>
      </c>
      <c r="F55" s="7">
        <f>F56</f>
        <v>1205.1599999999999</v>
      </c>
    </row>
    <row r="56" spans="1:7" ht="47.25" x14ac:dyDescent="0.25">
      <c r="A56" s="31" t="s">
        <v>196</v>
      </c>
      <c r="B56" s="42" t="s">
        <v>181</v>
      </c>
      <c r="C56" s="42" t="s">
        <v>183</v>
      </c>
      <c r="D56" s="42" t="s">
        <v>189</v>
      </c>
      <c r="E56" s="42" t="s">
        <v>197</v>
      </c>
      <c r="F56" s="7">
        <f>'Прил.№4 ведомств.'!G973+'Прил.№4 ведомств.'!G19</f>
        <v>1205.1599999999999</v>
      </c>
    </row>
    <row r="57" spans="1:7" ht="15.75" x14ac:dyDescent="0.25">
      <c r="A57" s="31" t="s">
        <v>198</v>
      </c>
      <c r="B57" s="42" t="s">
        <v>181</v>
      </c>
      <c r="C57" s="42" t="s">
        <v>183</v>
      </c>
      <c r="D57" s="42" t="s">
        <v>189</v>
      </c>
      <c r="E57" s="42" t="s">
        <v>208</v>
      </c>
      <c r="F57" s="7">
        <f>F58</f>
        <v>39</v>
      </c>
    </row>
    <row r="58" spans="1:7" ht="15.75" x14ac:dyDescent="0.25">
      <c r="A58" s="31" t="s">
        <v>633</v>
      </c>
      <c r="B58" s="42" t="s">
        <v>181</v>
      </c>
      <c r="C58" s="42" t="s">
        <v>183</v>
      </c>
      <c r="D58" s="42" t="s">
        <v>189</v>
      </c>
      <c r="E58" s="42" t="s">
        <v>201</v>
      </c>
      <c r="F58" s="7">
        <f>'Прил.№4 ведомств.'!G21</f>
        <v>39</v>
      </c>
    </row>
    <row r="59" spans="1:7" ht="31.5" hidden="1" x14ac:dyDescent="0.25">
      <c r="A59" s="64" t="s">
        <v>661</v>
      </c>
      <c r="B59" s="9" t="s">
        <v>181</v>
      </c>
      <c r="C59" s="9" t="s">
        <v>327</v>
      </c>
      <c r="D59" s="9"/>
      <c r="E59" s="9"/>
      <c r="F59" s="7">
        <f t="shared" ref="F59:F63" si="0">F60</f>
        <v>0</v>
      </c>
    </row>
    <row r="60" spans="1:7" ht="15.75" hidden="1" x14ac:dyDescent="0.25">
      <c r="A60" s="47" t="s">
        <v>184</v>
      </c>
      <c r="B60" s="10" t="s">
        <v>181</v>
      </c>
      <c r="C60" s="10" t="s">
        <v>327</v>
      </c>
      <c r="D60" s="10" t="s">
        <v>662</v>
      </c>
      <c r="E60" s="10"/>
      <c r="F60" s="7">
        <f t="shared" si="0"/>
        <v>0</v>
      </c>
    </row>
    <row r="61" spans="1:7" ht="15.75" hidden="1" x14ac:dyDescent="0.25">
      <c r="A61" s="47" t="s">
        <v>204</v>
      </c>
      <c r="B61" s="10" t="s">
        <v>181</v>
      </c>
      <c r="C61" s="10" t="s">
        <v>327</v>
      </c>
      <c r="D61" s="10" t="s">
        <v>663</v>
      </c>
      <c r="E61" s="10"/>
      <c r="F61" s="7">
        <f t="shared" si="0"/>
        <v>0</v>
      </c>
    </row>
    <row r="62" spans="1:7" ht="15.75" hidden="1" x14ac:dyDescent="0.25">
      <c r="A62" s="65" t="s">
        <v>664</v>
      </c>
      <c r="B62" s="10" t="s">
        <v>181</v>
      </c>
      <c r="C62" s="10" t="s">
        <v>327</v>
      </c>
      <c r="D62" s="6" t="s">
        <v>665</v>
      </c>
      <c r="E62" s="6"/>
      <c r="F62" s="7">
        <f>F63+F65</f>
        <v>0</v>
      </c>
    </row>
    <row r="63" spans="1:7" ht="31.5" hidden="1" x14ac:dyDescent="0.25">
      <c r="A63" s="47" t="s">
        <v>194</v>
      </c>
      <c r="B63" s="10" t="s">
        <v>181</v>
      </c>
      <c r="C63" s="10" t="s">
        <v>327</v>
      </c>
      <c r="D63" s="6" t="s">
        <v>665</v>
      </c>
      <c r="E63" s="10" t="s">
        <v>195</v>
      </c>
      <c r="F63" s="7">
        <f t="shared" si="0"/>
        <v>0</v>
      </c>
    </row>
    <row r="64" spans="1:7" ht="47.25" hidden="1" x14ac:dyDescent="0.25">
      <c r="A64" s="47" t="s">
        <v>196</v>
      </c>
      <c r="B64" s="10" t="s">
        <v>181</v>
      </c>
      <c r="C64" s="10" t="s">
        <v>327</v>
      </c>
      <c r="D64" s="6" t="s">
        <v>665</v>
      </c>
      <c r="E64" s="10" t="s">
        <v>197</v>
      </c>
      <c r="F64" s="7">
        <v>0</v>
      </c>
    </row>
    <row r="65" spans="1:6" ht="15.75" hidden="1" x14ac:dyDescent="0.25">
      <c r="A65" s="31" t="s">
        <v>198</v>
      </c>
      <c r="B65" s="10" t="s">
        <v>181</v>
      </c>
      <c r="C65" s="10" t="s">
        <v>327</v>
      </c>
      <c r="D65" s="6" t="s">
        <v>665</v>
      </c>
      <c r="E65" s="10" t="s">
        <v>208</v>
      </c>
      <c r="F65" s="7">
        <f>F66</f>
        <v>0</v>
      </c>
    </row>
    <row r="66" spans="1:6" ht="15.75" hidden="1" x14ac:dyDescent="0.25">
      <c r="A66" s="31" t="s">
        <v>200</v>
      </c>
      <c r="B66" s="10" t="s">
        <v>181</v>
      </c>
      <c r="C66" s="10" t="s">
        <v>327</v>
      </c>
      <c r="D66" s="6" t="s">
        <v>665</v>
      </c>
      <c r="E66" s="10" t="s">
        <v>201</v>
      </c>
      <c r="F66" s="7">
        <v>0</v>
      </c>
    </row>
    <row r="67" spans="1:6" ht="15.75" x14ac:dyDescent="0.25">
      <c r="A67" s="43" t="s">
        <v>202</v>
      </c>
      <c r="B67" s="8" t="s">
        <v>181</v>
      </c>
      <c r="C67" s="8" t="s">
        <v>203</v>
      </c>
      <c r="D67" s="8"/>
      <c r="E67" s="8"/>
      <c r="F67" s="4">
        <f>F68+F72+F87+F100+F111+F104</f>
        <v>33761.74</v>
      </c>
    </row>
    <row r="68" spans="1:6" ht="47.25" x14ac:dyDescent="0.25">
      <c r="A68" s="31" t="s">
        <v>218</v>
      </c>
      <c r="B68" s="42" t="s">
        <v>181</v>
      </c>
      <c r="C68" s="42" t="s">
        <v>203</v>
      </c>
      <c r="D68" s="42" t="s">
        <v>219</v>
      </c>
      <c r="E68" s="42"/>
      <c r="F68" s="7">
        <f>F70</f>
        <v>250</v>
      </c>
    </row>
    <row r="69" spans="1:6" ht="31.5" x14ac:dyDescent="0.25">
      <c r="A69" s="31" t="s">
        <v>220</v>
      </c>
      <c r="B69" s="42" t="s">
        <v>181</v>
      </c>
      <c r="C69" s="42" t="s">
        <v>203</v>
      </c>
      <c r="D69" s="42" t="s">
        <v>221</v>
      </c>
      <c r="E69" s="42"/>
      <c r="F69" s="7">
        <f>F70</f>
        <v>250</v>
      </c>
    </row>
    <row r="70" spans="1:6" ht="15.75" x14ac:dyDescent="0.25">
      <c r="A70" s="31" t="s">
        <v>198</v>
      </c>
      <c r="B70" s="42" t="s">
        <v>181</v>
      </c>
      <c r="C70" s="42" t="s">
        <v>203</v>
      </c>
      <c r="D70" s="42" t="s">
        <v>221</v>
      </c>
      <c r="E70" s="42" t="s">
        <v>208</v>
      </c>
      <c r="F70" s="7">
        <f>F71</f>
        <v>250</v>
      </c>
    </row>
    <row r="71" spans="1:6" ht="47.25" x14ac:dyDescent="0.25">
      <c r="A71" s="31" t="s">
        <v>247</v>
      </c>
      <c r="B71" s="42" t="s">
        <v>181</v>
      </c>
      <c r="C71" s="42" t="s">
        <v>203</v>
      </c>
      <c r="D71" s="42" t="s">
        <v>221</v>
      </c>
      <c r="E71" s="42" t="s">
        <v>223</v>
      </c>
      <c r="F71" s="7">
        <f>'Прил.№4 ведомств.'!G60</f>
        <v>250</v>
      </c>
    </row>
    <row r="72" spans="1:6" ht="47.25" x14ac:dyDescent="0.25">
      <c r="A72" s="31" t="s">
        <v>224</v>
      </c>
      <c r="B72" s="42" t="s">
        <v>181</v>
      </c>
      <c r="C72" s="42" t="s">
        <v>203</v>
      </c>
      <c r="D72" s="42" t="s">
        <v>225</v>
      </c>
      <c r="E72" s="42"/>
      <c r="F72" s="7">
        <f>F73+F76+F81+F84</f>
        <v>654</v>
      </c>
    </row>
    <row r="73" spans="1:6" ht="31.5" x14ac:dyDescent="0.25">
      <c r="A73" s="31" t="s">
        <v>226</v>
      </c>
      <c r="B73" s="42" t="s">
        <v>181</v>
      </c>
      <c r="C73" s="42" t="s">
        <v>203</v>
      </c>
      <c r="D73" s="42" t="s">
        <v>227</v>
      </c>
      <c r="E73" s="42"/>
      <c r="F73" s="7">
        <f>F74</f>
        <v>428.1</v>
      </c>
    </row>
    <row r="74" spans="1:6" ht="31.5" x14ac:dyDescent="0.25">
      <c r="A74" s="31" t="s">
        <v>194</v>
      </c>
      <c r="B74" s="42" t="s">
        <v>181</v>
      </c>
      <c r="C74" s="42" t="s">
        <v>203</v>
      </c>
      <c r="D74" s="42" t="s">
        <v>227</v>
      </c>
      <c r="E74" s="42" t="s">
        <v>195</v>
      </c>
      <c r="F74" s="7">
        <f>F75</f>
        <v>428.1</v>
      </c>
    </row>
    <row r="75" spans="1:6" ht="47.25" x14ac:dyDescent="0.25">
      <c r="A75" s="31" t="s">
        <v>196</v>
      </c>
      <c r="B75" s="42" t="s">
        <v>181</v>
      </c>
      <c r="C75" s="42" t="s">
        <v>203</v>
      </c>
      <c r="D75" s="42" t="s">
        <v>227</v>
      </c>
      <c r="E75" s="42" t="s">
        <v>197</v>
      </c>
      <c r="F75" s="7">
        <f>'Прил.№4 ведомств.'!G64</f>
        <v>428.1</v>
      </c>
    </row>
    <row r="76" spans="1:6" ht="49.5" customHeight="1" x14ac:dyDescent="0.25">
      <c r="A76" s="123" t="s">
        <v>228</v>
      </c>
      <c r="B76" s="42" t="s">
        <v>181</v>
      </c>
      <c r="C76" s="42" t="s">
        <v>203</v>
      </c>
      <c r="D76" s="42" t="s">
        <v>229</v>
      </c>
      <c r="E76" s="42"/>
      <c r="F76" s="7">
        <f>F77+F79</f>
        <v>224.89999999999998</v>
      </c>
    </row>
    <row r="77" spans="1:6" ht="78.75" x14ac:dyDescent="0.25">
      <c r="A77" s="31" t="s">
        <v>190</v>
      </c>
      <c r="B77" s="42" t="s">
        <v>181</v>
      </c>
      <c r="C77" s="42" t="s">
        <v>203</v>
      </c>
      <c r="D77" s="42" t="s">
        <v>229</v>
      </c>
      <c r="E77" s="42" t="s">
        <v>191</v>
      </c>
      <c r="F77" s="7">
        <f>F78</f>
        <v>159.69999999999999</v>
      </c>
    </row>
    <row r="78" spans="1:6" ht="31.5" x14ac:dyDescent="0.25">
      <c r="A78" s="31" t="s">
        <v>192</v>
      </c>
      <c r="B78" s="42" t="s">
        <v>181</v>
      </c>
      <c r="C78" s="42" t="s">
        <v>203</v>
      </c>
      <c r="D78" s="42" t="s">
        <v>229</v>
      </c>
      <c r="E78" s="42" t="s">
        <v>193</v>
      </c>
      <c r="F78" s="7">
        <f>'Прил.№4 ведомств.'!G67</f>
        <v>159.69999999999999</v>
      </c>
    </row>
    <row r="79" spans="1:6" ht="31.5" x14ac:dyDescent="0.25">
      <c r="A79" s="26" t="s">
        <v>194</v>
      </c>
      <c r="B79" s="42" t="s">
        <v>181</v>
      </c>
      <c r="C79" s="42" t="s">
        <v>203</v>
      </c>
      <c r="D79" s="42" t="s">
        <v>229</v>
      </c>
      <c r="E79" s="42" t="s">
        <v>195</v>
      </c>
      <c r="F79" s="7">
        <f>F80</f>
        <v>65.2</v>
      </c>
    </row>
    <row r="80" spans="1:6" ht="47.25" x14ac:dyDescent="0.25">
      <c r="A80" s="26" t="s">
        <v>196</v>
      </c>
      <c r="B80" s="42" t="s">
        <v>181</v>
      </c>
      <c r="C80" s="42" t="s">
        <v>203</v>
      </c>
      <c r="D80" s="42" t="s">
        <v>229</v>
      </c>
      <c r="E80" s="42" t="s">
        <v>197</v>
      </c>
      <c r="F80" s="7">
        <f>'Прил.№4 ведомств.'!G69</f>
        <v>65.2</v>
      </c>
    </row>
    <row r="81" spans="1:6" ht="63" x14ac:dyDescent="0.25">
      <c r="A81" s="33" t="s">
        <v>802</v>
      </c>
      <c r="B81" s="42" t="s">
        <v>181</v>
      </c>
      <c r="C81" s="42" t="s">
        <v>203</v>
      </c>
      <c r="D81" s="42" t="s">
        <v>803</v>
      </c>
      <c r="E81" s="42"/>
      <c r="F81" s="7">
        <f>F82</f>
        <v>0.5</v>
      </c>
    </row>
    <row r="82" spans="1:6" ht="31.5" x14ac:dyDescent="0.25">
      <c r="A82" s="26" t="s">
        <v>194</v>
      </c>
      <c r="B82" s="42" t="s">
        <v>181</v>
      </c>
      <c r="C82" s="42" t="s">
        <v>203</v>
      </c>
      <c r="D82" s="42" t="s">
        <v>803</v>
      </c>
      <c r="E82" s="42" t="s">
        <v>195</v>
      </c>
      <c r="F82" s="7">
        <f>F83</f>
        <v>0.5</v>
      </c>
    </row>
    <row r="83" spans="1:6" ht="47.25" x14ac:dyDescent="0.25">
      <c r="A83" s="26" t="s">
        <v>196</v>
      </c>
      <c r="B83" s="42" t="s">
        <v>181</v>
      </c>
      <c r="C83" s="42" t="s">
        <v>203</v>
      </c>
      <c r="D83" s="42" t="s">
        <v>803</v>
      </c>
      <c r="E83" s="42" t="s">
        <v>197</v>
      </c>
      <c r="F83" s="7">
        <f>'Прил.№4 ведомств.'!G978</f>
        <v>0.5</v>
      </c>
    </row>
    <row r="84" spans="1:6" ht="47.25" x14ac:dyDescent="0.25">
      <c r="A84" s="35" t="s">
        <v>254</v>
      </c>
      <c r="B84" s="42" t="s">
        <v>181</v>
      </c>
      <c r="C84" s="42" t="s">
        <v>203</v>
      </c>
      <c r="D84" s="42" t="s">
        <v>789</v>
      </c>
      <c r="E84" s="42"/>
      <c r="F84" s="7">
        <f>F85</f>
        <v>0.5</v>
      </c>
    </row>
    <row r="85" spans="1:6" ht="31.5" x14ac:dyDescent="0.25">
      <c r="A85" s="26" t="s">
        <v>194</v>
      </c>
      <c r="B85" s="42" t="s">
        <v>181</v>
      </c>
      <c r="C85" s="42" t="s">
        <v>203</v>
      </c>
      <c r="D85" s="42" t="s">
        <v>789</v>
      </c>
      <c r="E85" s="42" t="s">
        <v>195</v>
      </c>
      <c r="F85" s="7">
        <f>F86</f>
        <v>0.5</v>
      </c>
    </row>
    <row r="86" spans="1:6" ht="47.25" x14ac:dyDescent="0.25">
      <c r="A86" s="26" t="s">
        <v>196</v>
      </c>
      <c r="B86" s="42" t="s">
        <v>181</v>
      </c>
      <c r="C86" s="42" t="s">
        <v>203</v>
      </c>
      <c r="D86" s="42" t="s">
        <v>789</v>
      </c>
      <c r="E86" s="42" t="s">
        <v>197</v>
      </c>
      <c r="F86" s="7">
        <f>'Прил.№4 ведомств.'!G72</f>
        <v>0.5</v>
      </c>
    </row>
    <row r="87" spans="1:6" ht="93.75" customHeight="1" x14ac:dyDescent="0.25">
      <c r="A87" s="31" t="s">
        <v>666</v>
      </c>
      <c r="B87" s="10" t="s">
        <v>181</v>
      </c>
      <c r="C87" s="10" t="s">
        <v>203</v>
      </c>
      <c r="D87" s="6" t="s">
        <v>231</v>
      </c>
      <c r="E87" s="10"/>
      <c r="F87" s="11">
        <f>F92+F88+F96</f>
        <v>80</v>
      </c>
    </row>
    <row r="88" spans="1:6" ht="78.75" x14ac:dyDescent="0.25">
      <c r="A88" s="31" t="s">
        <v>232</v>
      </c>
      <c r="B88" s="10" t="s">
        <v>181</v>
      </c>
      <c r="C88" s="10" t="s">
        <v>203</v>
      </c>
      <c r="D88" s="32" t="s">
        <v>233</v>
      </c>
      <c r="E88" s="10"/>
      <c r="F88" s="11">
        <f>F89</f>
        <v>15</v>
      </c>
    </row>
    <row r="89" spans="1:6" ht="31.5" x14ac:dyDescent="0.25">
      <c r="A89" s="123" t="s">
        <v>234</v>
      </c>
      <c r="B89" s="10" t="s">
        <v>181</v>
      </c>
      <c r="C89" s="10" t="s">
        <v>203</v>
      </c>
      <c r="D89" s="6" t="s">
        <v>235</v>
      </c>
      <c r="E89" s="10"/>
      <c r="F89" s="11">
        <f>F90</f>
        <v>15</v>
      </c>
    </row>
    <row r="90" spans="1:6" ht="31.5" x14ac:dyDescent="0.25">
      <c r="A90" s="26" t="s">
        <v>194</v>
      </c>
      <c r="B90" s="10" t="s">
        <v>181</v>
      </c>
      <c r="C90" s="10" t="s">
        <v>203</v>
      </c>
      <c r="D90" s="6" t="s">
        <v>235</v>
      </c>
      <c r="E90" s="10" t="s">
        <v>195</v>
      </c>
      <c r="F90" s="11">
        <f>F91</f>
        <v>15</v>
      </c>
    </row>
    <row r="91" spans="1:6" ht="47.25" x14ac:dyDescent="0.25">
      <c r="A91" s="26" t="s">
        <v>196</v>
      </c>
      <c r="B91" s="10" t="s">
        <v>181</v>
      </c>
      <c r="C91" s="10" t="s">
        <v>203</v>
      </c>
      <c r="D91" s="6" t="s">
        <v>235</v>
      </c>
      <c r="E91" s="10" t="s">
        <v>197</v>
      </c>
      <c r="F91" s="11">
        <f>'Прил.№4 ведомств.'!G77</f>
        <v>15</v>
      </c>
    </row>
    <row r="92" spans="1:6" ht="63" x14ac:dyDescent="0.25">
      <c r="A92" s="31" t="s">
        <v>236</v>
      </c>
      <c r="B92" s="10" t="s">
        <v>181</v>
      </c>
      <c r="C92" s="10" t="s">
        <v>203</v>
      </c>
      <c r="D92" s="32" t="s">
        <v>237</v>
      </c>
      <c r="E92" s="10"/>
      <c r="F92" s="11">
        <f>F93</f>
        <v>50</v>
      </c>
    </row>
    <row r="93" spans="1:6" ht="15.75" x14ac:dyDescent="0.25">
      <c r="A93" s="47" t="s">
        <v>238</v>
      </c>
      <c r="B93" s="10" t="s">
        <v>181</v>
      </c>
      <c r="C93" s="10" t="s">
        <v>203</v>
      </c>
      <c r="D93" s="6" t="s">
        <v>239</v>
      </c>
      <c r="E93" s="10"/>
      <c r="F93" s="11">
        <f>F94</f>
        <v>50</v>
      </c>
    </row>
    <row r="94" spans="1:6" ht="31.5" x14ac:dyDescent="0.25">
      <c r="A94" s="26" t="s">
        <v>194</v>
      </c>
      <c r="B94" s="10" t="s">
        <v>181</v>
      </c>
      <c r="C94" s="10" t="s">
        <v>203</v>
      </c>
      <c r="D94" s="6" t="s">
        <v>239</v>
      </c>
      <c r="E94" s="10" t="s">
        <v>195</v>
      </c>
      <c r="F94" s="11">
        <f>F95</f>
        <v>50</v>
      </c>
    </row>
    <row r="95" spans="1:6" ht="47.25" x14ac:dyDescent="0.25">
      <c r="A95" s="26" t="s">
        <v>196</v>
      </c>
      <c r="B95" s="10" t="s">
        <v>181</v>
      </c>
      <c r="C95" s="10" t="s">
        <v>203</v>
      </c>
      <c r="D95" s="6" t="s">
        <v>239</v>
      </c>
      <c r="E95" s="10" t="s">
        <v>197</v>
      </c>
      <c r="F95" s="11">
        <f>'Прил.№4 ведомств.'!G81</f>
        <v>50</v>
      </c>
    </row>
    <row r="96" spans="1:6" ht="47.25" x14ac:dyDescent="0.25">
      <c r="A96" s="26" t="s">
        <v>240</v>
      </c>
      <c r="B96" s="10" t="s">
        <v>181</v>
      </c>
      <c r="C96" s="10" t="s">
        <v>203</v>
      </c>
      <c r="D96" s="6" t="s">
        <v>241</v>
      </c>
      <c r="E96" s="10"/>
      <c r="F96" s="11">
        <f>F97</f>
        <v>15</v>
      </c>
    </row>
    <row r="97" spans="1:6" ht="15.75" x14ac:dyDescent="0.25">
      <c r="A97" s="47" t="s">
        <v>242</v>
      </c>
      <c r="B97" s="10" t="s">
        <v>181</v>
      </c>
      <c r="C97" s="10" t="s">
        <v>203</v>
      </c>
      <c r="D97" s="6" t="s">
        <v>243</v>
      </c>
      <c r="E97" s="10"/>
      <c r="F97" s="11">
        <f>F98</f>
        <v>15</v>
      </c>
    </row>
    <row r="98" spans="1:6" ht="31.5" x14ac:dyDescent="0.25">
      <c r="A98" s="26" t="s">
        <v>194</v>
      </c>
      <c r="B98" s="10" t="s">
        <v>181</v>
      </c>
      <c r="C98" s="10" t="s">
        <v>203</v>
      </c>
      <c r="D98" s="6" t="s">
        <v>243</v>
      </c>
      <c r="E98" s="10" t="s">
        <v>195</v>
      </c>
      <c r="F98" s="11">
        <f>F99</f>
        <v>15</v>
      </c>
    </row>
    <row r="99" spans="1:6" ht="47.25" x14ac:dyDescent="0.25">
      <c r="A99" s="26" t="s">
        <v>196</v>
      </c>
      <c r="B99" s="10" t="s">
        <v>181</v>
      </c>
      <c r="C99" s="10" t="s">
        <v>203</v>
      </c>
      <c r="D99" s="6" t="s">
        <v>243</v>
      </c>
      <c r="E99" s="10" t="s">
        <v>197</v>
      </c>
      <c r="F99" s="11">
        <f>'Прил.№4 ведомств.'!G85</f>
        <v>15</v>
      </c>
    </row>
    <row r="100" spans="1:6" ht="47.25" x14ac:dyDescent="0.25">
      <c r="A100" s="33" t="s">
        <v>244</v>
      </c>
      <c r="B100" s="10" t="s">
        <v>181</v>
      </c>
      <c r="C100" s="10" t="s">
        <v>203</v>
      </c>
      <c r="D100" s="32" t="s">
        <v>245</v>
      </c>
      <c r="E100" s="34"/>
      <c r="F100" s="11">
        <f>F101</f>
        <v>50</v>
      </c>
    </row>
    <row r="101" spans="1:6" ht="31.5" x14ac:dyDescent="0.25">
      <c r="A101" s="26" t="s">
        <v>220</v>
      </c>
      <c r="B101" s="10" t="s">
        <v>181</v>
      </c>
      <c r="C101" s="10" t="s">
        <v>203</v>
      </c>
      <c r="D101" s="21" t="s">
        <v>246</v>
      </c>
      <c r="E101" s="34"/>
      <c r="F101" s="11">
        <f>F102</f>
        <v>50</v>
      </c>
    </row>
    <row r="102" spans="1:6" ht="15.75" x14ac:dyDescent="0.25">
      <c r="A102" s="31" t="s">
        <v>198</v>
      </c>
      <c r="B102" s="10" t="s">
        <v>181</v>
      </c>
      <c r="C102" s="10" t="s">
        <v>203</v>
      </c>
      <c r="D102" s="21" t="s">
        <v>246</v>
      </c>
      <c r="E102" s="34" t="s">
        <v>208</v>
      </c>
      <c r="F102" s="11">
        <f>F103</f>
        <v>50</v>
      </c>
    </row>
    <row r="103" spans="1:6" ht="47.25" x14ac:dyDescent="0.25">
      <c r="A103" s="31" t="s">
        <v>247</v>
      </c>
      <c r="B103" s="10" t="s">
        <v>181</v>
      </c>
      <c r="C103" s="10" t="s">
        <v>203</v>
      </c>
      <c r="D103" s="21" t="s">
        <v>246</v>
      </c>
      <c r="E103" s="34" t="s">
        <v>223</v>
      </c>
      <c r="F103" s="11">
        <f>'Прил.№4 ведомств.'!G89</f>
        <v>50</v>
      </c>
    </row>
    <row r="104" spans="1:6" ht="63" x14ac:dyDescent="0.25">
      <c r="A104" s="31" t="s">
        <v>840</v>
      </c>
      <c r="B104" s="10" t="s">
        <v>181</v>
      </c>
      <c r="C104" s="10" t="s">
        <v>203</v>
      </c>
      <c r="D104" s="21" t="s">
        <v>841</v>
      </c>
      <c r="E104" s="34"/>
      <c r="F104" s="11">
        <f>F105</f>
        <v>29</v>
      </c>
    </row>
    <row r="105" spans="1:6" ht="31.5" x14ac:dyDescent="0.25">
      <c r="A105" s="33" t="s">
        <v>220</v>
      </c>
      <c r="B105" s="10" t="s">
        <v>181</v>
      </c>
      <c r="C105" s="10" t="s">
        <v>203</v>
      </c>
      <c r="D105" s="21" t="s">
        <v>849</v>
      </c>
      <c r="E105" s="34"/>
      <c r="F105" s="11">
        <f>F106</f>
        <v>29</v>
      </c>
    </row>
    <row r="106" spans="1:6" ht="31.5" x14ac:dyDescent="0.25">
      <c r="A106" s="26" t="s">
        <v>194</v>
      </c>
      <c r="B106" s="10" t="s">
        <v>181</v>
      </c>
      <c r="C106" s="10" t="s">
        <v>203</v>
      </c>
      <c r="D106" s="21" t="s">
        <v>849</v>
      </c>
      <c r="E106" s="34" t="s">
        <v>195</v>
      </c>
      <c r="F106" s="11">
        <f>F107</f>
        <v>29</v>
      </c>
    </row>
    <row r="107" spans="1:6" ht="47.25" x14ac:dyDescent="0.25">
      <c r="A107" s="26" t="s">
        <v>196</v>
      </c>
      <c r="B107" s="10" t="s">
        <v>181</v>
      </c>
      <c r="C107" s="10" t="s">
        <v>203</v>
      </c>
      <c r="D107" s="21" t="s">
        <v>849</v>
      </c>
      <c r="E107" s="34" t="s">
        <v>197</v>
      </c>
      <c r="F107" s="11">
        <f>'Прил.№4 ведомств.'!G93</f>
        <v>29</v>
      </c>
    </row>
    <row r="108" spans="1:6" ht="15.75" hidden="1" x14ac:dyDescent="0.25">
      <c r="A108" s="31"/>
      <c r="B108" s="10" t="s">
        <v>181</v>
      </c>
      <c r="C108" s="10" t="s">
        <v>203</v>
      </c>
      <c r="D108" s="21" t="s">
        <v>842</v>
      </c>
      <c r="E108" s="34"/>
      <c r="F108" s="11">
        <f>F109</f>
        <v>0</v>
      </c>
    </row>
    <row r="109" spans="1:6" ht="31.5" hidden="1" x14ac:dyDescent="0.25">
      <c r="A109" s="26" t="s">
        <v>194</v>
      </c>
      <c r="B109" s="10" t="s">
        <v>181</v>
      </c>
      <c r="C109" s="10" t="s">
        <v>203</v>
      </c>
      <c r="D109" s="21" t="s">
        <v>842</v>
      </c>
      <c r="E109" s="34" t="s">
        <v>195</v>
      </c>
      <c r="F109" s="11">
        <f>F110</f>
        <v>0</v>
      </c>
    </row>
    <row r="110" spans="1:6" ht="47.25" hidden="1" x14ac:dyDescent="0.25">
      <c r="A110" s="26" t="s">
        <v>196</v>
      </c>
      <c r="B110" s="10" t="s">
        <v>181</v>
      </c>
      <c r="C110" s="10" t="s">
        <v>203</v>
      </c>
      <c r="D110" s="21" t="s">
        <v>842</v>
      </c>
      <c r="E110" s="34" t="s">
        <v>197</v>
      </c>
      <c r="F110" s="11">
        <f>'Прил.№4 ведомств.'!G96</f>
        <v>0</v>
      </c>
    </row>
    <row r="111" spans="1:6" ht="15.75" x14ac:dyDescent="0.25">
      <c r="A111" s="31" t="s">
        <v>184</v>
      </c>
      <c r="B111" s="42" t="s">
        <v>181</v>
      </c>
      <c r="C111" s="42" t="s">
        <v>203</v>
      </c>
      <c r="D111" s="42" t="s">
        <v>185</v>
      </c>
      <c r="E111" s="42"/>
      <c r="F111" s="7">
        <f>F112+F140+F161</f>
        <v>32698.739999999998</v>
      </c>
    </row>
    <row r="112" spans="1:6" ht="31.5" x14ac:dyDescent="0.25">
      <c r="A112" s="31" t="s">
        <v>248</v>
      </c>
      <c r="B112" s="42" t="s">
        <v>181</v>
      </c>
      <c r="C112" s="42" t="s">
        <v>203</v>
      </c>
      <c r="D112" s="42" t="s">
        <v>249</v>
      </c>
      <c r="E112" s="8"/>
      <c r="F112" s="11">
        <f>F118+F129+F132+F135+F113+F126+F123</f>
        <v>3664.4999999999995</v>
      </c>
    </row>
    <row r="113" spans="1:6" ht="47.25" hidden="1" x14ac:dyDescent="0.25">
      <c r="A113" s="26" t="s">
        <v>250</v>
      </c>
      <c r="B113" s="42" t="s">
        <v>181</v>
      </c>
      <c r="C113" s="42" t="s">
        <v>203</v>
      </c>
      <c r="D113" s="42" t="s">
        <v>251</v>
      </c>
      <c r="E113" s="8"/>
      <c r="F113" s="11">
        <f>F114+F116</f>
        <v>0</v>
      </c>
    </row>
    <row r="114" spans="1:6" ht="78.75" hidden="1" x14ac:dyDescent="0.25">
      <c r="A114" s="26" t="s">
        <v>190</v>
      </c>
      <c r="B114" s="42" t="s">
        <v>181</v>
      </c>
      <c r="C114" s="42" t="s">
        <v>203</v>
      </c>
      <c r="D114" s="42" t="s">
        <v>251</v>
      </c>
      <c r="E114" s="42" t="s">
        <v>191</v>
      </c>
      <c r="F114" s="11">
        <f>F115</f>
        <v>0</v>
      </c>
    </row>
    <row r="115" spans="1:6" ht="31.5" hidden="1" x14ac:dyDescent="0.25">
      <c r="A115" s="26" t="s">
        <v>192</v>
      </c>
      <c r="B115" s="42" t="s">
        <v>181</v>
      </c>
      <c r="C115" s="42" t="s">
        <v>203</v>
      </c>
      <c r="D115" s="42" t="s">
        <v>251</v>
      </c>
      <c r="E115" s="42" t="s">
        <v>193</v>
      </c>
      <c r="F115" s="11"/>
    </row>
    <row r="116" spans="1:6" ht="31.5" hidden="1" x14ac:dyDescent="0.25">
      <c r="A116" s="26" t="s">
        <v>194</v>
      </c>
      <c r="B116" s="42" t="s">
        <v>181</v>
      </c>
      <c r="C116" s="42" t="s">
        <v>203</v>
      </c>
      <c r="D116" s="42" t="s">
        <v>251</v>
      </c>
      <c r="E116" s="42" t="s">
        <v>195</v>
      </c>
      <c r="F116" s="11">
        <f>F117</f>
        <v>0</v>
      </c>
    </row>
    <row r="117" spans="1:6" ht="47.25" hidden="1" x14ac:dyDescent="0.25">
      <c r="A117" s="26" t="s">
        <v>196</v>
      </c>
      <c r="B117" s="42" t="s">
        <v>181</v>
      </c>
      <c r="C117" s="42" t="s">
        <v>203</v>
      </c>
      <c r="D117" s="42" t="s">
        <v>251</v>
      </c>
      <c r="E117" s="42" t="s">
        <v>197</v>
      </c>
      <c r="F117" s="11"/>
    </row>
    <row r="118" spans="1:6" ht="47.25" x14ac:dyDescent="0.25">
      <c r="A118" s="47" t="s">
        <v>252</v>
      </c>
      <c r="B118" s="42" t="s">
        <v>181</v>
      </c>
      <c r="C118" s="42" t="s">
        <v>203</v>
      </c>
      <c r="D118" s="42" t="s">
        <v>253</v>
      </c>
      <c r="E118" s="42"/>
      <c r="F118" s="7">
        <f>F119+F122</f>
        <v>701.8</v>
      </c>
    </row>
    <row r="119" spans="1:6" ht="78.75" x14ac:dyDescent="0.25">
      <c r="A119" s="31" t="s">
        <v>190</v>
      </c>
      <c r="B119" s="42" t="s">
        <v>181</v>
      </c>
      <c r="C119" s="42" t="s">
        <v>203</v>
      </c>
      <c r="D119" s="42" t="s">
        <v>253</v>
      </c>
      <c r="E119" s="42" t="s">
        <v>191</v>
      </c>
      <c r="F119" s="7">
        <f>F120</f>
        <v>643.29999999999995</v>
      </c>
    </row>
    <row r="120" spans="1:6" ht="31.5" x14ac:dyDescent="0.25">
      <c r="A120" s="31" t="s">
        <v>192</v>
      </c>
      <c r="B120" s="42" t="s">
        <v>181</v>
      </c>
      <c r="C120" s="42" t="s">
        <v>203</v>
      </c>
      <c r="D120" s="42" t="s">
        <v>253</v>
      </c>
      <c r="E120" s="42" t="s">
        <v>193</v>
      </c>
      <c r="F120" s="7">
        <f>'Прил.№4 ведомств.'!G106</f>
        <v>643.29999999999995</v>
      </c>
    </row>
    <row r="121" spans="1:6" ht="31.5" x14ac:dyDescent="0.25">
      <c r="A121" s="26" t="s">
        <v>194</v>
      </c>
      <c r="B121" s="42" t="s">
        <v>181</v>
      </c>
      <c r="C121" s="42" t="s">
        <v>203</v>
      </c>
      <c r="D121" s="42" t="s">
        <v>253</v>
      </c>
      <c r="E121" s="42" t="s">
        <v>195</v>
      </c>
      <c r="F121" s="7">
        <f>F122</f>
        <v>58.5</v>
      </c>
    </row>
    <row r="122" spans="1:6" ht="47.25" x14ac:dyDescent="0.25">
      <c r="A122" s="26" t="s">
        <v>196</v>
      </c>
      <c r="B122" s="42" t="s">
        <v>181</v>
      </c>
      <c r="C122" s="42" t="s">
        <v>203</v>
      </c>
      <c r="D122" s="42" t="s">
        <v>253</v>
      </c>
      <c r="E122" s="42" t="s">
        <v>197</v>
      </c>
      <c r="F122" s="7">
        <f>'Прил.№4 ведомств.'!G108</f>
        <v>58.5</v>
      </c>
    </row>
    <row r="123" spans="1:6" ht="47.25" x14ac:dyDescent="0.25">
      <c r="A123" s="37" t="s">
        <v>881</v>
      </c>
      <c r="B123" s="42" t="s">
        <v>181</v>
      </c>
      <c r="C123" s="42" t="s">
        <v>203</v>
      </c>
      <c r="D123" s="42" t="s">
        <v>880</v>
      </c>
      <c r="E123" s="42"/>
      <c r="F123" s="7">
        <f>F124</f>
        <v>88.7</v>
      </c>
    </row>
    <row r="124" spans="1:6" ht="31.5" x14ac:dyDescent="0.25">
      <c r="A124" s="26" t="s">
        <v>194</v>
      </c>
      <c r="B124" s="42" t="s">
        <v>181</v>
      </c>
      <c r="C124" s="42" t="s">
        <v>203</v>
      </c>
      <c r="D124" s="42" t="s">
        <v>880</v>
      </c>
      <c r="E124" s="42" t="s">
        <v>195</v>
      </c>
      <c r="F124" s="7">
        <f>F125</f>
        <v>88.7</v>
      </c>
    </row>
    <row r="125" spans="1:6" ht="47.25" x14ac:dyDescent="0.25">
      <c r="A125" s="26" t="s">
        <v>196</v>
      </c>
      <c r="B125" s="42" t="s">
        <v>181</v>
      </c>
      <c r="C125" s="42" t="s">
        <v>203</v>
      </c>
      <c r="D125" s="42" t="s">
        <v>880</v>
      </c>
      <c r="E125" s="42" t="s">
        <v>197</v>
      </c>
      <c r="F125" s="7">
        <f>'Прил.№4 ведомств.'!G237</f>
        <v>88.7</v>
      </c>
    </row>
    <row r="126" spans="1:6" ht="63" x14ac:dyDescent="0.25">
      <c r="A126" s="33" t="s">
        <v>802</v>
      </c>
      <c r="B126" s="42" t="s">
        <v>181</v>
      </c>
      <c r="C126" s="42" t="s">
        <v>203</v>
      </c>
      <c r="D126" s="21" t="s">
        <v>804</v>
      </c>
      <c r="E126" s="42"/>
      <c r="F126" s="7">
        <f>F127</f>
        <v>32</v>
      </c>
    </row>
    <row r="127" spans="1:6" ht="31.5" x14ac:dyDescent="0.25">
      <c r="A127" s="26" t="s">
        <v>194</v>
      </c>
      <c r="B127" s="42" t="s">
        <v>181</v>
      </c>
      <c r="C127" s="42" t="s">
        <v>203</v>
      </c>
      <c r="D127" s="21" t="s">
        <v>804</v>
      </c>
      <c r="E127" s="42" t="s">
        <v>195</v>
      </c>
      <c r="F127" s="7">
        <f>F128</f>
        <v>32</v>
      </c>
    </row>
    <row r="128" spans="1:6" ht="47.25" x14ac:dyDescent="0.25">
      <c r="A128" s="26" t="s">
        <v>196</v>
      </c>
      <c r="B128" s="42" t="s">
        <v>181</v>
      </c>
      <c r="C128" s="42" t="s">
        <v>203</v>
      </c>
      <c r="D128" s="21" t="s">
        <v>804</v>
      </c>
      <c r="E128" s="42" t="s">
        <v>197</v>
      </c>
      <c r="F128" s="7">
        <f>'Прил.№4 ведомств.'!G983</f>
        <v>32</v>
      </c>
    </row>
    <row r="129" spans="1:6" ht="47.25" x14ac:dyDescent="0.25">
      <c r="A129" s="35" t="s">
        <v>254</v>
      </c>
      <c r="B129" s="21" t="s">
        <v>181</v>
      </c>
      <c r="C129" s="21" t="s">
        <v>203</v>
      </c>
      <c r="D129" s="21" t="s">
        <v>255</v>
      </c>
      <c r="E129" s="21"/>
      <c r="F129" s="11">
        <f>F130</f>
        <v>20</v>
      </c>
    </row>
    <row r="130" spans="1:6" ht="31.5" x14ac:dyDescent="0.25">
      <c r="A130" s="26" t="s">
        <v>194</v>
      </c>
      <c r="B130" s="21" t="s">
        <v>181</v>
      </c>
      <c r="C130" s="21" t="s">
        <v>203</v>
      </c>
      <c r="D130" s="21" t="s">
        <v>255</v>
      </c>
      <c r="E130" s="21" t="s">
        <v>195</v>
      </c>
      <c r="F130" s="11">
        <f>F131</f>
        <v>20</v>
      </c>
    </row>
    <row r="131" spans="1:6" ht="47.25" x14ac:dyDescent="0.25">
      <c r="A131" s="26" t="s">
        <v>196</v>
      </c>
      <c r="B131" s="21" t="s">
        <v>181</v>
      </c>
      <c r="C131" s="21" t="s">
        <v>203</v>
      </c>
      <c r="D131" s="21" t="s">
        <v>255</v>
      </c>
      <c r="E131" s="21" t="s">
        <v>197</v>
      </c>
      <c r="F131" s="11">
        <f>'Прил.№4 ведомств.'!G111</f>
        <v>20</v>
      </c>
    </row>
    <row r="132" spans="1:6" ht="47.25" x14ac:dyDescent="0.25">
      <c r="A132" s="33" t="s">
        <v>257</v>
      </c>
      <c r="B132" s="42" t="s">
        <v>181</v>
      </c>
      <c r="C132" s="42" t="s">
        <v>203</v>
      </c>
      <c r="D132" s="42" t="s">
        <v>258</v>
      </c>
      <c r="E132" s="42"/>
      <c r="F132" s="7">
        <f>SUM(F133:F133)</f>
        <v>1752.9</v>
      </c>
    </row>
    <row r="133" spans="1:6" ht="78.75" x14ac:dyDescent="0.25">
      <c r="A133" s="31" t="s">
        <v>190</v>
      </c>
      <c r="B133" s="42" t="s">
        <v>181</v>
      </c>
      <c r="C133" s="42" t="s">
        <v>203</v>
      </c>
      <c r="D133" s="42" t="s">
        <v>258</v>
      </c>
      <c r="E133" s="42" t="s">
        <v>191</v>
      </c>
      <c r="F133" s="7">
        <f>F134</f>
        <v>1752.9</v>
      </c>
    </row>
    <row r="134" spans="1:6" ht="31.5" x14ac:dyDescent="0.25">
      <c r="A134" s="31" t="s">
        <v>192</v>
      </c>
      <c r="B134" s="42" t="s">
        <v>181</v>
      </c>
      <c r="C134" s="42" t="s">
        <v>203</v>
      </c>
      <c r="D134" s="42" t="s">
        <v>258</v>
      </c>
      <c r="E134" s="42" t="s">
        <v>193</v>
      </c>
      <c r="F134" s="7">
        <f>'Прил.№4 ведомств.'!G117</f>
        <v>1752.9</v>
      </c>
    </row>
    <row r="135" spans="1:6" ht="47.25" x14ac:dyDescent="0.25">
      <c r="A135" s="47" t="s">
        <v>259</v>
      </c>
      <c r="B135" s="42" t="s">
        <v>181</v>
      </c>
      <c r="C135" s="42" t="s">
        <v>203</v>
      </c>
      <c r="D135" s="42" t="s">
        <v>260</v>
      </c>
      <c r="E135" s="42"/>
      <c r="F135" s="7">
        <f>F136+F138</f>
        <v>1069.0999999999999</v>
      </c>
    </row>
    <row r="136" spans="1:6" ht="78.75" x14ac:dyDescent="0.25">
      <c r="A136" s="31" t="s">
        <v>190</v>
      </c>
      <c r="B136" s="42" t="s">
        <v>181</v>
      </c>
      <c r="C136" s="42" t="s">
        <v>203</v>
      </c>
      <c r="D136" s="42" t="s">
        <v>260</v>
      </c>
      <c r="E136" s="42" t="s">
        <v>191</v>
      </c>
      <c r="F136" s="7">
        <f>F137</f>
        <v>1047.6999999999998</v>
      </c>
    </row>
    <row r="137" spans="1:6" ht="31.5" x14ac:dyDescent="0.25">
      <c r="A137" s="31" t="s">
        <v>192</v>
      </c>
      <c r="B137" s="42" t="s">
        <v>181</v>
      </c>
      <c r="C137" s="42" t="s">
        <v>203</v>
      </c>
      <c r="D137" s="42" t="s">
        <v>260</v>
      </c>
      <c r="E137" s="42" t="s">
        <v>193</v>
      </c>
      <c r="F137" s="7">
        <f>'Прил.№4 ведомств.'!G120</f>
        <v>1047.6999999999998</v>
      </c>
    </row>
    <row r="138" spans="1:6" ht="31.5" x14ac:dyDescent="0.25">
      <c r="A138" s="31" t="s">
        <v>194</v>
      </c>
      <c r="B138" s="42" t="s">
        <v>181</v>
      </c>
      <c r="C138" s="42" t="s">
        <v>203</v>
      </c>
      <c r="D138" s="42" t="s">
        <v>260</v>
      </c>
      <c r="E138" s="42" t="s">
        <v>195</v>
      </c>
      <c r="F138" s="7">
        <f>F139</f>
        <v>21.400000000000002</v>
      </c>
    </row>
    <row r="139" spans="1:6" ht="47.25" x14ac:dyDescent="0.25">
      <c r="A139" s="31" t="s">
        <v>196</v>
      </c>
      <c r="B139" s="42" t="s">
        <v>181</v>
      </c>
      <c r="C139" s="42" t="s">
        <v>203</v>
      </c>
      <c r="D139" s="42" t="s">
        <v>260</v>
      </c>
      <c r="E139" s="42" t="s">
        <v>197</v>
      </c>
      <c r="F139" s="7">
        <f>'Прил.№4 ведомств.'!G122</f>
        <v>21.400000000000002</v>
      </c>
    </row>
    <row r="140" spans="1:6" ht="15.75" x14ac:dyDescent="0.25">
      <c r="A140" s="31" t="s">
        <v>204</v>
      </c>
      <c r="B140" s="42" t="s">
        <v>181</v>
      </c>
      <c r="C140" s="42" t="s">
        <v>203</v>
      </c>
      <c r="D140" s="42" t="s">
        <v>205</v>
      </c>
      <c r="E140" s="42"/>
      <c r="F140" s="7">
        <f>F141+F144+F147+F152+F157</f>
        <v>14581.94</v>
      </c>
    </row>
    <row r="141" spans="1:6" ht="47.25" x14ac:dyDescent="0.25">
      <c r="A141" s="31" t="s">
        <v>452</v>
      </c>
      <c r="B141" s="42" t="s">
        <v>181</v>
      </c>
      <c r="C141" s="42" t="s">
        <v>203</v>
      </c>
      <c r="D141" s="42" t="s">
        <v>453</v>
      </c>
      <c r="E141" s="42"/>
      <c r="F141" s="7">
        <f>F142</f>
        <v>3282.94</v>
      </c>
    </row>
    <row r="142" spans="1:6" ht="31.5" x14ac:dyDescent="0.25">
      <c r="A142" s="31" t="s">
        <v>194</v>
      </c>
      <c r="B142" s="42" t="s">
        <v>181</v>
      </c>
      <c r="C142" s="42" t="s">
        <v>203</v>
      </c>
      <c r="D142" s="42" t="s">
        <v>453</v>
      </c>
      <c r="E142" s="42" t="s">
        <v>195</v>
      </c>
      <c r="F142" s="63">
        <f>F143</f>
        <v>3282.94</v>
      </c>
    </row>
    <row r="143" spans="1:6" ht="47.25" x14ac:dyDescent="0.25">
      <c r="A143" s="31" t="s">
        <v>196</v>
      </c>
      <c r="B143" s="42" t="s">
        <v>181</v>
      </c>
      <c r="C143" s="42" t="s">
        <v>203</v>
      </c>
      <c r="D143" s="42" t="s">
        <v>453</v>
      </c>
      <c r="E143" s="42" t="s">
        <v>197</v>
      </c>
      <c r="F143" s="63">
        <f>'Прил.№4 ведомств.'!G484</f>
        <v>3282.94</v>
      </c>
    </row>
    <row r="144" spans="1:6" ht="15.75" x14ac:dyDescent="0.25">
      <c r="A144" s="31" t="s">
        <v>242</v>
      </c>
      <c r="B144" s="42" t="s">
        <v>181</v>
      </c>
      <c r="C144" s="42" t="s">
        <v>203</v>
      </c>
      <c r="D144" s="42" t="s">
        <v>268</v>
      </c>
      <c r="E144" s="42"/>
      <c r="F144" s="7">
        <f>F145</f>
        <v>5</v>
      </c>
    </row>
    <row r="145" spans="1:6" ht="31.5" x14ac:dyDescent="0.25">
      <c r="A145" s="31" t="s">
        <v>194</v>
      </c>
      <c r="B145" s="42" t="s">
        <v>181</v>
      </c>
      <c r="C145" s="42" t="s">
        <v>203</v>
      </c>
      <c r="D145" s="42" t="s">
        <v>268</v>
      </c>
      <c r="E145" s="42" t="s">
        <v>195</v>
      </c>
      <c r="F145" s="7">
        <f>F146</f>
        <v>5</v>
      </c>
    </row>
    <row r="146" spans="1:6" ht="47.25" x14ac:dyDescent="0.25">
      <c r="A146" s="31" t="s">
        <v>196</v>
      </c>
      <c r="B146" s="42" t="s">
        <v>181</v>
      </c>
      <c r="C146" s="42" t="s">
        <v>203</v>
      </c>
      <c r="D146" s="42" t="s">
        <v>268</v>
      </c>
      <c r="E146" s="42" t="s">
        <v>197</v>
      </c>
      <c r="F146" s="7">
        <f>'Прил.№4 ведомств.'!G516</f>
        <v>5</v>
      </c>
    </row>
    <row r="147" spans="1:6" ht="15.75" x14ac:dyDescent="0.25">
      <c r="A147" s="31" t="s">
        <v>269</v>
      </c>
      <c r="B147" s="42" t="s">
        <v>181</v>
      </c>
      <c r="C147" s="42" t="s">
        <v>203</v>
      </c>
      <c r="D147" s="42" t="s">
        <v>270</v>
      </c>
      <c r="E147" s="42"/>
      <c r="F147" s="7">
        <f>F148+F150</f>
        <v>5986.2</v>
      </c>
    </row>
    <row r="148" spans="1:6" ht="78.75" x14ac:dyDescent="0.25">
      <c r="A148" s="31" t="s">
        <v>190</v>
      </c>
      <c r="B148" s="42" t="s">
        <v>181</v>
      </c>
      <c r="C148" s="42" t="s">
        <v>203</v>
      </c>
      <c r="D148" s="42" t="s">
        <v>270</v>
      </c>
      <c r="E148" s="42" t="s">
        <v>191</v>
      </c>
      <c r="F148" s="7">
        <f>F149</f>
        <v>4848.5</v>
      </c>
    </row>
    <row r="149" spans="1:6" ht="31.5" x14ac:dyDescent="0.25">
      <c r="A149" s="26" t="s">
        <v>271</v>
      </c>
      <c r="B149" s="42" t="s">
        <v>181</v>
      </c>
      <c r="C149" s="42" t="s">
        <v>203</v>
      </c>
      <c r="D149" s="42" t="s">
        <v>270</v>
      </c>
      <c r="E149" s="42" t="s">
        <v>272</v>
      </c>
      <c r="F149" s="7">
        <f>'Прил.№4 ведомств.'!G138</f>
        <v>4848.5</v>
      </c>
    </row>
    <row r="150" spans="1:6" ht="31.5" x14ac:dyDescent="0.25">
      <c r="A150" s="31" t="s">
        <v>194</v>
      </c>
      <c r="B150" s="42" t="s">
        <v>181</v>
      </c>
      <c r="C150" s="42" t="s">
        <v>203</v>
      </c>
      <c r="D150" s="42" t="s">
        <v>270</v>
      </c>
      <c r="E150" s="42" t="s">
        <v>195</v>
      </c>
      <c r="F150" s="63">
        <f>F151</f>
        <v>1137.7</v>
      </c>
    </row>
    <row r="151" spans="1:6" ht="47.25" x14ac:dyDescent="0.25">
      <c r="A151" s="31" t="s">
        <v>196</v>
      </c>
      <c r="B151" s="42" t="s">
        <v>181</v>
      </c>
      <c r="C151" s="42" t="s">
        <v>203</v>
      </c>
      <c r="D151" s="42" t="s">
        <v>270</v>
      </c>
      <c r="E151" s="42" t="s">
        <v>197</v>
      </c>
      <c r="F151" s="63">
        <f>'Прил.№4 ведомств.'!G140</f>
        <v>1137.7</v>
      </c>
    </row>
    <row r="152" spans="1:6" ht="47.25" x14ac:dyDescent="0.25">
      <c r="A152" s="31" t="s">
        <v>273</v>
      </c>
      <c r="B152" s="42" t="s">
        <v>181</v>
      </c>
      <c r="C152" s="42" t="s">
        <v>203</v>
      </c>
      <c r="D152" s="42" t="s">
        <v>274</v>
      </c>
      <c r="E152" s="42"/>
      <c r="F152" s="7">
        <f>F153+F155</f>
        <v>2867.2</v>
      </c>
    </row>
    <row r="153" spans="1:6" ht="78.75" x14ac:dyDescent="0.25">
      <c r="A153" s="31" t="s">
        <v>190</v>
      </c>
      <c r="B153" s="42" t="s">
        <v>181</v>
      </c>
      <c r="C153" s="42" t="s">
        <v>203</v>
      </c>
      <c r="D153" s="42" t="s">
        <v>274</v>
      </c>
      <c r="E153" s="42" t="s">
        <v>191</v>
      </c>
      <c r="F153" s="63">
        <f>F154</f>
        <v>2345.9</v>
      </c>
    </row>
    <row r="154" spans="1:6" ht="31.5" x14ac:dyDescent="0.25">
      <c r="A154" s="31" t="s">
        <v>192</v>
      </c>
      <c r="B154" s="42" t="s">
        <v>181</v>
      </c>
      <c r="C154" s="42" t="s">
        <v>203</v>
      </c>
      <c r="D154" s="42" t="s">
        <v>274</v>
      </c>
      <c r="E154" s="42" t="s">
        <v>193</v>
      </c>
      <c r="F154" s="63">
        <f>'Прил.№4 ведомств.'!G143</f>
        <v>2345.9</v>
      </c>
    </row>
    <row r="155" spans="1:6" ht="31.5" x14ac:dyDescent="0.25">
      <c r="A155" s="31" t="s">
        <v>194</v>
      </c>
      <c r="B155" s="42" t="s">
        <v>181</v>
      </c>
      <c r="C155" s="42" t="s">
        <v>203</v>
      </c>
      <c r="D155" s="42" t="s">
        <v>274</v>
      </c>
      <c r="E155" s="42" t="s">
        <v>195</v>
      </c>
      <c r="F155" s="7">
        <f>F156</f>
        <v>521.29999999999995</v>
      </c>
    </row>
    <row r="156" spans="1:6" ht="47.25" x14ac:dyDescent="0.25">
      <c r="A156" s="31" t="s">
        <v>196</v>
      </c>
      <c r="B156" s="42" t="s">
        <v>181</v>
      </c>
      <c r="C156" s="42" t="s">
        <v>203</v>
      </c>
      <c r="D156" s="42" t="s">
        <v>274</v>
      </c>
      <c r="E156" s="42" t="s">
        <v>197</v>
      </c>
      <c r="F156" s="63">
        <f>'Прил.№4 ведомств.'!G145</f>
        <v>521.29999999999995</v>
      </c>
    </row>
    <row r="157" spans="1:6" ht="15.75" x14ac:dyDescent="0.25">
      <c r="A157" s="26" t="s">
        <v>206</v>
      </c>
      <c r="B157" s="42" t="s">
        <v>181</v>
      </c>
      <c r="C157" s="42" t="s">
        <v>203</v>
      </c>
      <c r="D157" s="42" t="s">
        <v>207</v>
      </c>
      <c r="E157" s="42"/>
      <c r="F157" s="63">
        <f>F158</f>
        <v>2440.6</v>
      </c>
    </row>
    <row r="158" spans="1:6" ht="15.75" x14ac:dyDescent="0.25">
      <c r="A158" s="26" t="s">
        <v>198</v>
      </c>
      <c r="B158" s="42" t="s">
        <v>181</v>
      </c>
      <c r="C158" s="42" t="s">
        <v>203</v>
      </c>
      <c r="D158" s="42" t="s">
        <v>207</v>
      </c>
      <c r="E158" s="42" t="s">
        <v>208</v>
      </c>
      <c r="F158" s="63">
        <f>F159+F160</f>
        <v>2440.6</v>
      </c>
    </row>
    <row r="159" spans="1:6" ht="15.75" x14ac:dyDescent="0.25">
      <c r="A159" s="26" t="s">
        <v>209</v>
      </c>
      <c r="B159" s="42" t="s">
        <v>181</v>
      </c>
      <c r="C159" s="42" t="s">
        <v>203</v>
      </c>
      <c r="D159" s="42" t="s">
        <v>207</v>
      </c>
      <c r="E159" s="42" t="s">
        <v>210</v>
      </c>
      <c r="F159" s="63">
        <f>'Прил.№4 ведомств.'!G26+'Прил.№4 ведомств.'!G148+'Прил.№4 ведомств.'!G487+'Прил.№4 ведомств.'!G768</f>
        <v>2178.1</v>
      </c>
    </row>
    <row r="160" spans="1:6" ht="15.75" x14ac:dyDescent="0.25">
      <c r="A160" s="26" t="s">
        <v>633</v>
      </c>
      <c r="B160" s="42" t="s">
        <v>181</v>
      </c>
      <c r="C160" s="42" t="s">
        <v>203</v>
      </c>
      <c r="D160" s="42" t="s">
        <v>207</v>
      </c>
      <c r="E160" s="21" t="s">
        <v>201</v>
      </c>
      <c r="F160" s="63">
        <f>'Прил.№4 ведомств.'!G769</f>
        <v>262.5</v>
      </c>
    </row>
    <row r="161" spans="1:6" ht="31.5" x14ac:dyDescent="0.25">
      <c r="A161" s="26" t="s">
        <v>649</v>
      </c>
      <c r="B161" s="42" t="s">
        <v>181</v>
      </c>
      <c r="C161" s="42" t="s">
        <v>203</v>
      </c>
      <c r="D161" s="42" t="s">
        <v>650</v>
      </c>
      <c r="E161" s="21"/>
      <c r="F161" s="63">
        <f>F162</f>
        <v>14452.3</v>
      </c>
    </row>
    <row r="162" spans="1:6" ht="31.5" x14ac:dyDescent="0.25">
      <c r="A162" s="26" t="s">
        <v>373</v>
      </c>
      <c r="B162" s="42" t="s">
        <v>181</v>
      </c>
      <c r="C162" s="42" t="s">
        <v>203</v>
      </c>
      <c r="D162" s="21" t="s">
        <v>651</v>
      </c>
      <c r="E162" s="21"/>
      <c r="F162" s="63">
        <f>F163+F165+F167</f>
        <v>14452.3</v>
      </c>
    </row>
    <row r="163" spans="1:6" ht="78.75" x14ac:dyDescent="0.25">
      <c r="A163" s="26" t="s">
        <v>190</v>
      </c>
      <c r="B163" s="42" t="s">
        <v>181</v>
      </c>
      <c r="C163" s="42" t="s">
        <v>203</v>
      </c>
      <c r="D163" s="21" t="s">
        <v>651</v>
      </c>
      <c r="E163" s="21" t="s">
        <v>191</v>
      </c>
      <c r="F163" s="63">
        <f>F164</f>
        <v>12060</v>
      </c>
    </row>
    <row r="164" spans="1:6" ht="31.5" x14ac:dyDescent="0.25">
      <c r="A164" s="48" t="s">
        <v>405</v>
      </c>
      <c r="B164" s="42" t="s">
        <v>181</v>
      </c>
      <c r="C164" s="42" t="s">
        <v>203</v>
      </c>
      <c r="D164" s="21" t="s">
        <v>651</v>
      </c>
      <c r="E164" s="21" t="s">
        <v>272</v>
      </c>
      <c r="F164" s="63">
        <f>'Прил.№4 ведомств.'!G773</f>
        <v>12060</v>
      </c>
    </row>
    <row r="165" spans="1:6" ht="31.5" x14ac:dyDescent="0.25">
      <c r="A165" s="26" t="s">
        <v>194</v>
      </c>
      <c r="B165" s="42" t="s">
        <v>181</v>
      </c>
      <c r="C165" s="42" t="s">
        <v>203</v>
      </c>
      <c r="D165" s="21" t="s">
        <v>651</v>
      </c>
      <c r="E165" s="21" t="s">
        <v>195</v>
      </c>
      <c r="F165" s="63">
        <f>F166</f>
        <v>2378</v>
      </c>
    </row>
    <row r="166" spans="1:6" ht="47.25" x14ac:dyDescent="0.25">
      <c r="A166" s="26" t="s">
        <v>196</v>
      </c>
      <c r="B166" s="42" t="s">
        <v>181</v>
      </c>
      <c r="C166" s="42" t="s">
        <v>203</v>
      </c>
      <c r="D166" s="21" t="s">
        <v>651</v>
      </c>
      <c r="E166" s="21" t="s">
        <v>197</v>
      </c>
      <c r="F166" s="63">
        <f>'Прил.№4 ведомств.'!G775</f>
        <v>2378</v>
      </c>
    </row>
    <row r="167" spans="1:6" ht="15.75" x14ac:dyDescent="0.25">
      <c r="A167" s="26" t="s">
        <v>198</v>
      </c>
      <c r="B167" s="42" t="s">
        <v>181</v>
      </c>
      <c r="C167" s="42" t="s">
        <v>203</v>
      </c>
      <c r="D167" s="21" t="s">
        <v>651</v>
      </c>
      <c r="E167" s="21" t="s">
        <v>208</v>
      </c>
      <c r="F167" s="63">
        <f>F168</f>
        <v>14.3</v>
      </c>
    </row>
    <row r="168" spans="1:6" ht="15.75" x14ac:dyDescent="0.25">
      <c r="A168" s="26" t="s">
        <v>839</v>
      </c>
      <c r="B168" s="42" t="s">
        <v>181</v>
      </c>
      <c r="C168" s="42" t="s">
        <v>203</v>
      </c>
      <c r="D168" s="21" t="s">
        <v>651</v>
      </c>
      <c r="E168" s="21" t="s">
        <v>201</v>
      </c>
      <c r="F168" s="63">
        <f>'Прил.№4 ведомств.'!G777</f>
        <v>14.3</v>
      </c>
    </row>
    <row r="169" spans="1:6" ht="31.5" x14ac:dyDescent="0.25">
      <c r="A169" s="43" t="s">
        <v>285</v>
      </c>
      <c r="B169" s="8" t="s">
        <v>278</v>
      </c>
      <c r="C169" s="8"/>
      <c r="D169" s="8"/>
      <c r="E169" s="8"/>
      <c r="F169" s="4">
        <f>F170</f>
        <v>5864.8</v>
      </c>
    </row>
    <row r="170" spans="1:6" ht="47.25" x14ac:dyDescent="0.25">
      <c r="A170" s="43" t="s">
        <v>286</v>
      </c>
      <c r="B170" s="8" t="s">
        <v>278</v>
      </c>
      <c r="C170" s="8" t="s">
        <v>282</v>
      </c>
      <c r="D170" s="42"/>
      <c r="E170" s="42"/>
      <c r="F170" s="4">
        <f>F171</f>
        <v>5864.8</v>
      </c>
    </row>
    <row r="171" spans="1:6" ht="15.75" x14ac:dyDescent="0.25">
      <c r="A171" s="31" t="s">
        <v>184</v>
      </c>
      <c r="B171" s="42" t="s">
        <v>278</v>
      </c>
      <c r="C171" s="42" t="s">
        <v>282</v>
      </c>
      <c r="D171" s="42" t="s">
        <v>185</v>
      </c>
      <c r="E171" s="42"/>
      <c r="F171" s="7">
        <f>F172</f>
        <v>5864.8</v>
      </c>
    </row>
    <row r="172" spans="1:6" ht="15.75" x14ac:dyDescent="0.25">
      <c r="A172" s="31" t="s">
        <v>204</v>
      </c>
      <c r="B172" s="42" t="s">
        <v>278</v>
      </c>
      <c r="C172" s="42" t="s">
        <v>282</v>
      </c>
      <c r="D172" s="42" t="s">
        <v>205</v>
      </c>
      <c r="E172" s="42"/>
      <c r="F172" s="7">
        <f>F173+F176+F181</f>
        <v>5864.8</v>
      </c>
    </row>
    <row r="173" spans="1:6" ht="47.25" x14ac:dyDescent="0.25">
      <c r="A173" s="31" t="s">
        <v>287</v>
      </c>
      <c r="B173" s="42" t="s">
        <v>278</v>
      </c>
      <c r="C173" s="42" t="s">
        <v>282</v>
      </c>
      <c r="D173" s="42" t="s">
        <v>288</v>
      </c>
      <c r="E173" s="42"/>
      <c r="F173" s="7">
        <f>F174</f>
        <v>617.30000000000007</v>
      </c>
    </row>
    <row r="174" spans="1:6" ht="31.5" x14ac:dyDescent="0.25">
      <c r="A174" s="31" t="s">
        <v>194</v>
      </c>
      <c r="B174" s="42" t="s">
        <v>278</v>
      </c>
      <c r="C174" s="42" t="s">
        <v>282</v>
      </c>
      <c r="D174" s="42" t="s">
        <v>288</v>
      </c>
      <c r="E174" s="42" t="s">
        <v>195</v>
      </c>
      <c r="F174" s="7">
        <f>F175</f>
        <v>617.30000000000007</v>
      </c>
    </row>
    <row r="175" spans="1:6" ht="47.25" x14ac:dyDescent="0.25">
      <c r="A175" s="31" t="s">
        <v>196</v>
      </c>
      <c r="B175" s="42" t="s">
        <v>278</v>
      </c>
      <c r="C175" s="42" t="s">
        <v>282</v>
      </c>
      <c r="D175" s="42" t="s">
        <v>288</v>
      </c>
      <c r="E175" s="42" t="s">
        <v>197</v>
      </c>
      <c r="F175" s="124">
        <f>'Прил.№4 ведомств.'!G167</f>
        <v>617.30000000000007</v>
      </c>
    </row>
    <row r="176" spans="1:6" ht="31.5" x14ac:dyDescent="0.25">
      <c r="A176" s="31" t="s">
        <v>291</v>
      </c>
      <c r="B176" s="42" t="s">
        <v>278</v>
      </c>
      <c r="C176" s="42" t="s">
        <v>282</v>
      </c>
      <c r="D176" s="42" t="s">
        <v>292</v>
      </c>
      <c r="E176" s="42"/>
      <c r="F176" s="7">
        <f>F177+F179</f>
        <v>5247.5</v>
      </c>
    </row>
    <row r="177" spans="1:6" ht="78.75" x14ac:dyDescent="0.25">
      <c r="A177" s="31" t="s">
        <v>190</v>
      </c>
      <c r="B177" s="42" t="s">
        <v>278</v>
      </c>
      <c r="C177" s="42" t="s">
        <v>282</v>
      </c>
      <c r="D177" s="42" t="s">
        <v>292</v>
      </c>
      <c r="E177" s="42" t="s">
        <v>191</v>
      </c>
      <c r="F177" s="63">
        <f>F178</f>
        <v>4942.8</v>
      </c>
    </row>
    <row r="178" spans="1:6" ht="31.5" x14ac:dyDescent="0.25">
      <c r="A178" s="31" t="s">
        <v>405</v>
      </c>
      <c r="B178" s="42" t="s">
        <v>278</v>
      </c>
      <c r="C178" s="42" t="s">
        <v>282</v>
      </c>
      <c r="D178" s="42" t="s">
        <v>292</v>
      </c>
      <c r="E178" s="42" t="s">
        <v>272</v>
      </c>
      <c r="F178" s="63">
        <f>'Прил.№4 ведомств.'!G173</f>
        <v>4942.8</v>
      </c>
    </row>
    <row r="179" spans="1:6" ht="31.5" x14ac:dyDescent="0.25">
      <c r="A179" s="31" t="s">
        <v>194</v>
      </c>
      <c r="B179" s="42" t="s">
        <v>278</v>
      </c>
      <c r="C179" s="42" t="s">
        <v>282</v>
      </c>
      <c r="D179" s="42" t="s">
        <v>292</v>
      </c>
      <c r="E179" s="42" t="s">
        <v>195</v>
      </c>
      <c r="F179" s="7">
        <f>F180</f>
        <v>304.7</v>
      </c>
    </row>
    <row r="180" spans="1:6" ht="47.25" x14ac:dyDescent="0.25">
      <c r="A180" s="31" t="s">
        <v>196</v>
      </c>
      <c r="B180" s="42" t="s">
        <v>278</v>
      </c>
      <c r="C180" s="42" t="s">
        <v>282</v>
      </c>
      <c r="D180" s="42" t="s">
        <v>292</v>
      </c>
      <c r="E180" s="42" t="s">
        <v>197</v>
      </c>
      <c r="F180" s="7">
        <f>'Прил.№4 ведомств.'!G175</f>
        <v>304.7</v>
      </c>
    </row>
    <row r="181" spans="1:6" ht="15.75" hidden="1" x14ac:dyDescent="0.25">
      <c r="A181" s="31" t="s">
        <v>293</v>
      </c>
      <c r="B181" s="42" t="s">
        <v>278</v>
      </c>
      <c r="C181" s="42" t="s">
        <v>282</v>
      </c>
      <c r="D181" s="42" t="s">
        <v>294</v>
      </c>
      <c r="E181" s="42"/>
      <c r="F181" s="7">
        <f>F182</f>
        <v>0</v>
      </c>
    </row>
    <row r="182" spans="1:6" ht="31.5" hidden="1" x14ac:dyDescent="0.25">
      <c r="A182" s="31" t="s">
        <v>194</v>
      </c>
      <c r="B182" s="42" t="s">
        <v>278</v>
      </c>
      <c r="C182" s="42" t="s">
        <v>282</v>
      </c>
      <c r="D182" s="42" t="s">
        <v>294</v>
      </c>
      <c r="E182" s="42" t="s">
        <v>195</v>
      </c>
      <c r="F182" s="7">
        <f>F183</f>
        <v>0</v>
      </c>
    </row>
    <row r="183" spans="1:6" ht="47.25" hidden="1" x14ac:dyDescent="0.25">
      <c r="A183" s="31" t="s">
        <v>196</v>
      </c>
      <c r="B183" s="42" t="s">
        <v>278</v>
      </c>
      <c r="C183" s="42" t="s">
        <v>282</v>
      </c>
      <c r="D183" s="42" t="s">
        <v>294</v>
      </c>
      <c r="E183" s="42" t="s">
        <v>197</v>
      </c>
      <c r="F183" s="7">
        <f>'Прил.№4 ведомств.'!G784+'Прил.№4 ведомств.'!G178</f>
        <v>0</v>
      </c>
    </row>
    <row r="184" spans="1:6" ht="15.75" hidden="1" x14ac:dyDescent="0.25">
      <c r="A184" s="43" t="s">
        <v>667</v>
      </c>
      <c r="B184" s="8" t="s">
        <v>278</v>
      </c>
      <c r="C184" s="8" t="s">
        <v>307</v>
      </c>
      <c r="D184" s="8"/>
      <c r="E184" s="8"/>
      <c r="F184" s="67">
        <f>F185</f>
        <v>0</v>
      </c>
    </row>
    <row r="185" spans="1:6" ht="15.75" hidden="1" x14ac:dyDescent="0.25">
      <c r="A185" s="31" t="s">
        <v>184</v>
      </c>
      <c r="B185" s="42" t="s">
        <v>278</v>
      </c>
      <c r="C185" s="42" t="s">
        <v>307</v>
      </c>
      <c r="D185" s="42" t="s">
        <v>662</v>
      </c>
      <c r="E185" s="42"/>
      <c r="F185" s="63">
        <f>F186</f>
        <v>0</v>
      </c>
    </row>
    <row r="186" spans="1:6" ht="15.75" hidden="1" x14ac:dyDescent="0.25">
      <c r="A186" s="31" t="s">
        <v>204</v>
      </c>
      <c r="B186" s="42" t="s">
        <v>278</v>
      </c>
      <c r="C186" s="42" t="s">
        <v>307</v>
      </c>
      <c r="D186" s="42" t="s">
        <v>663</v>
      </c>
      <c r="E186" s="42"/>
      <c r="F186" s="63">
        <f>F187</f>
        <v>0</v>
      </c>
    </row>
    <row r="187" spans="1:6" ht="15.75" hidden="1" x14ac:dyDescent="0.25">
      <c r="A187" s="31" t="s">
        <v>293</v>
      </c>
      <c r="B187" s="42" t="s">
        <v>278</v>
      </c>
      <c r="C187" s="42" t="s">
        <v>307</v>
      </c>
      <c r="D187" s="42" t="s">
        <v>668</v>
      </c>
      <c r="E187" s="42"/>
      <c r="F187" s="7">
        <f>F188</f>
        <v>0</v>
      </c>
    </row>
    <row r="188" spans="1:6" ht="31.5" hidden="1" x14ac:dyDescent="0.25">
      <c r="A188" s="31" t="s">
        <v>194</v>
      </c>
      <c r="B188" s="42" t="s">
        <v>278</v>
      </c>
      <c r="C188" s="42" t="s">
        <v>307</v>
      </c>
      <c r="D188" s="42" t="s">
        <v>668</v>
      </c>
      <c r="E188" s="42" t="s">
        <v>195</v>
      </c>
      <c r="F188" s="7">
        <f>F189</f>
        <v>0</v>
      </c>
    </row>
    <row r="189" spans="1:6" ht="47.25" hidden="1" x14ac:dyDescent="0.25">
      <c r="A189" s="31" t="s">
        <v>196</v>
      </c>
      <c r="B189" s="42" t="s">
        <v>278</v>
      </c>
      <c r="C189" s="42" t="s">
        <v>307</v>
      </c>
      <c r="D189" s="42" t="s">
        <v>668</v>
      </c>
      <c r="E189" s="42" t="s">
        <v>197</v>
      </c>
      <c r="F189" s="63"/>
    </row>
    <row r="190" spans="1:6" ht="15.75" x14ac:dyDescent="0.25">
      <c r="A190" s="43" t="s">
        <v>295</v>
      </c>
      <c r="B190" s="8" t="s">
        <v>213</v>
      </c>
      <c r="C190" s="8"/>
      <c r="D190" s="8"/>
      <c r="E190" s="8"/>
      <c r="F190" s="4">
        <f>F197+F203+F210+F191</f>
        <v>19236.3</v>
      </c>
    </row>
    <row r="191" spans="1:6" ht="15.75" x14ac:dyDescent="0.25">
      <c r="A191" s="43" t="s">
        <v>296</v>
      </c>
      <c r="B191" s="8" t="s">
        <v>213</v>
      </c>
      <c r="C191" s="8" t="s">
        <v>297</v>
      </c>
      <c r="D191" s="8"/>
      <c r="E191" s="8"/>
      <c r="F191" s="4">
        <f>F192</f>
        <v>450</v>
      </c>
    </row>
    <row r="192" spans="1:6" ht="15.75" x14ac:dyDescent="0.25">
      <c r="A192" s="31" t="s">
        <v>184</v>
      </c>
      <c r="B192" s="42" t="s">
        <v>213</v>
      </c>
      <c r="C192" s="42" t="s">
        <v>297</v>
      </c>
      <c r="D192" s="42" t="s">
        <v>185</v>
      </c>
      <c r="E192" s="42"/>
      <c r="F192" s="7">
        <f>F193</f>
        <v>450</v>
      </c>
    </row>
    <row r="193" spans="1:6" ht="31.5" x14ac:dyDescent="0.25">
      <c r="A193" s="31" t="s">
        <v>248</v>
      </c>
      <c r="B193" s="42" t="s">
        <v>213</v>
      </c>
      <c r="C193" s="42" t="s">
        <v>297</v>
      </c>
      <c r="D193" s="42" t="s">
        <v>249</v>
      </c>
      <c r="E193" s="42"/>
      <c r="F193" s="7">
        <f>F194</f>
        <v>450</v>
      </c>
    </row>
    <row r="194" spans="1:6" ht="31.5" x14ac:dyDescent="0.25">
      <c r="A194" s="26" t="s">
        <v>669</v>
      </c>
      <c r="B194" s="42" t="s">
        <v>213</v>
      </c>
      <c r="C194" s="42" t="s">
        <v>297</v>
      </c>
      <c r="D194" s="42" t="s">
        <v>299</v>
      </c>
      <c r="E194" s="42"/>
      <c r="F194" s="7">
        <f>F195</f>
        <v>450</v>
      </c>
    </row>
    <row r="195" spans="1:6" ht="15.75" x14ac:dyDescent="0.25">
      <c r="A195" s="31" t="s">
        <v>198</v>
      </c>
      <c r="B195" s="42" t="s">
        <v>213</v>
      </c>
      <c r="C195" s="42" t="s">
        <v>297</v>
      </c>
      <c r="D195" s="42" t="s">
        <v>299</v>
      </c>
      <c r="E195" s="42" t="s">
        <v>208</v>
      </c>
      <c r="F195" s="7">
        <f>F196</f>
        <v>450</v>
      </c>
    </row>
    <row r="196" spans="1:6" ht="47.25" x14ac:dyDescent="0.25">
      <c r="A196" s="26" t="s">
        <v>247</v>
      </c>
      <c r="B196" s="42" t="s">
        <v>213</v>
      </c>
      <c r="C196" s="42" t="s">
        <v>297</v>
      </c>
      <c r="D196" s="42" t="s">
        <v>299</v>
      </c>
      <c r="E196" s="42" t="s">
        <v>223</v>
      </c>
      <c r="F196" s="7">
        <f>'Прил.№4 ведомств.'!G185</f>
        <v>450</v>
      </c>
    </row>
    <row r="197" spans="1:6" ht="15.75" x14ac:dyDescent="0.25">
      <c r="A197" s="43" t="s">
        <v>569</v>
      </c>
      <c r="B197" s="8" t="s">
        <v>213</v>
      </c>
      <c r="C197" s="8" t="s">
        <v>362</v>
      </c>
      <c r="D197" s="8"/>
      <c r="E197" s="8"/>
      <c r="F197" s="4">
        <f>F198</f>
        <v>3207.7</v>
      </c>
    </row>
    <row r="198" spans="1:6" ht="15.75" x14ac:dyDescent="0.25">
      <c r="A198" s="31" t="s">
        <v>184</v>
      </c>
      <c r="B198" s="42" t="s">
        <v>213</v>
      </c>
      <c r="C198" s="42" t="s">
        <v>362</v>
      </c>
      <c r="D198" s="42" t="s">
        <v>185</v>
      </c>
      <c r="E198" s="8"/>
      <c r="F198" s="7">
        <f>F199</f>
        <v>3207.7</v>
      </c>
    </row>
    <row r="199" spans="1:6" ht="15.75" x14ac:dyDescent="0.25">
      <c r="A199" s="31" t="s">
        <v>204</v>
      </c>
      <c r="B199" s="42" t="s">
        <v>213</v>
      </c>
      <c r="C199" s="42" t="s">
        <v>362</v>
      </c>
      <c r="D199" s="42" t="s">
        <v>205</v>
      </c>
      <c r="E199" s="8"/>
      <c r="F199" s="7">
        <f>F200</f>
        <v>3207.7</v>
      </c>
    </row>
    <row r="200" spans="1:6" ht="31.5" x14ac:dyDescent="0.25">
      <c r="A200" s="31" t="s">
        <v>570</v>
      </c>
      <c r="B200" s="42" t="s">
        <v>213</v>
      </c>
      <c r="C200" s="42" t="s">
        <v>362</v>
      </c>
      <c r="D200" s="42" t="s">
        <v>571</v>
      </c>
      <c r="E200" s="42"/>
      <c r="F200" s="7">
        <f>F201</f>
        <v>3207.7</v>
      </c>
    </row>
    <row r="201" spans="1:6" ht="31.5" x14ac:dyDescent="0.25">
      <c r="A201" s="31" t="s">
        <v>194</v>
      </c>
      <c r="B201" s="42" t="s">
        <v>213</v>
      </c>
      <c r="C201" s="42" t="s">
        <v>362</v>
      </c>
      <c r="D201" s="42" t="s">
        <v>571</v>
      </c>
      <c r="E201" s="42" t="s">
        <v>195</v>
      </c>
      <c r="F201" s="7">
        <f>F202</f>
        <v>3207.7</v>
      </c>
    </row>
    <row r="202" spans="1:6" ht="47.25" x14ac:dyDescent="0.25">
      <c r="A202" s="31" t="s">
        <v>196</v>
      </c>
      <c r="B202" s="42" t="s">
        <v>213</v>
      </c>
      <c r="C202" s="42" t="s">
        <v>362</v>
      </c>
      <c r="D202" s="42" t="s">
        <v>571</v>
      </c>
      <c r="E202" s="42" t="s">
        <v>197</v>
      </c>
      <c r="F202" s="63">
        <f>'Прил.№4 ведомств.'!G791</f>
        <v>3207.7</v>
      </c>
    </row>
    <row r="203" spans="1:6" ht="15.75" x14ac:dyDescent="0.25">
      <c r="A203" s="43" t="s">
        <v>572</v>
      </c>
      <c r="B203" s="8" t="s">
        <v>213</v>
      </c>
      <c r="C203" s="8" t="s">
        <v>282</v>
      </c>
      <c r="D203" s="42"/>
      <c r="E203" s="8"/>
      <c r="F203" s="4">
        <f>F204</f>
        <v>14368.9</v>
      </c>
    </row>
    <row r="204" spans="1:6" ht="47.25" x14ac:dyDescent="0.25">
      <c r="A204" s="31" t="s">
        <v>670</v>
      </c>
      <c r="B204" s="42" t="s">
        <v>213</v>
      </c>
      <c r="C204" s="42" t="s">
        <v>282</v>
      </c>
      <c r="D204" s="42" t="s">
        <v>574</v>
      </c>
      <c r="E204" s="42"/>
      <c r="F204" s="11">
        <f>F205</f>
        <v>14368.9</v>
      </c>
    </row>
    <row r="205" spans="1:6" ht="15.75" x14ac:dyDescent="0.25">
      <c r="A205" s="31" t="s">
        <v>575</v>
      </c>
      <c r="B205" s="42" t="s">
        <v>213</v>
      </c>
      <c r="C205" s="42" t="s">
        <v>282</v>
      </c>
      <c r="D205" s="42" t="s">
        <v>576</v>
      </c>
      <c r="E205" s="42"/>
      <c r="F205" s="11">
        <f>F206+F208</f>
        <v>14368.9</v>
      </c>
    </row>
    <row r="206" spans="1:6" ht="31.5" x14ac:dyDescent="0.25">
      <c r="A206" s="31" t="s">
        <v>194</v>
      </c>
      <c r="B206" s="42" t="s">
        <v>213</v>
      </c>
      <c r="C206" s="42" t="s">
        <v>282</v>
      </c>
      <c r="D206" s="42" t="s">
        <v>576</v>
      </c>
      <c r="E206" s="42" t="s">
        <v>195</v>
      </c>
      <c r="F206" s="11">
        <f>F207</f>
        <v>14342.9</v>
      </c>
    </row>
    <row r="207" spans="1:6" ht="47.25" x14ac:dyDescent="0.25">
      <c r="A207" s="31" t="s">
        <v>196</v>
      </c>
      <c r="B207" s="42" t="s">
        <v>213</v>
      </c>
      <c r="C207" s="42" t="s">
        <v>282</v>
      </c>
      <c r="D207" s="42" t="s">
        <v>576</v>
      </c>
      <c r="E207" s="42" t="s">
        <v>197</v>
      </c>
      <c r="F207" s="63">
        <f>'Прил.№4 ведомств.'!G796</f>
        <v>14342.9</v>
      </c>
    </row>
    <row r="208" spans="1:6" ht="15.75" x14ac:dyDescent="0.25">
      <c r="A208" s="31" t="s">
        <v>198</v>
      </c>
      <c r="B208" s="42" t="s">
        <v>213</v>
      </c>
      <c r="C208" s="42" t="s">
        <v>282</v>
      </c>
      <c r="D208" s="42" t="s">
        <v>576</v>
      </c>
      <c r="E208" s="42" t="s">
        <v>208</v>
      </c>
      <c r="F208" s="63">
        <f>F209</f>
        <v>26</v>
      </c>
    </row>
    <row r="209" spans="1:6" ht="15.75" x14ac:dyDescent="0.25">
      <c r="A209" s="31" t="s">
        <v>633</v>
      </c>
      <c r="B209" s="42" t="s">
        <v>213</v>
      </c>
      <c r="C209" s="42" t="s">
        <v>282</v>
      </c>
      <c r="D209" s="42" t="s">
        <v>576</v>
      </c>
      <c r="E209" s="42" t="s">
        <v>201</v>
      </c>
      <c r="F209" s="63">
        <f>'Прил.№4 ведомств.'!G798</f>
        <v>26</v>
      </c>
    </row>
    <row r="210" spans="1:6" ht="31.5" x14ac:dyDescent="0.25">
      <c r="A210" s="43" t="s">
        <v>300</v>
      </c>
      <c r="B210" s="8" t="s">
        <v>213</v>
      </c>
      <c r="C210" s="8" t="s">
        <v>301</v>
      </c>
      <c r="D210" s="8"/>
      <c r="E210" s="8"/>
      <c r="F210" s="68">
        <f>F211</f>
        <v>1209.6999999999998</v>
      </c>
    </row>
    <row r="211" spans="1:6" ht="15.75" x14ac:dyDescent="0.25">
      <c r="A211" s="31" t="s">
        <v>184</v>
      </c>
      <c r="B211" s="42" t="s">
        <v>213</v>
      </c>
      <c r="C211" s="42" t="s">
        <v>301</v>
      </c>
      <c r="D211" s="42" t="s">
        <v>185</v>
      </c>
      <c r="E211" s="8"/>
      <c r="F211" s="11">
        <f>F212</f>
        <v>1209.6999999999998</v>
      </c>
    </row>
    <row r="212" spans="1:6" ht="31.5" x14ac:dyDescent="0.25">
      <c r="A212" s="31" t="s">
        <v>248</v>
      </c>
      <c r="B212" s="42" t="s">
        <v>213</v>
      </c>
      <c r="C212" s="42" t="s">
        <v>301</v>
      </c>
      <c r="D212" s="42" t="s">
        <v>249</v>
      </c>
      <c r="E212" s="8"/>
      <c r="F212" s="11">
        <f>F216+F213</f>
        <v>1209.6999999999998</v>
      </c>
    </row>
    <row r="213" spans="1:6" ht="31.5" x14ac:dyDescent="0.25">
      <c r="A213" s="26" t="s">
        <v>302</v>
      </c>
      <c r="B213" s="21" t="s">
        <v>213</v>
      </c>
      <c r="C213" s="21" t="s">
        <v>301</v>
      </c>
      <c r="D213" s="21" t="s">
        <v>303</v>
      </c>
      <c r="E213" s="25"/>
      <c r="F213" s="11">
        <f>F214</f>
        <v>90</v>
      </c>
    </row>
    <row r="214" spans="1:6" ht="15.75" x14ac:dyDescent="0.25">
      <c r="A214" s="26" t="s">
        <v>198</v>
      </c>
      <c r="B214" s="21" t="s">
        <v>213</v>
      </c>
      <c r="C214" s="21" t="s">
        <v>301</v>
      </c>
      <c r="D214" s="21" t="s">
        <v>303</v>
      </c>
      <c r="E214" s="21" t="s">
        <v>208</v>
      </c>
      <c r="F214" s="11">
        <f>F215</f>
        <v>90</v>
      </c>
    </row>
    <row r="215" spans="1:6" ht="47.25" x14ac:dyDescent="0.25">
      <c r="A215" s="26" t="s">
        <v>247</v>
      </c>
      <c r="B215" s="21" t="s">
        <v>213</v>
      </c>
      <c r="C215" s="21" t="s">
        <v>301</v>
      </c>
      <c r="D215" s="21" t="s">
        <v>303</v>
      </c>
      <c r="E215" s="21" t="s">
        <v>223</v>
      </c>
      <c r="F215" s="11">
        <f>'Прил.№4 ведомств.'!G191</f>
        <v>90</v>
      </c>
    </row>
    <row r="216" spans="1:6" ht="63" x14ac:dyDescent="0.25">
      <c r="A216" s="47" t="s">
        <v>304</v>
      </c>
      <c r="B216" s="42" t="s">
        <v>213</v>
      </c>
      <c r="C216" s="42" t="s">
        <v>301</v>
      </c>
      <c r="D216" s="42" t="s">
        <v>305</v>
      </c>
      <c r="E216" s="42"/>
      <c r="F216" s="7">
        <f>F217+F219</f>
        <v>1119.6999999999998</v>
      </c>
    </row>
    <row r="217" spans="1:6" ht="78.75" x14ac:dyDescent="0.25">
      <c r="A217" s="31" t="s">
        <v>190</v>
      </c>
      <c r="B217" s="42" t="s">
        <v>213</v>
      </c>
      <c r="C217" s="42" t="s">
        <v>301</v>
      </c>
      <c r="D217" s="42" t="s">
        <v>305</v>
      </c>
      <c r="E217" s="42" t="s">
        <v>191</v>
      </c>
      <c r="F217" s="7">
        <f>F218</f>
        <v>1044.3999999999999</v>
      </c>
    </row>
    <row r="218" spans="1:6" ht="31.5" x14ac:dyDescent="0.25">
      <c r="A218" s="31" t="s">
        <v>192</v>
      </c>
      <c r="B218" s="42" t="s">
        <v>213</v>
      </c>
      <c r="C218" s="42" t="s">
        <v>301</v>
      </c>
      <c r="D218" s="42" t="s">
        <v>305</v>
      </c>
      <c r="E218" s="42" t="s">
        <v>193</v>
      </c>
      <c r="F218" s="7">
        <f>'Прил.№4 ведомств.'!G194</f>
        <v>1044.3999999999999</v>
      </c>
    </row>
    <row r="219" spans="1:6" ht="31.5" x14ac:dyDescent="0.25">
      <c r="A219" s="31" t="s">
        <v>194</v>
      </c>
      <c r="B219" s="42" t="s">
        <v>213</v>
      </c>
      <c r="C219" s="42" t="s">
        <v>301</v>
      </c>
      <c r="D219" s="42" t="s">
        <v>305</v>
      </c>
      <c r="E219" s="42" t="s">
        <v>195</v>
      </c>
      <c r="F219" s="7">
        <f>F220</f>
        <v>75.3</v>
      </c>
    </row>
    <row r="220" spans="1:6" ht="47.25" x14ac:dyDescent="0.25">
      <c r="A220" s="31" t="s">
        <v>196</v>
      </c>
      <c r="B220" s="42" t="s">
        <v>213</v>
      </c>
      <c r="C220" s="42" t="s">
        <v>301</v>
      </c>
      <c r="D220" s="42" t="s">
        <v>305</v>
      </c>
      <c r="E220" s="42" t="s">
        <v>197</v>
      </c>
      <c r="F220" s="7">
        <f>'Прил.№4 ведомств.'!G196</f>
        <v>75.3</v>
      </c>
    </row>
    <row r="221" spans="1:6" ht="15.75" x14ac:dyDescent="0.25">
      <c r="A221" s="43" t="s">
        <v>454</v>
      </c>
      <c r="B221" s="8" t="s">
        <v>297</v>
      </c>
      <c r="C221" s="8"/>
      <c r="D221" s="8"/>
      <c r="E221" s="8"/>
      <c r="F221" s="4">
        <f>F222++F239+F293+F347</f>
        <v>85518.389999999985</v>
      </c>
    </row>
    <row r="222" spans="1:6" ht="15.75" x14ac:dyDescent="0.25">
      <c r="A222" s="43" t="s">
        <v>455</v>
      </c>
      <c r="B222" s="8" t="s">
        <v>297</v>
      </c>
      <c r="C222" s="8" t="s">
        <v>181</v>
      </c>
      <c r="D222" s="8"/>
      <c r="E222" s="8"/>
      <c r="F222" s="4">
        <f>F223</f>
        <v>8855.2000000000007</v>
      </c>
    </row>
    <row r="223" spans="1:6" ht="15.75" x14ac:dyDescent="0.25">
      <c r="A223" s="31" t="s">
        <v>184</v>
      </c>
      <c r="B223" s="42" t="s">
        <v>297</v>
      </c>
      <c r="C223" s="42" t="s">
        <v>181</v>
      </c>
      <c r="D223" s="42" t="s">
        <v>185</v>
      </c>
      <c r="E223" s="42"/>
      <c r="F223" s="7">
        <f>F224</f>
        <v>8855.2000000000007</v>
      </c>
    </row>
    <row r="224" spans="1:6" ht="15.75" x14ac:dyDescent="0.25">
      <c r="A224" s="31" t="s">
        <v>204</v>
      </c>
      <c r="B224" s="42" t="s">
        <v>297</v>
      </c>
      <c r="C224" s="42" t="s">
        <v>181</v>
      </c>
      <c r="D224" s="42" t="s">
        <v>205</v>
      </c>
      <c r="E224" s="8"/>
      <c r="F224" s="7">
        <f>F233+F230+F225</f>
        <v>8855.2000000000007</v>
      </c>
    </row>
    <row r="225" spans="1:7" ht="15.75" x14ac:dyDescent="0.25">
      <c r="A225" s="26" t="s">
        <v>579</v>
      </c>
      <c r="B225" s="42" t="s">
        <v>297</v>
      </c>
      <c r="C225" s="42" t="s">
        <v>181</v>
      </c>
      <c r="D225" s="42" t="s">
        <v>580</v>
      </c>
      <c r="E225" s="8"/>
      <c r="F225" s="7">
        <f>F226+F228</f>
        <v>3628.8999999999996</v>
      </c>
    </row>
    <row r="226" spans="1:7" ht="31.5" x14ac:dyDescent="0.25">
      <c r="A226" s="31" t="s">
        <v>194</v>
      </c>
      <c r="B226" s="42" t="s">
        <v>297</v>
      </c>
      <c r="C226" s="42" t="s">
        <v>181</v>
      </c>
      <c r="D226" s="42" t="s">
        <v>580</v>
      </c>
      <c r="E226" s="42" t="s">
        <v>195</v>
      </c>
      <c r="F226" s="7">
        <f>F227</f>
        <v>1228.8999999999999</v>
      </c>
    </row>
    <row r="227" spans="1:7" ht="47.25" x14ac:dyDescent="0.25">
      <c r="A227" s="31" t="s">
        <v>196</v>
      </c>
      <c r="B227" s="42" t="s">
        <v>297</v>
      </c>
      <c r="C227" s="42" t="s">
        <v>181</v>
      </c>
      <c r="D227" s="42" t="s">
        <v>580</v>
      </c>
      <c r="E227" s="42" t="s">
        <v>197</v>
      </c>
      <c r="F227" s="7">
        <f>'Прил.№4 ведомств.'!G809</f>
        <v>1228.8999999999999</v>
      </c>
    </row>
    <row r="228" spans="1:7" ht="15.75" x14ac:dyDescent="0.25">
      <c r="A228" s="31" t="s">
        <v>198</v>
      </c>
      <c r="B228" s="42" t="s">
        <v>297</v>
      </c>
      <c r="C228" s="42" t="s">
        <v>181</v>
      </c>
      <c r="D228" s="42" t="s">
        <v>580</v>
      </c>
      <c r="E228" s="42" t="s">
        <v>208</v>
      </c>
      <c r="F228" s="7">
        <f>F229</f>
        <v>2400</v>
      </c>
    </row>
    <row r="229" spans="1:7" ht="47.25" x14ac:dyDescent="0.25">
      <c r="A229" s="31" t="s">
        <v>247</v>
      </c>
      <c r="B229" s="42" t="s">
        <v>297</v>
      </c>
      <c r="C229" s="42" t="s">
        <v>181</v>
      </c>
      <c r="D229" s="42" t="s">
        <v>580</v>
      </c>
      <c r="E229" s="42" t="s">
        <v>223</v>
      </c>
      <c r="F229" s="7">
        <f>'Прил.№4 ведомств.'!G811</f>
        <v>2400</v>
      </c>
    </row>
    <row r="230" spans="1:7" ht="31.5" x14ac:dyDescent="0.25">
      <c r="A230" s="31" t="s">
        <v>462</v>
      </c>
      <c r="B230" s="42" t="s">
        <v>297</v>
      </c>
      <c r="C230" s="42" t="s">
        <v>181</v>
      </c>
      <c r="D230" s="42" t="s">
        <v>463</v>
      </c>
      <c r="E230" s="8"/>
      <c r="F230" s="7">
        <f>F231</f>
        <v>4494.9000000000005</v>
      </c>
    </row>
    <row r="231" spans="1:7" ht="31.5" x14ac:dyDescent="0.25">
      <c r="A231" s="31" t="s">
        <v>194</v>
      </c>
      <c r="B231" s="42" t="s">
        <v>297</v>
      </c>
      <c r="C231" s="42" t="s">
        <v>181</v>
      </c>
      <c r="D231" s="42" t="s">
        <v>463</v>
      </c>
      <c r="E231" s="42" t="s">
        <v>195</v>
      </c>
      <c r="F231" s="7">
        <f>F232</f>
        <v>4494.9000000000005</v>
      </c>
    </row>
    <row r="232" spans="1:7" ht="47.25" x14ac:dyDescent="0.25">
      <c r="A232" s="31" t="s">
        <v>196</v>
      </c>
      <c r="B232" s="42" t="s">
        <v>297</v>
      </c>
      <c r="C232" s="42" t="s">
        <v>181</v>
      </c>
      <c r="D232" s="42" t="s">
        <v>463</v>
      </c>
      <c r="E232" s="42" t="s">
        <v>197</v>
      </c>
      <c r="F232" s="7">
        <f>'Прил.№4 ведомств.'!G814+'Прил.№4 ведомств.'!G499</f>
        <v>4494.9000000000005</v>
      </c>
    </row>
    <row r="233" spans="1:7" ht="15.75" x14ac:dyDescent="0.25">
      <c r="A233" s="31" t="s">
        <v>460</v>
      </c>
      <c r="B233" s="42" t="s">
        <v>297</v>
      </c>
      <c r="C233" s="42" t="s">
        <v>181</v>
      </c>
      <c r="D233" s="42" t="s">
        <v>461</v>
      </c>
      <c r="E233" s="8"/>
      <c r="F233" s="7">
        <f>F236+F234</f>
        <v>731.4</v>
      </c>
    </row>
    <row r="234" spans="1:7" ht="31.5" x14ac:dyDescent="0.25">
      <c r="A234" s="31" t="s">
        <v>194</v>
      </c>
      <c r="B234" s="42" t="s">
        <v>297</v>
      </c>
      <c r="C234" s="42" t="s">
        <v>181</v>
      </c>
      <c r="D234" s="42" t="s">
        <v>461</v>
      </c>
      <c r="E234" s="42" t="s">
        <v>195</v>
      </c>
      <c r="F234" s="7">
        <f>F235</f>
        <v>731.4</v>
      </c>
    </row>
    <row r="235" spans="1:7" ht="47.25" x14ac:dyDescent="0.25">
      <c r="A235" s="31" t="s">
        <v>196</v>
      </c>
      <c r="B235" s="42" t="s">
        <v>297</v>
      </c>
      <c r="C235" s="42" t="s">
        <v>181</v>
      </c>
      <c r="D235" s="42" t="s">
        <v>461</v>
      </c>
      <c r="E235" s="42" t="s">
        <v>197</v>
      </c>
      <c r="F235" s="7">
        <f>'Прил.№4 ведомств.'!G502</f>
        <v>731.4</v>
      </c>
    </row>
    <row r="236" spans="1:7" ht="15.75" hidden="1" x14ac:dyDescent="0.25">
      <c r="A236" s="31" t="s">
        <v>198</v>
      </c>
      <c r="B236" s="42" t="s">
        <v>297</v>
      </c>
      <c r="C236" s="42" t="s">
        <v>181</v>
      </c>
      <c r="D236" s="42" t="s">
        <v>461</v>
      </c>
      <c r="E236" s="42" t="s">
        <v>208</v>
      </c>
      <c r="F236" s="7">
        <f>F237+F238</f>
        <v>0</v>
      </c>
    </row>
    <row r="237" spans="1:7" ht="47.25" hidden="1" x14ac:dyDescent="0.25">
      <c r="A237" s="31" t="s">
        <v>247</v>
      </c>
      <c r="B237" s="42" t="s">
        <v>297</v>
      </c>
      <c r="C237" s="42" t="s">
        <v>181</v>
      </c>
      <c r="D237" s="42" t="s">
        <v>461</v>
      </c>
      <c r="E237" s="42" t="s">
        <v>223</v>
      </c>
      <c r="F237" s="7"/>
    </row>
    <row r="238" spans="1:7" ht="15.75" hidden="1" x14ac:dyDescent="0.25">
      <c r="A238" s="31" t="s">
        <v>209</v>
      </c>
      <c r="B238" s="42" t="s">
        <v>297</v>
      </c>
      <c r="C238" s="42" t="s">
        <v>181</v>
      </c>
      <c r="D238" s="42" t="s">
        <v>580</v>
      </c>
      <c r="E238" s="42" t="s">
        <v>210</v>
      </c>
      <c r="F238" s="7"/>
    </row>
    <row r="239" spans="1:7" ht="15.75" x14ac:dyDescent="0.25">
      <c r="A239" s="43" t="s">
        <v>581</v>
      </c>
      <c r="B239" s="8" t="s">
        <v>297</v>
      </c>
      <c r="C239" s="8" t="s">
        <v>276</v>
      </c>
      <c r="D239" s="8"/>
      <c r="E239" s="8"/>
      <c r="F239" s="4">
        <f>F267+F240</f>
        <v>38707.550000000003</v>
      </c>
    </row>
    <row r="240" spans="1:7" ht="63" x14ac:dyDescent="0.25">
      <c r="A240" s="26" t="s">
        <v>671</v>
      </c>
      <c r="B240" s="42" t="s">
        <v>297</v>
      </c>
      <c r="C240" s="42" t="s">
        <v>276</v>
      </c>
      <c r="D240" s="21" t="s">
        <v>582</v>
      </c>
      <c r="E240" s="8"/>
      <c r="F240" s="7">
        <f>F244+F247+F250+F255+F258+F261+F264</f>
        <v>4565.9000000000005</v>
      </c>
      <c r="G240" s="23"/>
    </row>
    <row r="241" spans="1:7" ht="47.25" hidden="1" x14ac:dyDescent="0.25">
      <c r="A241" s="37" t="s">
        <v>583</v>
      </c>
      <c r="B241" s="42" t="s">
        <v>297</v>
      </c>
      <c r="C241" s="42" t="s">
        <v>276</v>
      </c>
      <c r="D241" s="21" t="s">
        <v>584</v>
      </c>
      <c r="E241" s="8"/>
      <c r="F241" s="7">
        <f>F242</f>
        <v>0</v>
      </c>
    </row>
    <row r="242" spans="1:7" ht="31.5" hidden="1" x14ac:dyDescent="0.25">
      <c r="A242" s="26" t="s">
        <v>194</v>
      </c>
      <c r="B242" s="42" t="s">
        <v>297</v>
      </c>
      <c r="C242" s="42" t="s">
        <v>276</v>
      </c>
      <c r="D242" s="21" t="s">
        <v>584</v>
      </c>
      <c r="E242" s="42" t="s">
        <v>195</v>
      </c>
      <c r="F242" s="7">
        <f>F243</f>
        <v>0</v>
      </c>
    </row>
    <row r="243" spans="1:7" ht="47.25" hidden="1" x14ac:dyDescent="0.25">
      <c r="A243" s="26" t="s">
        <v>196</v>
      </c>
      <c r="B243" s="42" t="s">
        <v>297</v>
      </c>
      <c r="C243" s="42" t="s">
        <v>276</v>
      </c>
      <c r="D243" s="21" t="s">
        <v>584</v>
      </c>
      <c r="E243" s="42" t="s">
        <v>197</v>
      </c>
      <c r="F243" s="7"/>
    </row>
    <row r="244" spans="1:7" ht="15.75" x14ac:dyDescent="0.25">
      <c r="A244" s="125" t="s">
        <v>585</v>
      </c>
      <c r="B244" s="42" t="s">
        <v>297</v>
      </c>
      <c r="C244" s="42" t="s">
        <v>276</v>
      </c>
      <c r="D244" s="21" t="s">
        <v>586</v>
      </c>
      <c r="E244" s="42"/>
      <c r="F244" s="7">
        <f>F245</f>
        <v>919.5</v>
      </c>
    </row>
    <row r="245" spans="1:7" ht="31.5" x14ac:dyDescent="0.25">
      <c r="A245" s="33" t="s">
        <v>194</v>
      </c>
      <c r="B245" s="42" t="s">
        <v>297</v>
      </c>
      <c r="C245" s="42" t="s">
        <v>276</v>
      </c>
      <c r="D245" s="21" t="s">
        <v>586</v>
      </c>
      <c r="E245" s="42" t="s">
        <v>195</v>
      </c>
      <c r="F245" s="7">
        <f>F246</f>
        <v>919.5</v>
      </c>
    </row>
    <row r="246" spans="1:7" ht="47.25" x14ac:dyDescent="0.25">
      <c r="A246" s="33" t="s">
        <v>196</v>
      </c>
      <c r="B246" s="42" t="s">
        <v>297</v>
      </c>
      <c r="C246" s="42" t="s">
        <v>276</v>
      </c>
      <c r="D246" s="21" t="s">
        <v>586</v>
      </c>
      <c r="E246" s="42" t="s">
        <v>197</v>
      </c>
      <c r="F246" s="7">
        <f>'Прил.№4 ведомств.'!G822</f>
        <v>919.5</v>
      </c>
    </row>
    <row r="247" spans="1:7" ht="15.75" x14ac:dyDescent="0.25">
      <c r="A247" s="125" t="s">
        <v>587</v>
      </c>
      <c r="B247" s="42" t="s">
        <v>297</v>
      </c>
      <c r="C247" s="42" t="s">
        <v>276</v>
      </c>
      <c r="D247" s="21" t="s">
        <v>588</v>
      </c>
      <c r="E247" s="42"/>
      <c r="F247" s="7">
        <f>F248</f>
        <v>499.90000000000003</v>
      </c>
    </row>
    <row r="248" spans="1:7" ht="31.5" x14ac:dyDescent="0.25">
      <c r="A248" s="33" t="s">
        <v>194</v>
      </c>
      <c r="B248" s="42" t="s">
        <v>297</v>
      </c>
      <c r="C248" s="42" t="s">
        <v>276</v>
      </c>
      <c r="D248" s="21" t="s">
        <v>588</v>
      </c>
      <c r="E248" s="42" t="s">
        <v>195</v>
      </c>
      <c r="F248" s="7">
        <f>F249</f>
        <v>499.90000000000003</v>
      </c>
    </row>
    <row r="249" spans="1:7" ht="47.25" x14ac:dyDescent="0.25">
      <c r="A249" s="33" t="s">
        <v>196</v>
      </c>
      <c r="B249" s="42" t="s">
        <v>297</v>
      </c>
      <c r="C249" s="42" t="s">
        <v>276</v>
      </c>
      <c r="D249" s="21" t="s">
        <v>588</v>
      </c>
      <c r="E249" s="42" t="s">
        <v>197</v>
      </c>
      <c r="F249" s="7">
        <f>'Прил.№4 ведомств.'!G825</f>
        <v>499.90000000000003</v>
      </c>
    </row>
    <row r="250" spans="1:7" ht="15.75" x14ac:dyDescent="0.25">
      <c r="A250" s="125" t="s">
        <v>589</v>
      </c>
      <c r="B250" s="42" t="s">
        <v>297</v>
      </c>
      <c r="C250" s="42" t="s">
        <v>276</v>
      </c>
      <c r="D250" s="21" t="s">
        <v>590</v>
      </c>
      <c r="E250" s="42"/>
      <c r="F250" s="7">
        <f>F251+F253</f>
        <v>1873</v>
      </c>
    </row>
    <row r="251" spans="1:7" ht="31.5" x14ac:dyDescent="0.25">
      <c r="A251" s="33" t="s">
        <v>194</v>
      </c>
      <c r="B251" s="42" t="s">
        <v>297</v>
      </c>
      <c r="C251" s="42" t="s">
        <v>276</v>
      </c>
      <c r="D251" s="21" t="s">
        <v>590</v>
      </c>
      <c r="E251" s="42" t="s">
        <v>195</v>
      </c>
      <c r="F251" s="7">
        <f>F252</f>
        <v>1873</v>
      </c>
    </row>
    <row r="252" spans="1:7" ht="47.25" x14ac:dyDescent="0.25">
      <c r="A252" s="33" t="s">
        <v>196</v>
      </c>
      <c r="B252" s="42" t="s">
        <v>297</v>
      </c>
      <c r="C252" s="42" t="s">
        <v>276</v>
      </c>
      <c r="D252" s="21" t="s">
        <v>590</v>
      </c>
      <c r="E252" s="42" t="s">
        <v>197</v>
      </c>
      <c r="F252" s="7">
        <f>'Прил.№4 ведомств.'!G828</f>
        <v>1873</v>
      </c>
      <c r="G252" s="212"/>
    </row>
    <row r="253" spans="1:7" ht="15.75" hidden="1" customHeight="1" x14ac:dyDescent="0.25">
      <c r="A253" s="26" t="s">
        <v>198</v>
      </c>
      <c r="B253" s="42" t="s">
        <v>297</v>
      </c>
      <c r="C253" s="42" t="s">
        <v>276</v>
      </c>
      <c r="D253" s="21" t="s">
        <v>590</v>
      </c>
      <c r="E253" s="42" t="s">
        <v>208</v>
      </c>
      <c r="F253" s="7">
        <f>F254</f>
        <v>0</v>
      </c>
      <c r="G253" s="212"/>
    </row>
    <row r="254" spans="1:7" ht="15.75" hidden="1" customHeight="1" x14ac:dyDescent="0.25">
      <c r="A254" s="26" t="s">
        <v>633</v>
      </c>
      <c r="B254" s="42" t="s">
        <v>297</v>
      </c>
      <c r="C254" s="42" t="s">
        <v>276</v>
      </c>
      <c r="D254" s="21" t="s">
        <v>590</v>
      </c>
      <c r="E254" s="42" t="s">
        <v>201</v>
      </c>
      <c r="F254" s="7">
        <f>'Прил.№4 ведомств.'!G830</f>
        <v>0</v>
      </c>
      <c r="G254" s="212"/>
    </row>
    <row r="255" spans="1:7" ht="15.75" x14ac:dyDescent="0.25">
      <c r="A255" s="125" t="s">
        <v>591</v>
      </c>
      <c r="B255" s="42" t="s">
        <v>297</v>
      </c>
      <c r="C255" s="42" t="s">
        <v>276</v>
      </c>
      <c r="D255" s="21" t="s">
        <v>592</v>
      </c>
      <c r="E255" s="42"/>
      <c r="F255" s="7">
        <f>F256</f>
        <v>766.1</v>
      </c>
    </row>
    <row r="256" spans="1:7" ht="31.5" x14ac:dyDescent="0.25">
      <c r="A256" s="33" t="s">
        <v>194</v>
      </c>
      <c r="B256" s="42" t="s">
        <v>297</v>
      </c>
      <c r="C256" s="42" t="s">
        <v>276</v>
      </c>
      <c r="D256" s="21" t="s">
        <v>592</v>
      </c>
      <c r="E256" s="42" t="s">
        <v>195</v>
      </c>
      <c r="F256" s="7">
        <f>F257</f>
        <v>766.1</v>
      </c>
    </row>
    <row r="257" spans="1:7" ht="47.25" x14ac:dyDescent="0.25">
      <c r="A257" s="33" t="s">
        <v>196</v>
      </c>
      <c r="B257" s="42" t="s">
        <v>297</v>
      </c>
      <c r="C257" s="42" t="s">
        <v>276</v>
      </c>
      <c r="D257" s="21" t="s">
        <v>592</v>
      </c>
      <c r="E257" s="42" t="s">
        <v>197</v>
      </c>
      <c r="F257" s="7">
        <f>'Прил.№4 ведомств.'!G833</f>
        <v>766.1</v>
      </c>
    </row>
    <row r="258" spans="1:7" ht="15.75" x14ac:dyDescent="0.25">
      <c r="A258" s="125" t="s">
        <v>593</v>
      </c>
      <c r="B258" s="42" t="s">
        <v>297</v>
      </c>
      <c r="C258" s="42" t="s">
        <v>276</v>
      </c>
      <c r="D258" s="21" t="s">
        <v>594</v>
      </c>
      <c r="E258" s="42"/>
      <c r="F258" s="7">
        <f>F259</f>
        <v>497.29999999999995</v>
      </c>
    </row>
    <row r="259" spans="1:7" ht="31.5" x14ac:dyDescent="0.25">
      <c r="A259" s="33" t="s">
        <v>194</v>
      </c>
      <c r="B259" s="42" t="s">
        <v>297</v>
      </c>
      <c r="C259" s="42" t="s">
        <v>276</v>
      </c>
      <c r="D259" s="21" t="s">
        <v>594</v>
      </c>
      <c r="E259" s="42" t="s">
        <v>195</v>
      </c>
      <c r="F259" s="7">
        <f>F260</f>
        <v>497.29999999999995</v>
      </c>
    </row>
    <row r="260" spans="1:7" ht="47.25" x14ac:dyDescent="0.25">
      <c r="A260" s="33" t="s">
        <v>196</v>
      </c>
      <c r="B260" s="42" t="s">
        <v>297</v>
      </c>
      <c r="C260" s="42" t="s">
        <v>276</v>
      </c>
      <c r="D260" s="21" t="s">
        <v>594</v>
      </c>
      <c r="E260" s="42" t="s">
        <v>197</v>
      </c>
      <c r="F260" s="7">
        <f>'Прил.№4 ведомств.'!G836</f>
        <v>497.29999999999995</v>
      </c>
      <c r="G260" s="213"/>
    </row>
    <row r="261" spans="1:7" ht="31.5" hidden="1" x14ac:dyDescent="0.25">
      <c r="A261" s="123" t="s">
        <v>595</v>
      </c>
      <c r="B261" s="42" t="s">
        <v>297</v>
      </c>
      <c r="C261" s="42" t="s">
        <v>276</v>
      </c>
      <c r="D261" s="21" t="s">
        <v>596</v>
      </c>
      <c r="E261" s="42"/>
      <c r="F261" s="7">
        <f>F262</f>
        <v>0</v>
      </c>
    </row>
    <row r="262" spans="1:7" ht="31.5" hidden="1" x14ac:dyDescent="0.25">
      <c r="A262" s="33" t="s">
        <v>194</v>
      </c>
      <c r="B262" s="42" t="s">
        <v>297</v>
      </c>
      <c r="C262" s="42" t="s">
        <v>276</v>
      </c>
      <c r="D262" s="21" t="s">
        <v>596</v>
      </c>
      <c r="E262" s="42" t="s">
        <v>195</v>
      </c>
      <c r="F262" s="7">
        <f>F263</f>
        <v>0</v>
      </c>
    </row>
    <row r="263" spans="1:7" ht="47.25" hidden="1" x14ac:dyDescent="0.25">
      <c r="A263" s="33" t="s">
        <v>196</v>
      </c>
      <c r="B263" s="42" t="s">
        <v>297</v>
      </c>
      <c r="C263" s="42" t="s">
        <v>276</v>
      </c>
      <c r="D263" s="21" t="s">
        <v>596</v>
      </c>
      <c r="E263" s="42" t="s">
        <v>197</v>
      </c>
      <c r="F263" s="7">
        <v>0</v>
      </c>
    </row>
    <row r="264" spans="1:7" ht="15.75" x14ac:dyDescent="0.25">
      <c r="A264" s="123" t="s">
        <v>597</v>
      </c>
      <c r="B264" s="42" t="s">
        <v>297</v>
      </c>
      <c r="C264" s="42" t="s">
        <v>276</v>
      </c>
      <c r="D264" s="21" t="s">
        <v>598</v>
      </c>
      <c r="E264" s="42"/>
      <c r="F264" s="7">
        <f>F265</f>
        <v>10.1</v>
      </c>
    </row>
    <row r="265" spans="1:7" ht="31.5" x14ac:dyDescent="0.25">
      <c r="A265" s="26" t="s">
        <v>194</v>
      </c>
      <c r="B265" s="42" t="s">
        <v>297</v>
      </c>
      <c r="C265" s="42" t="s">
        <v>276</v>
      </c>
      <c r="D265" s="21" t="s">
        <v>598</v>
      </c>
      <c r="E265" s="42" t="s">
        <v>195</v>
      </c>
      <c r="F265" s="7">
        <f>F266</f>
        <v>10.1</v>
      </c>
    </row>
    <row r="266" spans="1:7" ht="47.25" x14ac:dyDescent="0.25">
      <c r="A266" s="26" t="s">
        <v>196</v>
      </c>
      <c r="B266" s="42" t="s">
        <v>297</v>
      </c>
      <c r="C266" s="42" t="s">
        <v>276</v>
      </c>
      <c r="D266" s="21" t="s">
        <v>598</v>
      </c>
      <c r="E266" s="42" t="s">
        <v>197</v>
      </c>
      <c r="F266" s="7">
        <f>'Прил.№4 ведомств.'!G842</f>
        <v>10.1</v>
      </c>
      <c r="G266" s="213"/>
    </row>
    <row r="267" spans="1:7" ht="15.75" x14ac:dyDescent="0.25">
      <c r="A267" s="31" t="s">
        <v>184</v>
      </c>
      <c r="B267" s="42" t="s">
        <v>297</v>
      </c>
      <c r="C267" s="42" t="s">
        <v>276</v>
      </c>
      <c r="D267" s="42" t="s">
        <v>185</v>
      </c>
      <c r="E267" s="42"/>
      <c r="F267" s="7">
        <f>F268+F278</f>
        <v>34141.65</v>
      </c>
    </row>
    <row r="268" spans="1:7" ht="31.5" x14ac:dyDescent="0.25">
      <c r="A268" s="31" t="s">
        <v>248</v>
      </c>
      <c r="B268" s="42" t="s">
        <v>297</v>
      </c>
      <c r="C268" s="42" t="s">
        <v>276</v>
      </c>
      <c r="D268" s="42" t="s">
        <v>249</v>
      </c>
      <c r="E268" s="42"/>
      <c r="F268" s="7">
        <f>F269+F272+F275</f>
        <v>25111.200000000001</v>
      </c>
    </row>
    <row r="269" spans="1:7" ht="47.25" x14ac:dyDescent="0.25">
      <c r="A269" s="126" t="s">
        <v>788</v>
      </c>
      <c r="B269" s="42" t="s">
        <v>297</v>
      </c>
      <c r="C269" s="42" t="s">
        <v>276</v>
      </c>
      <c r="D269" s="21" t="s">
        <v>599</v>
      </c>
      <c r="E269" s="42"/>
      <c r="F269" s="7">
        <f>F270</f>
        <v>5000</v>
      </c>
    </row>
    <row r="270" spans="1:7" ht="31.5" x14ac:dyDescent="0.25">
      <c r="A270" s="31" t="s">
        <v>194</v>
      </c>
      <c r="B270" s="42" t="s">
        <v>297</v>
      </c>
      <c r="C270" s="42" t="s">
        <v>276</v>
      </c>
      <c r="D270" s="21" t="s">
        <v>599</v>
      </c>
      <c r="E270" s="42" t="s">
        <v>195</v>
      </c>
      <c r="F270" s="7">
        <f>F271</f>
        <v>5000</v>
      </c>
    </row>
    <row r="271" spans="1:7" ht="47.25" x14ac:dyDescent="0.25">
      <c r="A271" s="31" t="s">
        <v>196</v>
      </c>
      <c r="B271" s="42" t="s">
        <v>297</v>
      </c>
      <c r="C271" s="42" t="s">
        <v>276</v>
      </c>
      <c r="D271" s="21" t="s">
        <v>599</v>
      </c>
      <c r="E271" s="42" t="s">
        <v>197</v>
      </c>
      <c r="F271" s="7">
        <f>'Прил.№4 ведомств.'!G847</f>
        <v>5000</v>
      </c>
    </row>
    <row r="272" spans="1:7" ht="31.5" x14ac:dyDescent="0.25">
      <c r="A272" s="70" t="s">
        <v>794</v>
      </c>
      <c r="B272" s="42" t="s">
        <v>297</v>
      </c>
      <c r="C272" s="42" t="s">
        <v>276</v>
      </c>
      <c r="D272" s="42" t="s">
        <v>601</v>
      </c>
      <c r="E272" s="42"/>
      <c r="F272" s="7">
        <f>F273</f>
        <v>20000</v>
      </c>
    </row>
    <row r="273" spans="1:7" ht="31.5" x14ac:dyDescent="0.25">
      <c r="A273" s="31" t="s">
        <v>194</v>
      </c>
      <c r="B273" s="42" t="s">
        <v>297</v>
      </c>
      <c r="C273" s="42" t="s">
        <v>276</v>
      </c>
      <c r="D273" s="42" t="s">
        <v>601</v>
      </c>
      <c r="E273" s="42" t="s">
        <v>195</v>
      </c>
      <c r="F273" s="7">
        <f>F274</f>
        <v>20000</v>
      </c>
    </row>
    <row r="274" spans="1:7" ht="47.25" x14ac:dyDescent="0.25">
      <c r="A274" s="31" t="s">
        <v>196</v>
      </c>
      <c r="B274" s="42" t="s">
        <v>297</v>
      </c>
      <c r="C274" s="42" t="s">
        <v>276</v>
      </c>
      <c r="D274" s="42" t="s">
        <v>601</v>
      </c>
      <c r="E274" s="42" t="s">
        <v>197</v>
      </c>
      <c r="F274" s="7">
        <f>'Прил.№4 ведомств.'!G850</f>
        <v>20000</v>
      </c>
    </row>
    <row r="275" spans="1:7" ht="47.25" x14ac:dyDescent="0.25">
      <c r="A275" s="26" t="s">
        <v>795</v>
      </c>
      <c r="B275" s="42" t="s">
        <v>297</v>
      </c>
      <c r="C275" s="42" t="s">
        <v>276</v>
      </c>
      <c r="D275" s="21" t="s">
        <v>796</v>
      </c>
      <c r="E275" s="42"/>
      <c r="F275" s="7">
        <f>F276</f>
        <v>111.2</v>
      </c>
    </row>
    <row r="276" spans="1:7" ht="31.5" x14ac:dyDescent="0.25">
      <c r="A276" s="26" t="s">
        <v>194</v>
      </c>
      <c r="B276" s="42" t="s">
        <v>297</v>
      </c>
      <c r="C276" s="42" t="s">
        <v>276</v>
      </c>
      <c r="D276" s="21" t="s">
        <v>796</v>
      </c>
      <c r="E276" s="42" t="s">
        <v>195</v>
      </c>
      <c r="F276" s="7">
        <f>F277</f>
        <v>111.2</v>
      </c>
    </row>
    <row r="277" spans="1:7" ht="47.25" x14ac:dyDescent="0.25">
      <c r="A277" s="26" t="s">
        <v>196</v>
      </c>
      <c r="B277" s="42" t="s">
        <v>297</v>
      </c>
      <c r="C277" s="42" t="s">
        <v>276</v>
      </c>
      <c r="D277" s="21" t="s">
        <v>796</v>
      </c>
      <c r="E277" s="42" t="s">
        <v>197</v>
      </c>
      <c r="F277" s="7">
        <f>'Прил.№4 ведомств.'!G853</f>
        <v>111.2</v>
      </c>
    </row>
    <row r="278" spans="1:7" ht="15.75" x14ac:dyDescent="0.25">
      <c r="A278" s="31" t="s">
        <v>204</v>
      </c>
      <c r="B278" s="42" t="s">
        <v>297</v>
      </c>
      <c r="C278" s="42" t="s">
        <v>276</v>
      </c>
      <c r="D278" s="42" t="s">
        <v>205</v>
      </c>
      <c r="E278" s="8"/>
      <c r="F278" s="7">
        <f>F279+F285</f>
        <v>9030.4500000000025</v>
      </c>
    </row>
    <row r="279" spans="1:7" ht="15.75" x14ac:dyDescent="0.25">
      <c r="A279" s="31" t="s">
        <v>602</v>
      </c>
      <c r="B279" s="42" t="s">
        <v>297</v>
      </c>
      <c r="C279" s="42" t="s">
        <v>276</v>
      </c>
      <c r="D279" s="42" t="s">
        <v>603</v>
      </c>
      <c r="E279" s="8"/>
      <c r="F279" s="7">
        <f>F280+F282</f>
        <v>683.45000000000243</v>
      </c>
    </row>
    <row r="280" spans="1:7" ht="31.5" x14ac:dyDescent="0.25">
      <c r="A280" s="31" t="s">
        <v>194</v>
      </c>
      <c r="B280" s="42" t="s">
        <v>297</v>
      </c>
      <c r="C280" s="42" t="s">
        <v>276</v>
      </c>
      <c r="D280" s="42" t="s">
        <v>603</v>
      </c>
      <c r="E280" s="42" t="s">
        <v>195</v>
      </c>
      <c r="F280" s="7">
        <f>F281</f>
        <v>651.85000000000241</v>
      </c>
    </row>
    <row r="281" spans="1:7" ht="47.25" x14ac:dyDescent="0.25">
      <c r="A281" s="31" t="s">
        <v>196</v>
      </c>
      <c r="B281" s="42" t="s">
        <v>297</v>
      </c>
      <c r="C281" s="42" t="s">
        <v>276</v>
      </c>
      <c r="D281" s="42" t="s">
        <v>603</v>
      </c>
      <c r="E281" s="42" t="s">
        <v>197</v>
      </c>
      <c r="F281" s="7">
        <f>'Прил.№4 ведомств.'!G857</f>
        <v>651.85000000000241</v>
      </c>
      <c r="G281" s="214"/>
    </row>
    <row r="282" spans="1:7" ht="15.75" x14ac:dyDescent="0.25">
      <c r="A282" s="31" t="s">
        <v>198</v>
      </c>
      <c r="B282" s="42" t="s">
        <v>297</v>
      </c>
      <c r="C282" s="42" t="s">
        <v>276</v>
      </c>
      <c r="D282" s="42" t="s">
        <v>603</v>
      </c>
      <c r="E282" s="42" t="s">
        <v>208</v>
      </c>
      <c r="F282" s="7">
        <f>F284+F283</f>
        <v>31.6</v>
      </c>
    </row>
    <row r="283" spans="1:7" ht="47.25" hidden="1" x14ac:dyDescent="0.25">
      <c r="A283" s="31" t="s">
        <v>247</v>
      </c>
      <c r="B283" s="42" t="s">
        <v>297</v>
      </c>
      <c r="C283" s="42" t="s">
        <v>276</v>
      </c>
      <c r="D283" s="42" t="s">
        <v>603</v>
      </c>
      <c r="E283" s="42" t="s">
        <v>223</v>
      </c>
      <c r="F283" s="7">
        <v>0</v>
      </c>
    </row>
    <row r="284" spans="1:7" ht="15.75" x14ac:dyDescent="0.25">
      <c r="A284" s="31" t="s">
        <v>633</v>
      </c>
      <c r="B284" s="42" t="s">
        <v>297</v>
      </c>
      <c r="C284" s="42" t="s">
        <v>276</v>
      </c>
      <c r="D284" s="42" t="s">
        <v>603</v>
      </c>
      <c r="E284" s="42" t="s">
        <v>201</v>
      </c>
      <c r="F284" s="7">
        <f>'Прил.№4 ведомств.'!G860</f>
        <v>31.6</v>
      </c>
    </row>
    <row r="285" spans="1:7" ht="15.75" x14ac:dyDescent="0.25">
      <c r="A285" s="31" t="s">
        <v>604</v>
      </c>
      <c r="B285" s="42" t="s">
        <v>297</v>
      </c>
      <c r="C285" s="42" t="s">
        <v>276</v>
      </c>
      <c r="D285" s="42" t="s">
        <v>605</v>
      </c>
      <c r="E285" s="42"/>
      <c r="F285" s="7">
        <f>F288+F286</f>
        <v>8347</v>
      </c>
    </row>
    <row r="286" spans="1:7" ht="31.5" x14ac:dyDescent="0.25">
      <c r="A286" s="31" t="s">
        <v>194</v>
      </c>
      <c r="B286" s="42" t="s">
        <v>297</v>
      </c>
      <c r="C286" s="42" t="s">
        <v>276</v>
      </c>
      <c r="D286" s="42" t="s">
        <v>605</v>
      </c>
      <c r="E286" s="42" t="s">
        <v>195</v>
      </c>
      <c r="F286" s="7">
        <f>F287</f>
        <v>4017.6</v>
      </c>
    </row>
    <row r="287" spans="1:7" ht="47.25" x14ac:dyDescent="0.25">
      <c r="A287" s="31" t="s">
        <v>196</v>
      </c>
      <c r="B287" s="42" t="s">
        <v>297</v>
      </c>
      <c r="C287" s="42" t="s">
        <v>276</v>
      </c>
      <c r="D287" s="42" t="s">
        <v>605</v>
      </c>
      <c r="E287" s="42" t="s">
        <v>197</v>
      </c>
      <c r="F287" s="7">
        <f>'Прил.№4 ведомств.'!G863</f>
        <v>4017.6</v>
      </c>
    </row>
    <row r="288" spans="1:7" ht="15.75" x14ac:dyDescent="0.25">
      <c r="A288" s="31" t="s">
        <v>198</v>
      </c>
      <c r="B288" s="42" t="s">
        <v>297</v>
      </c>
      <c r="C288" s="42" t="s">
        <v>276</v>
      </c>
      <c r="D288" s="42" t="s">
        <v>605</v>
      </c>
      <c r="E288" s="42" t="s">
        <v>208</v>
      </c>
      <c r="F288" s="7">
        <f>F289</f>
        <v>4329.4000000000005</v>
      </c>
    </row>
    <row r="289" spans="1:6" ht="15.75" x14ac:dyDescent="0.25">
      <c r="A289" s="31" t="s">
        <v>209</v>
      </c>
      <c r="B289" s="42" t="s">
        <v>297</v>
      </c>
      <c r="C289" s="42" t="s">
        <v>276</v>
      </c>
      <c r="D289" s="42" t="s">
        <v>605</v>
      </c>
      <c r="E289" s="42" t="s">
        <v>210</v>
      </c>
      <c r="F289" s="7">
        <f>'Прил.№4 ведомств.'!G865</f>
        <v>4329.4000000000005</v>
      </c>
    </row>
    <row r="290" spans="1:6" ht="47.25" hidden="1" x14ac:dyDescent="0.25">
      <c r="A290" s="70" t="s">
        <v>600</v>
      </c>
      <c r="B290" s="42" t="s">
        <v>297</v>
      </c>
      <c r="C290" s="42" t="s">
        <v>276</v>
      </c>
      <c r="D290" s="21" t="s">
        <v>672</v>
      </c>
      <c r="E290" s="42"/>
      <c r="F290" s="7">
        <f>F291</f>
        <v>0</v>
      </c>
    </row>
    <row r="291" spans="1:6" ht="31.5" hidden="1" x14ac:dyDescent="0.25">
      <c r="A291" s="26" t="s">
        <v>194</v>
      </c>
      <c r="B291" s="42" t="s">
        <v>297</v>
      </c>
      <c r="C291" s="42" t="s">
        <v>276</v>
      </c>
      <c r="D291" s="21" t="s">
        <v>672</v>
      </c>
      <c r="E291" s="42" t="s">
        <v>195</v>
      </c>
      <c r="F291" s="7">
        <f>F292</f>
        <v>0</v>
      </c>
    </row>
    <row r="292" spans="1:6" ht="47.25" hidden="1" x14ac:dyDescent="0.25">
      <c r="A292" s="26" t="s">
        <v>196</v>
      </c>
      <c r="B292" s="42" t="s">
        <v>297</v>
      </c>
      <c r="C292" s="42" t="s">
        <v>276</v>
      </c>
      <c r="D292" s="21" t="s">
        <v>672</v>
      </c>
      <c r="E292" s="42" t="s">
        <v>197</v>
      </c>
      <c r="F292" s="7">
        <v>0</v>
      </c>
    </row>
    <row r="293" spans="1:6" ht="15.75" x14ac:dyDescent="0.25">
      <c r="A293" s="43" t="s">
        <v>606</v>
      </c>
      <c r="B293" s="8" t="s">
        <v>297</v>
      </c>
      <c r="C293" s="8" t="s">
        <v>278</v>
      </c>
      <c r="D293" s="8"/>
      <c r="E293" s="8"/>
      <c r="F293" s="4">
        <f>F294+F324+F320</f>
        <v>16656.899999999998</v>
      </c>
    </row>
    <row r="294" spans="1:6" ht="48" customHeight="1" x14ac:dyDescent="0.25">
      <c r="A294" s="26" t="s">
        <v>607</v>
      </c>
      <c r="B294" s="42" t="s">
        <v>297</v>
      </c>
      <c r="C294" s="42" t="s">
        <v>278</v>
      </c>
      <c r="D294" s="42" t="s">
        <v>608</v>
      </c>
      <c r="E294" s="42"/>
      <c r="F294" s="7">
        <f>F295+F305</f>
        <v>3683.4000000000005</v>
      </c>
    </row>
    <row r="295" spans="1:6" ht="47.25" x14ac:dyDescent="0.25">
      <c r="A295" s="26" t="s">
        <v>609</v>
      </c>
      <c r="B295" s="21" t="s">
        <v>297</v>
      </c>
      <c r="C295" s="21" t="s">
        <v>278</v>
      </c>
      <c r="D295" s="21" t="s">
        <v>610</v>
      </c>
      <c r="E295" s="21"/>
      <c r="F295" s="7">
        <f>F299+F296+F302</f>
        <v>2583.2000000000007</v>
      </c>
    </row>
    <row r="296" spans="1:6" ht="24" customHeight="1" x14ac:dyDescent="0.25">
      <c r="A296" s="26" t="s">
        <v>611</v>
      </c>
      <c r="B296" s="21" t="s">
        <v>297</v>
      </c>
      <c r="C296" s="21" t="s">
        <v>278</v>
      </c>
      <c r="D296" s="21" t="s">
        <v>612</v>
      </c>
      <c r="E296" s="21"/>
      <c r="F296" s="7">
        <f>F297</f>
        <v>250</v>
      </c>
    </row>
    <row r="297" spans="1:6" ht="31.5" x14ac:dyDescent="0.25">
      <c r="A297" s="26" t="s">
        <v>194</v>
      </c>
      <c r="B297" s="21" t="s">
        <v>297</v>
      </c>
      <c r="C297" s="21" t="s">
        <v>278</v>
      </c>
      <c r="D297" s="21" t="s">
        <v>612</v>
      </c>
      <c r="E297" s="21" t="s">
        <v>195</v>
      </c>
      <c r="F297" s="7">
        <f>F298</f>
        <v>250</v>
      </c>
    </row>
    <row r="298" spans="1:6" ht="47.25" x14ac:dyDescent="0.25">
      <c r="A298" s="26" t="s">
        <v>196</v>
      </c>
      <c r="B298" s="21" t="s">
        <v>297</v>
      </c>
      <c r="C298" s="21" t="s">
        <v>278</v>
      </c>
      <c r="D298" s="21" t="s">
        <v>612</v>
      </c>
      <c r="E298" s="21" t="s">
        <v>197</v>
      </c>
      <c r="F298" s="7">
        <f>'Прил.№4 ведомств.'!G871</f>
        <v>250</v>
      </c>
    </row>
    <row r="299" spans="1:6" ht="15.75" x14ac:dyDescent="0.25">
      <c r="A299" s="26" t="s">
        <v>613</v>
      </c>
      <c r="B299" s="21" t="s">
        <v>297</v>
      </c>
      <c r="C299" s="21" t="s">
        <v>278</v>
      </c>
      <c r="D299" s="21" t="s">
        <v>614</v>
      </c>
      <c r="E299" s="21"/>
      <c r="F299" s="7">
        <f>F300</f>
        <v>2298.6000000000004</v>
      </c>
    </row>
    <row r="300" spans="1:6" ht="31.5" x14ac:dyDescent="0.25">
      <c r="A300" s="26" t="s">
        <v>194</v>
      </c>
      <c r="B300" s="21" t="s">
        <v>297</v>
      </c>
      <c r="C300" s="21" t="s">
        <v>278</v>
      </c>
      <c r="D300" s="21" t="s">
        <v>614</v>
      </c>
      <c r="E300" s="21" t="s">
        <v>195</v>
      </c>
      <c r="F300" s="7">
        <f>F301</f>
        <v>2298.6000000000004</v>
      </c>
    </row>
    <row r="301" spans="1:6" ht="47.25" x14ac:dyDescent="0.25">
      <c r="A301" s="26" t="s">
        <v>196</v>
      </c>
      <c r="B301" s="21" t="s">
        <v>297</v>
      </c>
      <c r="C301" s="21" t="s">
        <v>278</v>
      </c>
      <c r="D301" s="21" t="s">
        <v>614</v>
      </c>
      <c r="E301" s="21" t="s">
        <v>197</v>
      </c>
      <c r="F301" s="7">
        <f>'Прил.№4 ведомств.'!G874</f>
        <v>2298.6000000000004</v>
      </c>
    </row>
    <row r="302" spans="1:6" ht="15.75" x14ac:dyDescent="0.25">
      <c r="A302" s="26" t="s">
        <v>615</v>
      </c>
      <c r="B302" s="21" t="s">
        <v>297</v>
      </c>
      <c r="C302" s="21" t="s">
        <v>278</v>
      </c>
      <c r="D302" s="21" t="s">
        <v>616</v>
      </c>
      <c r="E302" s="21"/>
      <c r="F302" s="7">
        <f>F303</f>
        <v>34.600000000000179</v>
      </c>
    </row>
    <row r="303" spans="1:6" ht="31.5" x14ac:dyDescent="0.25">
      <c r="A303" s="26" t="s">
        <v>194</v>
      </c>
      <c r="B303" s="21" t="s">
        <v>297</v>
      </c>
      <c r="C303" s="21" t="s">
        <v>278</v>
      </c>
      <c r="D303" s="21" t="s">
        <v>616</v>
      </c>
      <c r="E303" s="21" t="s">
        <v>195</v>
      </c>
      <c r="F303" s="7">
        <f>F304</f>
        <v>34.600000000000179</v>
      </c>
    </row>
    <row r="304" spans="1:6" ht="47.25" x14ac:dyDescent="0.25">
      <c r="A304" s="26" t="s">
        <v>196</v>
      </c>
      <c r="B304" s="21" t="s">
        <v>297</v>
      </c>
      <c r="C304" s="21" t="s">
        <v>278</v>
      </c>
      <c r="D304" s="21" t="s">
        <v>616</v>
      </c>
      <c r="E304" s="21" t="s">
        <v>197</v>
      </c>
      <c r="F304" s="7">
        <f>'Прил.№4 ведомств.'!G877</f>
        <v>34.600000000000179</v>
      </c>
    </row>
    <row r="305" spans="1:6" ht="47.25" x14ac:dyDescent="0.25">
      <c r="A305" s="26" t="s">
        <v>617</v>
      </c>
      <c r="B305" s="21" t="s">
        <v>297</v>
      </c>
      <c r="C305" s="21" t="s">
        <v>278</v>
      </c>
      <c r="D305" s="21" t="s">
        <v>618</v>
      </c>
      <c r="E305" s="21"/>
      <c r="F305" s="7">
        <f>F306+F311+F314+F317</f>
        <v>1100.2</v>
      </c>
    </row>
    <row r="306" spans="1:6" ht="15.75" x14ac:dyDescent="0.25">
      <c r="A306" s="26" t="s">
        <v>615</v>
      </c>
      <c r="B306" s="21" t="s">
        <v>297</v>
      </c>
      <c r="C306" s="21" t="s">
        <v>278</v>
      </c>
      <c r="D306" s="21" t="s">
        <v>619</v>
      </c>
      <c r="E306" s="21"/>
      <c r="F306" s="7">
        <f>F307+F309</f>
        <v>672.3</v>
      </c>
    </row>
    <row r="307" spans="1:6" ht="78.75" x14ac:dyDescent="0.25">
      <c r="A307" s="26" t="s">
        <v>190</v>
      </c>
      <c r="B307" s="21" t="s">
        <v>297</v>
      </c>
      <c r="C307" s="21" t="s">
        <v>278</v>
      </c>
      <c r="D307" s="21" t="s">
        <v>619</v>
      </c>
      <c r="E307" s="21" t="s">
        <v>191</v>
      </c>
      <c r="F307" s="7">
        <f>F308</f>
        <v>652.19999999999993</v>
      </c>
    </row>
    <row r="308" spans="1:6" ht="31.5" x14ac:dyDescent="0.25">
      <c r="A308" s="48" t="s">
        <v>405</v>
      </c>
      <c r="B308" s="21" t="s">
        <v>297</v>
      </c>
      <c r="C308" s="21" t="s">
        <v>278</v>
      </c>
      <c r="D308" s="21" t="s">
        <v>619</v>
      </c>
      <c r="E308" s="21" t="s">
        <v>272</v>
      </c>
      <c r="F308" s="7">
        <f>'Прил.№4 ведомств.'!G881</f>
        <v>652.19999999999993</v>
      </c>
    </row>
    <row r="309" spans="1:6" ht="31.5" x14ac:dyDescent="0.25">
      <c r="A309" s="26" t="s">
        <v>194</v>
      </c>
      <c r="B309" s="21" t="s">
        <v>297</v>
      </c>
      <c r="C309" s="21" t="s">
        <v>278</v>
      </c>
      <c r="D309" s="21" t="s">
        <v>619</v>
      </c>
      <c r="E309" s="21" t="s">
        <v>195</v>
      </c>
      <c r="F309" s="7">
        <f>F310</f>
        <v>20.099999999999994</v>
      </c>
    </row>
    <row r="310" spans="1:6" ht="47.25" x14ac:dyDescent="0.25">
      <c r="A310" s="26" t="s">
        <v>196</v>
      </c>
      <c r="B310" s="21" t="s">
        <v>297</v>
      </c>
      <c r="C310" s="21" t="s">
        <v>278</v>
      </c>
      <c r="D310" s="21" t="s">
        <v>619</v>
      </c>
      <c r="E310" s="21" t="s">
        <v>197</v>
      </c>
      <c r="F310" s="7">
        <f>'Прил.№4 ведомств.'!G883</f>
        <v>20.099999999999994</v>
      </c>
    </row>
    <row r="311" spans="1:6" ht="15.75" hidden="1" x14ac:dyDescent="0.25">
      <c r="A311" s="26" t="s">
        <v>620</v>
      </c>
      <c r="B311" s="21" t="s">
        <v>297</v>
      </c>
      <c r="C311" s="21" t="s">
        <v>278</v>
      </c>
      <c r="D311" s="21" t="s">
        <v>621</v>
      </c>
      <c r="E311" s="21"/>
      <c r="F311" s="7">
        <f>F312</f>
        <v>0</v>
      </c>
    </row>
    <row r="312" spans="1:6" ht="31.5" hidden="1" x14ac:dyDescent="0.25">
      <c r="A312" s="26" t="s">
        <v>194</v>
      </c>
      <c r="B312" s="21" t="s">
        <v>297</v>
      </c>
      <c r="C312" s="21" t="s">
        <v>278</v>
      </c>
      <c r="D312" s="21" t="s">
        <v>621</v>
      </c>
      <c r="E312" s="21" t="s">
        <v>195</v>
      </c>
      <c r="F312" s="7">
        <f>F313</f>
        <v>0</v>
      </c>
    </row>
    <row r="313" spans="1:6" ht="47.25" hidden="1" x14ac:dyDescent="0.25">
      <c r="A313" s="26" t="s">
        <v>196</v>
      </c>
      <c r="B313" s="21" t="s">
        <v>297</v>
      </c>
      <c r="C313" s="21" t="s">
        <v>278</v>
      </c>
      <c r="D313" s="21" t="s">
        <v>621</v>
      </c>
      <c r="E313" s="21" t="s">
        <v>197</v>
      </c>
      <c r="F313" s="7">
        <f>'Прил.№4 ведомств.'!G886</f>
        <v>0</v>
      </c>
    </row>
    <row r="314" spans="1:6" ht="47.25" hidden="1" x14ac:dyDescent="0.25">
      <c r="A314" s="125" t="s">
        <v>622</v>
      </c>
      <c r="B314" s="21" t="s">
        <v>297</v>
      </c>
      <c r="C314" s="21" t="s">
        <v>278</v>
      </c>
      <c r="D314" s="21" t="s">
        <v>623</v>
      </c>
      <c r="E314" s="21"/>
      <c r="F314" s="7">
        <f>F315</f>
        <v>0</v>
      </c>
    </row>
    <row r="315" spans="1:6" ht="31.5" hidden="1" x14ac:dyDescent="0.25">
      <c r="A315" s="26" t="s">
        <v>194</v>
      </c>
      <c r="B315" s="21" t="s">
        <v>297</v>
      </c>
      <c r="C315" s="21" t="s">
        <v>278</v>
      </c>
      <c r="D315" s="21" t="s">
        <v>623</v>
      </c>
      <c r="E315" s="21" t="s">
        <v>195</v>
      </c>
      <c r="F315" s="7">
        <f>F316</f>
        <v>0</v>
      </c>
    </row>
    <row r="316" spans="1:6" ht="47.25" hidden="1" x14ac:dyDescent="0.25">
      <c r="A316" s="26" t="s">
        <v>196</v>
      </c>
      <c r="B316" s="21" t="s">
        <v>297</v>
      </c>
      <c r="C316" s="21" t="s">
        <v>278</v>
      </c>
      <c r="D316" s="21" t="s">
        <v>623</v>
      </c>
      <c r="E316" s="21" t="s">
        <v>197</v>
      </c>
      <c r="F316" s="7">
        <f>'Прил.№4 ведомств.'!G889</f>
        <v>0</v>
      </c>
    </row>
    <row r="317" spans="1:6" ht="15.75" x14ac:dyDescent="0.25">
      <c r="A317" s="125" t="s">
        <v>624</v>
      </c>
      <c r="B317" s="21" t="s">
        <v>297</v>
      </c>
      <c r="C317" s="21" t="s">
        <v>278</v>
      </c>
      <c r="D317" s="21" t="s">
        <v>625</v>
      </c>
      <c r="E317" s="21"/>
      <c r="F317" s="7">
        <f>F318</f>
        <v>427.90000000000003</v>
      </c>
    </row>
    <row r="318" spans="1:6" ht="31.5" x14ac:dyDescent="0.25">
      <c r="A318" s="26" t="s">
        <v>194</v>
      </c>
      <c r="B318" s="21" t="s">
        <v>297</v>
      </c>
      <c r="C318" s="21" t="s">
        <v>278</v>
      </c>
      <c r="D318" s="21" t="s">
        <v>625</v>
      </c>
      <c r="E318" s="21" t="s">
        <v>195</v>
      </c>
      <c r="F318" s="7">
        <f>F319</f>
        <v>427.90000000000003</v>
      </c>
    </row>
    <row r="319" spans="1:6" ht="47.25" x14ac:dyDescent="0.25">
      <c r="A319" s="26" t="s">
        <v>196</v>
      </c>
      <c r="B319" s="21" t="s">
        <v>297</v>
      </c>
      <c r="C319" s="21" t="s">
        <v>278</v>
      </c>
      <c r="D319" s="21" t="s">
        <v>625</v>
      </c>
      <c r="E319" s="21" t="s">
        <v>197</v>
      </c>
      <c r="F319" s="7">
        <f>'Прил.№4 ведомств.'!G892</f>
        <v>427.90000000000003</v>
      </c>
    </row>
    <row r="320" spans="1:6" ht="63" x14ac:dyDescent="0.25">
      <c r="A320" s="26" t="s">
        <v>845</v>
      </c>
      <c r="B320" s="21" t="s">
        <v>297</v>
      </c>
      <c r="C320" s="21" t="s">
        <v>278</v>
      </c>
      <c r="D320" s="21" t="s">
        <v>847</v>
      </c>
      <c r="E320" s="21"/>
      <c r="F320" s="7">
        <f>F321</f>
        <v>539.5</v>
      </c>
    </row>
    <row r="321" spans="1:6" ht="31.5" x14ac:dyDescent="0.25">
      <c r="A321" s="155" t="s">
        <v>846</v>
      </c>
      <c r="B321" s="21" t="s">
        <v>297</v>
      </c>
      <c r="C321" s="21" t="s">
        <v>278</v>
      </c>
      <c r="D321" s="21" t="s">
        <v>848</v>
      </c>
      <c r="E321" s="21"/>
      <c r="F321" s="7">
        <f>F322</f>
        <v>539.5</v>
      </c>
    </row>
    <row r="322" spans="1:6" ht="31.5" x14ac:dyDescent="0.25">
      <c r="A322" s="26" t="s">
        <v>194</v>
      </c>
      <c r="B322" s="21" t="s">
        <v>297</v>
      </c>
      <c r="C322" s="21" t="s">
        <v>278</v>
      </c>
      <c r="D322" s="21" t="s">
        <v>848</v>
      </c>
      <c r="E322" s="21" t="s">
        <v>195</v>
      </c>
      <c r="F322" s="7">
        <f>F323</f>
        <v>539.5</v>
      </c>
    </row>
    <row r="323" spans="1:6" ht="47.25" x14ac:dyDescent="0.25">
      <c r="A323" s="26" t="s">
        <v>196</v>
      </c>
      <c r="B323" s="21" t="s">
        <v>297</v>
      </c>
      <c r="C323" s="21" t="s">
        <v>278</v>
      </c>
      <c r="D323" s="21" t="s">
        <v>848</v>
      </c>
      <c r="E323" s="21" t="s">
        <v>197</v>
      </c>
      <c r="F323" s="7">
        <f>'Прил.№4 ведомств.'!G896</f>
        <v>539.5</v>
      </c>
    </row>
    <row r="324" spans="1:6" ht="15.75" x14ac:dyDescent="0.25">
      <c r="A324" s="31" t="s">
        <v>184</v>
      </c>
      <c r="B324" s="42" t="s">
        <v>297</v>
      </c>
      <c r="C324" s="42" t="s">
        <v>278</v>
      </c>
      <c r="D324" s="42" t="s">
        <v>185</v>
      </c>
      <c r="E324" s="8"/>
      <c r="F324" s="7">
        <f>F325+F340</f>
        <v>12433.999999999998</v>
      </c>
    </row>
    <row r="325" spans="1:6" ht="31.5" x14ac:dyDescent="0.25">
      <c r="A325" s="31" t="s">
        <v>248</v>
      </c>
      <c r="B325" s="42" t="s">
        <v>297</v>
      </c>
      <c r="C325" s="42" t="s">
        <v>278</v>
      </c>
      <c r="D325" s="42" t="s">
        <v>249</v>
      </c>
      <c r="E325" s="8"/>
      <c r="F325" s="7">
        <f>F326+F329+F334+F337</f>
        <v>12033.199999999999</v>
      </c>
    </row>
    <row r="326" spans="1:6" ht="35.25" customHeight="1" x14ac:dyDescent="0.25">
      <c r="A326" s="48" t="s">
        <v>626</v>
      </c>
      <c r="B326" s="42" t="s">
        <v>297</v>
      </c>
      <c r="C326" s="42" t="s">
        <v>278</v>
      </c>
      <c r="D326" s="42" t="s">
        <v>627</v>
      </c>
      <c r="E326" s="8"/>
      <c r="F326" s="7">
        <f>F327</f>
        <v>6302.4</v>
      </c>
    </row>
    <row r="327" spans="1:6" ht="31.5" x14ac:dyDescent="0.25">
      <c r="A327" s="31" t="s">
        <v>194</v>
      </c>
      <c r="B327" s="42" t="s">
        <v>297</v>
      </c>
      <c r="C327" s="42" t="s">
        <v>278</v>
      </c>
      <c r="D327" s="42" t="s">
        <v>627</v>
      </c>
      <c r="E327" s="42" t="s">
        <v>195</v>
      </c>
      <c r="F327" s="7">
        <f>F328</f>
        <v>6302.4</v>
      </c>
    </row>
    <row r="328" spans="1:6" ht="47.25" x14ac:dyDescent="0.25">
      <c r="A328" s="31" t="s">
        <v>196</v>
      </c>
      <c r="B328" s="42" t="s">
        <v>297</v>
      </c>
      <c r="C328" s="42" t="s">
        <v>278</v>
      </c>
      <c r="D328" s="42" t="s">
        <v>627</v>
      </c>
      <c r="E328" s="42" t="s">
        <v>197</v>
      </c>
      <c r="F328" s="7">
        <f>'Прил.№4 ведомств.'!G901</f>
        <v>6302.4</v>
      </c>
    </row>
    <row r="329" spans="1:6" ht="31.5" x14ac:dyDescent="0.25">
      <c r="A329" s="26" t="s">
        <v>797</v>
      </c>
      <c r="B329" s="42" t="s">
        <v>297</v>
      </c>
      <c r="C329" s="42" t="s">
        <v>278</v>
      </c>
      <c r="D329" s="21" t="s">
        <v>798</v>
      </c>
      <c r="E329" s="42"/>
      <c r="F329" s="7">
        <f>F330+F332</f>
        <v>2132</v>
      </c>
    </row>
    <row r="330" spans="1:6" ht="31.5" x14ac:dyDescent="0.25">
      <c r="A330" s="26" t="s">
        <v>194</v>
      </c>
      <c r="B330" s="42" t="s">
        <v>297</v>
      </c>
      <c r="C330" s="42" t="s">
        <v>278</v>
      </c>
      <c r="D330" s="21" t="s">
        <v>798</v>
      </c>
      <c r="E330" s="42" t="s">
        <v>195</v>
      </c>
      <c r="F330" s="7">
        <f>F331</f>
        <v>1931.6</v>
      </c>
    </row>
    <row r="331" spans="1:6" ht="47.25" x14ac:dyDescent="0.25">
      <c r="A331" s="26" t="s">
        <v>196</v>
      </c>
      <c r="B331" s="42" t="s">
        <v>297</v>
      </c>
      <c r="C331" s="42" t="s">
        <v>278</v>
      </c>
      <c r="D331" s="21" t="s">
        <v>798</v>
      </c>
      <c r="E331" s="42" t="s">
        <v>197</v>
      </c>
      <c r="F331" s="7">
        <f>'Прил.№4 ведомств.'!G904</f>
        <v>1931.6</v>
      </c>
    </row>
    <row r="332" spans="1:6" ht="15.75" x14ac:dyDescent="0.25">
      <c r="A332" s="31" t="s">
        <v>198</v>
      </c>
      <c r="B332" s="42" t="s">
        <v>297</v>
      </c>
      <c r="C332" s="42" t="s">
        <v>278</v>
      </c>
      <c r="D332" s="21" t="s">
        <v>798</v>
      </c>
      <c r="E332" s="42" t="s">
        <v>208</v>
      </c>
      <c r="F332" s="7">
        <f>F333</f>
        <v>200.4</v>
      </c>
    </row>
    <row r="333" spans="1:6" ht="15.75" x14ac:dyDescent="0.25">
      <c r="A333" s="31" t="s">
        <v>633</v>
      </c>
      <c r="B333" s="42" t="s">
        <v>297</v>
      </c>
      <c r="C333" s="42" t="s">
        <v>278</v>
      </c>
      <c r="D333" s="21" t="s">
        <v>798</v>
      </c>
      <c r="E333" s="42" t="s">
        <v>201</v>
      </c>
      <c r="F333" s="7">
        <f>'Прил.№4 ведомств.'!G906</f>
        <v>200.4</v>
      </c>
    </row>
    <row r="334" spans="1:6" ht="47.25" x14ac:dyDescent="0.25">
      <c r="A334" s="26" t="s">
        <v>799</v>
      </c>
      <c r="B334" s="42" t="s">
        <v>297</v>
      </c>
      <c r="C334" s="42" t="s">
        <v>278</v>
      </c>
      <c r="D334" s="42" t="s">
        <v>628</v>
      </c>
      <c r="E334" s="42"/>
      <c r="F334" s="7">
        <f>F335</f>
        <v>2000</v>
      </c>
    </row>
    <row r="335" spans="1:6" ht="31.5" x14ac:dyDescent="0.25">
      <c r="A335" s="31" t="s">
        <v>194</v>
      </c>
      <c r="B335" s="42" t="s">
        <v>297</v>
      </c>
      <c r="C335" s="42" t="s">
        <v>278</v>
      </c>
      <c r="D335" s="42" t="s">
        <v>628</v>
      </c>
      <c r="E335" s="42" t="s">
        <v>195</v>
      </c>
      <c r="F335" s="7">
        <f>F336</f>
        <v>2000</v>
      </c>
    </row>
    <row r="336" spans="1:6" ht="47.25" x14ac:dyDescent="0.25">
      <c r="A336" s="31" t="s">
        <v>196</v>
      </c>
      <c r="B336" s="42" t="s">
        <v>297</v>
      </c>
      <c r="C336" s="42" t="s">
        <v>278</v>
      </c>
      <c r="D336" s="42" t="s">
        <v>628</v>
      </c>
      <c r="E336" s="42" t="s">
        <v>197</v>
      </c>
      <c r="F336" s="7">
        <f>'Прил.№4 ведомств.'!G909</f>
        <v>2000</v>
      </c>
    </row>
    <row r="337" spans="1:7" ht="53.25" customHeight="1" x14ac:dyDescent="0.25">
      <c r="A337" s="26" t="s">
        <v>800</v>
      </c>
      <c r="B337" s="42" t="s">
        <v>297</v>
      </c>
      <c r="C337" s="42" t="s">
        <v>278</v>
      </c>
      <c r="D337" s="21" t="s">
        <v>801</v>
      </c>
      <c r="E337" s="42"/>
      <c r="F337" s="7">
        <f>F338</f>
        <v>1598.8</v>
      </c>
    </row>
    <row r="338" spans="1:7" ht="31.5" x14ac:dyDescent="0.25">
      <c r="A338" s="26" t="s">
        <v>194</v>
      </c>
      <c r="B338" s="42" t="s">
        <v>297</v>
      </c>
      <c r="C338" s="42" t="s">
        <v>278</v>
      </c>
      <c r="D338" s="21" t="s">
        <v>801</v>
      </c>
      <c r="E338" s="42" t="s">
        <v>195</v>
      </c>
      <c r="F338" s="7">
        <f>F339</f>
        <v>1598.8</v>
      </c>
    </row>
    <row r="339" spans="1:7" ht="47.25" x14ac:dyDescent="0.25">
      <c r="A339" s="26" t="s">
        <v>196</v>
      </c>
      <c r="B339" s="42" t="s">
        <v>297</v>
      </c>
      <c r="C339" s="42" t="s">
        <v>278</v>
      </c>
      <c r="D339" s="21" t="s">
        <v>801</v>
      </c>
      <c r="E339" s="42" t="s">
        <v>197</v>
      </c>
      <c r="F339" s="7">
        <f>'Прил.№4 ведомств.'!G912</f>
        <v>1598.8</v>
      </c>
    </row>
    <row r="340" spans="1:7" ht="15.75" x14ac:dyDescent="0.25">
      <c r="A340" s="31" t="s">
        <v>204</v>
      </c>
      <c r="B340" s="42" t="s">
        <v>297</v>
      </c>
      <c r="C340" s="42" t="s">
        <v>278</v>
      </c>
      <c r="D340" s="42" t="s">
        <v>205</v>
      </c>
      <c r="E340" s="8"/>
      <c r="F340" s="7">
        <f>F341+F344</f>
        <v>400.79999999999995</v>
      </c>
    </row>
    <row r="341" spans="1:7" ht="15.75" x14ac:dyDescent="0.25">
      <c r="A341" s="47" t="s">
        <v>673</v>
      </c>
      <c r="B341" s="42" t="s">
        <v>297</v>
      </c>
      <c r="C341" s="42" t="s">
        <v>278</v>
      </c>
      <c r="D341" s="42" t="s">
        <v>630</v>
      </c>
      <c r="E341" s="42"/>
      <c r="F341" s="7">
        <f>F342</f>
        <v>400.79999999999995</v>
      </c>
    </row>
    <row r="342" spans="1:7" ht="31.5" x14ac:dyDescent="0.25">
      <c r="A342" s="31" t="s">
        <v>194</v>
      </c>
      <c r="B342" s="42" t="s">
        <v>297</v>
      </c>
      <c r="C342" s="42" t="s">
        <v>278</v>
      </c>
      <c r="D342" s="42" t="s">
        <v>630</v>
      </c>
      <c r="E342" s="42" t="s">
        <v>195</v>
      </c>
      <c r="F342" s="7">
        <f>F343</f>
        <v>400.79999999999995</v>
      </c>
    </row>
    <row r="343" spans="1:7" ht="47.25" x14ac:dyDescent="0.25">
      <c r="A343" s="31" t="s">
        <v>196</v>
      </c>
      <c r="B343" s="42" t="s">
        <v>297</v>
      </c>
      <c r="C343" s="42" t="s">
        <v>278</v>
      </c>
      <c r="D343" s="42" t="s">
        <v>630</v>
      </c>
      <c r="E343" s="42" t="s">
        <v>197</v>
      </c>
      <c r="F343" s="7">
        <f>'Прил.№4 ведомств.'!G916</f>
        <v>400.79999999999995</v>
      </c>
    </row>
    <row r="344" spans="1:7" ht="15.75" hidden="1" x14ac:dyDescent="0.25">
      <c r="A344" s="31" t="s">
        <v>631</v>
      </c>
      <c r="B344" s="42" t="s">
        <v>297</v>
      </c>
      <c r="C344" s="42" t="s">
        <v>278</v>
      </c>
      <c r="D344" s="42" t="s">
        <v>632</v>
      </c>
      <c r="E344" s="8"/>
      <c r="F344" s="7">
        <f>F345</f>
        <v>0</v>
      </c>
    </row>
    <row r="345" spans="1:7" ht="15.75" hidden="1" x14ac:dyDescent="0.25">
      <c r="A345" s="31" t="s">
        <v>198</v>
      </c>
      <c r="B345" s="42" t="s">
        <v>297</v>
      </c>
      <c r="C345" s="42" t="s">
        <v>278</v>
      </c>
      <c r="D345" s="42" t="s">
        <v>632</v>
      </c>
      <c r="E345" s="42" t="s">
        <v>208</v>
      </c>
      <c r="F345" s="7">
        <f>F346</f>
        <v>0</v>
      </c>
    </row>
    <row r="346" spans="1:7" ht="15.75" hidden="1" x14ac:dyDescent="0.25">
      <c r="A346" s="31" t="s">
        <v>633</v>
      </c>
      <c r="B346" s="42" t="s">
        <v>297</v>
      </c>
      <c r="C346" s="42" t="s">
        <v>278</v>
      </c>
      <c r="D346" s="42" t="s">
        <v>632</v>
      </c>
      <c r="E346" s="42" t="s">
        <v>201</v>
      </c>
      <c r="F346" s="7"/>
    </row>
    <row r="347" spans="1:7" ht="31.5" x14ac:dyDescent="0.25">
      <c r="A347" s="43" t="s">
        <v>634</v>
      </c>
      <c r="B347" s="8" t="s">
        <v>297</v>
      </c>
      <c r="C347" s="8" t="s">
        <v>297</v>
      </c>
      <c r="D347" s="8"/>
      <c r="E347" s="8"/>
      <c r="F347" s="4">
        <f>F348</f>
        <v>21298.739999999998</v>
      </c>
    </row>
    <row r="348" spans="1:7" ht="15.75" x14ac:dyDescent="0.25">
      <c r="A348" s="31" t="s">
        <v>184</v>
      </c>
      <c r="B348" s="42" t="s">
        <v>297</v>
      </c>
      <c r="C348" s="42" t="s">
        <v>297</v>
      </c>
      <c r="D348" s="42" t="s">
        <v>185</v>
      </c>
      <c r="E348" s="42"/>
      <c r="F348" s="7">
        <f>F357+F349</f>
        <v>21298.739999999998</v>
      </c>
    </row>
    <row r="349" spans="1:7" ht="31.5" x14ac:dyDescent="0.25">
      <c r="A349" s="31" t="s">
        <v>186</v>
      </c>
      <c r="B349" s="42" t="s">
        <v>297</v>
      </c>
      <c r="C349" s="42" t="s">
        <v>297</v>
      </c>
      <c r="D349" s="42" t="s">
        <v>187</v>
      </c>
      <c r="E349" s="42"/>
      <c r="F349" s="7">
        <f>F350</f>
        <v>12665.8</v>
      </c>
    </row>
    <row r="350" spans="1:7" ht="31.5" x14ac:dyDescent="0.25">
      <c r="A350" s="31" t="s">
        <v>674</v>
      </c>
      <c r="B350" s="42" t="s">
        <v>297</v>
      </c>
      <c r="C350" s="42" t="s">
        <v>297</v>
      </c>
      <c r="D350" s="42" t="s">
        <v>189</v>
      </c>
      <c r="E350" s="42"/>
      <c r="F350" s="7">
        <f>F351+F353+F355</f>
        <v>12665.8</v>
      </c>
    </row>
    <row r="351" spans="1:7" ht="87.75" customHeight="1" x14ac:dyDescent="0.25">
      <c r="A351" s="31" t="s">
        <v>190</v>
      </c>
      <c r="B351" s="42" t="s">
        <v>297</v>
      </c>
      <c r="C351" s="42" t="s">
        <v>297</v>
      </c>
      <c r="D351" s="42" t="s">
        <v>189</v>
      </c>
      <c r="E351" s="42" t="s">
        <v>191</v>
      </c>
      <c r="F351" s="63">
        <f>F352</f>
        <v>12534.9</v>
      </c>
    </row>
    <row r="352" spans="1:7" ht="31.5" x14ac:dyDescent="0.25">
      <c r="A352" s="31" t="s">
        <v>192</v>
      </c>
      <c r="B352" s="42" t="s">
        <v>297</v>
      </c>
      <c r="C352" s="42" t="s">
        <v>297</v>
      </c>
      <c r="D352" s="42" t="s">
        <v>189</v>
      </c>
      <c r="E352" s="42" t="s">
        <v>193</v>
      </c>
      <c r="F352" s="63">
        <f>'Прил.№4 ведомств.'!G925</f>
        <v>12534.9</v>
      </c>
      <c r="G352" s="214"/>
    </row>
    <row r="353" spans="1:7" ht="31.5" x14ac:dyDescent="0.25">
      <c r="A353" s="31" t="s">
        <v>194</v>
      </c>
      <c r="B353" s="42" t="s">
        <v>297</v>
      </c>
      <c r="C353" s="42" t="s">
        <v>297</v>
      </c>
      <c r="D353" s="42" t="s">
        <v>189</v>
      </c>
      <c r="E353" s="42" t="s">
        <v>195</v>
      </c>
      <c r="F353" s="63">
        <f>F354</f>
        <v>25</v>
      </c>
    </row>
    <row r="354" spans="1:7" ht="47.25" x14ac:dyDescent="0.25">
      <c r="A354" s="31" t="s">
        <v>196</v>
      </c>
      <c r="B354" s="42" t="s">
        <v>297</v>
      </c>
      <c r="C354" s="42" t="s">
        <v>297</v>
      </c>
      <c r="D354" s="42" t="s">
        <v>189</v>
      </c>
      <c r="E354" s="42" t="s">
        <v>197</v>
      </c>
      <c r="F354" s="63">
        <f>'Прил.№4 ведомств.'!G927</f>
        <v>25</v>
      </c>
    </row>
    <row r="355" spans="1:7" ht="15.75" x14ac:dyDescent="0.25">
      <c r="A355" s="31" t="s">
        <v>198</v>
      </c>
      <c r="B355" s="42" t="s">
        <v>297</v>
      </c>
      <c r="C355" s="42" t="s">
        <v>297</v>
      </c>
      <c r="D355" s="42" t="s">
        <v>189</v>
      </c>
      <c r="E355" s="42" t="s">
        <v>208</v>
      </c>
      <c r="F355" s="63">
        <f>F356</f>
        <v>105.9</v>
      </c>
    </row>
    <row r="356" spans="1:7" ht="15.75" x14ac:dyDescent="0.25">
      <c r="A356" s="31" t="s">
        <v>633</v>
      </c>
      <c r="B356" s="42" t="s">
        <v>297</v>
      </c>
      <c r="C356" s="42" t="s">
        <v>297</v>
      </c>
      <c r="D356" s="42" t="s">
        <v>189</v>
      </c>
      <c r="E356" s="42" t="s">
        <v>201</v>
      </c>
      <c r="F356" s="63">
        <f>'Прил.№4 ведомств.'!G929</f>
        <v>105.9</v>
      </c>
    </row>
    <row r="357" spans="1:7" ht="15.75" x14ac:dyDescent="0.25">
      <c r="A357" s="31" t="s">
        <v>204</v>
      </c>
      <c r="B357" s="42" t="s">
        <v>297</v>
      </c>
      <c r="C357" s="42" t="s">
        <v>297</v>
      </c>
      <c r="D357" s="42" t="s">
        <v>205</v>
      </c>
      <c r="E357" s="42"/>
      <c r="F357" s="7">
        <f>F358+F361</f>
        <v>8632.9399999999987</v>
      </c>
    </row>
    <row r="358" spans="1:7" ht="31.5" x14ac:dyDescent="0.25">
      <c r="A358" s="31" t="s">
        <v>635</v>
      </c>
      <c r="B358" s="42" t="s">
        <v>297</v>
      </c>
      <c r="C358" s="42" t="s">
        <v>297</v>
      </c>
      <c r="D358" s="42" t="s">
        <v>636</v>
      </c>
      <c r="E358" s="42"/>
      <c r="F358" s="63">
        <f>F359</f>
        <v>466.6</v>
      </c>
    </row>
    <row r="359" spans="1:7" ht="15.75" x14ac:dyDescent="0.25">
      <c r="A359" s="31" t="s">
        <v>198</v>
      </c>
      <c r="B359" s="42" t="s">
        <v>297</v>
      </c>
      <c r="C359" s="42" t="s">
        <v>297</v>
      </c>
      <c r="D359" s="42" t="s">
        <v>636</v>
      </c>
      <c r="E359" s="42" t="s">
        <v>208</v>
      </c>
      <c r="F359" s="63">
        <f>F360</f>
        <v>466.6</v>
      </c>
    </row>
    <row r="360" spans="1:7" ht="15.75" x14ac:dyDescent="0.25">
      <c r="A360" s="31" t="s">
        <v>633</v>
      </c>
      <c r="B360" s="42" t="s">
        <v>297</v>
      </c>
      <c r="C360" s="42" t="s">
        <v>297</v>
      </c>
      <c r="D360" s="42" t="s">
        <v>636</v>
      </c>
      <c r="E360" s="42" t="s">
        <v>201</v>
      </c>
      <c r="F360" s="63">
        <f>'Прил.№4 ведомств.'!G933</f>
        <v>466.6</v>
      </c>
    </row>
    <row r="361" spans="1:7" ht="31.5" x14ac:dyDescent="0.25">
      <c r="A361" s="26" t="s">
        <v>403</v>
      </c>
      <c r="B361" s="42" t="s">
        <v>297</v>
      </c>
      <c r="C361" s="42" t="s">
        <v>297</v>
      </c>
      <c r="D361" s="42" t="s">
        <v>404</v>
      </c>
      <c r="E361" s="42"/>
      <c r="F361" s="7">
        <f>F362+F364</f>
        <v>8166.3399999999983</v>
      </c>
    </row>
    <row r="362" spans="1:7" ht="78.75" x14ac:dyDescent="0.25">
      <c r="A362" s="31" t="s">
        <v>190</v>
      </c>
      <c r="B362" s="42" t="s">
        <v>297</v>
      </c>
      <c r="C362" s="42" t="s">
        <v>297</v>
      </c>
      <c r="D362" s="42" t="s">
        <v>404</v>
      </c>
      <c r="E362" s="42" t="s">
        <v>191</v>
      </c>
      <c r="F362" s="63">
        <f>F363</f>
        <v>6433.7399999999989</v>
      </c>
    </row>
    <row r="363" spans="1:7" ht="31.5" x14ac:dyDescent="0.25">
      <c r="A363" s="48" t="s">
        <v>405</v>
      </c>
      <c r="B363" s="42" t="s">
        <v>297</v>
      </c>
      <c r="C363" s="42" t="s">
        <v>297</v>
      </c>
      <c r="D363" s="42" t="s">
        <v>404</v>
      </c>
      <c r="E363" s="42" t="s">
        <v>272</v>
      </c>
      <c r="F363" s="63">
        <f>'Прил.№4 ведомств.'!G936</f>
        <v>6433.7399999999989</v>
      </c>
      <c r="G363" s="213"/>
    </row>
    <row r="364" spans="1:7" ht="31.5" x14ac:dyDescent="0.25">
      <c r="A364" s="31" t="s">
        <v>194</v>
      </c>
      <c r="B364" s="42" t="s">
        <v>297</v>
      </c>
      <c r="C364" s="42" t="s">
        <v>297</v>
      </c>
      <c r="D364" s="42" t="s">
        <v>404</v>
      </c>
      <c r="E364" s="42" t="s">
        <v>195</v>
      </c>
      <c r="F364" s="63">
        <f>F365</f>
        <v>1732.6</v>
      </c>
    </row>
    <row r="365" spans="1:7" ht="47.25" x14ac:dyDescent="0.25">
      <c r="A365" s="31" t="s">
        <v>196</v>
      </c>
      <c r="B365" s="42" t="s">
        <v>297</v>
      </c>
      <c r="C365" s="42" t="s">
        <v>297</v>
      </c>
      <c r="D365" s="42" t="s">
        <v>404</v>
      </c>
      <c r="E365" s="42" t="s">
        <v>197</v>
      </c>
      <c r="F365" s="63">
        <f>'Прил.№4 ведомств.'!G938</f>
        <v>1732.6</v>
      </c>
    </row>
    <row r="366" spans="1:7" ht="15.75" x14ac:dyDescent="0.25">
      <c r="A366" s="43" t="s">
        <v>326</v>
      </c>
      <c r="B366" s="8" t="s">
        <v>327</v>
      </c>
      <c r="C366" s="42"/>
      <c r="D366" s="42"/>
      <c r="E366" s="42"/>
      <c r="F366" s="4">
        <f>F367+F408+F542+F553+F481</f>
        <v>285366.40000000002</v>
      </c>
    </row>
    <row r="367" spans="1:7" ht="15.75" x14ac:dyDescent="0.25">
      <c r="A367" s="43" t="s">
        <v>468</v>
      </c>
      <c r="B367" s="8" t="s">
        <v>327</v>
      </c>
      <c r="C367" s="8" t="s">
        <v>181</v>
      </c>
      <c r="D367" s="8"/>
      <c r="E367" s="8"/>
      <c r="F367" s="4">
        <f>F368+F391</f>
        <v>84218.6</v>
      </c>
    </row>
    <row r="368" spans="1:7" ht="47.25" x14ac:dyDescent="0.25">
      <c r="A368" s="31" t="s">
        <v>490</v>
      </c>
      <c r="B368" s="42" t="s">
        <v>327</v>
      </c>
      <c r="C368" s="42" t="s">
        <v>181</v>
      </c>
      <c r="D368" s="42" t="s">
        <v>470</v>
      </c>
      <c r="E368" s="42"/>
      <c r="F368" s="7">
        <f>F369+F373</f>
        <v>22748.600000000002</v>
      </c>
    </row>
    <row r="369" spans="1:6" ht="31.5" x14ac:dyDescent="0.25">
      <c r="A369" s="31" t="s">
        <v>471</v>
      </c>
      <c r="B369" s="42" t="s">
        <v>327</v>
      </c>
      <c r="C369" s="42" t="s">
        <v>181</v>
      </c>
      <c r="D369" s="42" t="s">
        <v>472</v>
      </c>
      <c r="E369" s="42"/>
      <c r="F369" s="7">
        <f>F370</f>
        <v>16546.300000000003</v>
      </c>
    </row>
    <row r="370" spans="1:6" ht="47.25" x14ac:dyDescent="0.25">
      <c r="A370" s="31" t="s">
        <v>473</v>
      </c>
      <c r="B370" s="42" t="s">
        <v>327</v>
      </c>
      <c r="C370" s="42" t="s">
        <v>181</v>
      </c>
      <c r="D370" s="42" t="s">
        <v>474</v>
      </c>
      <c r="E370" s="42"/>
      <c r="F370" s="7">
        <f>SUM(F371:F371)</f>
        <v>16546.300000000003</v>
      </c>
    </row>
    <row r="371" spans="1:6" ht="47.25" x14ac:dyDescent="0.25">
      <c r="A371" s="31" t="s">
        <v>335</v>
      </c>
      <c r="B371" s="42" t="s">
        <v>327</v>
      </c>
      <c r="C371" s="42" t="s">
        <v>181</v>
      </c>
      <c r="D371" s="42" t="s">
        <v>474</v>
      </c>
      <c r="E371" s="42" t="s">
        <v>336</v>
      </c>
      <c r="F371" s="7">
        <f>F372</f>
        <v>16546.300000000003</v>
      </c>
    </row>
    <row r="372" spans="1:6" ht="15.75" x14ac:dyDescent="0.25">
      <c r="A372" s="31" t="s">
        <v>337</v>
      </c>
      <c r="B372" s="42" t="s">
        <v>327</v>
      </c>
      <c r="C372" s="42" t="s">
        <v>181</v>
      </c>
      <c r="D372" s="42" t="s">
        <v>474</v>
      </c>
      <c r="E372" s="42" t="s">
        <v>338</v>
      </c>
      <c r="F372" s="63">
        <f>'Прил.№4 ведомств.'!G523</f>
        <v>16546.300000000003</v>
      </c>
    </row>
    <row r="373" spans="1:6" ht="31.5" x14ac:dyDescent="0.25">
      <c r="A373" s="31" t="s">
        <v>475</v>
      </c>
      <c r="B373" s="42" t="s">
        <v>327</v>
      </c>
      <c r="C373" s="42" t="s">
        <v>181</v>
      </c>
      <c r="D373" s="42" t="s">
        <v>476</v>
      </c>
      <c r="E373" s="42"/>
      <c r="F373" s="7">
        <f>F374+F377+F381+F387+F384</f>
        <v>6202.2999999999993</v>
      </c>
    </row>
    <row r="374" spans="1:6" ht="47.25" hidden="1" x14ac:dyDescent="0.25">
      <c r="A374" s="31" t="s">
        <v>675</v>
      </c>
      <c r="B374" s="42" t="s">
        <v>327</v>
      </c>
      <c r="C374" s="42" t="s">
        <v>181</v>
      </c>
      <c r="D374" s="42" t="s">
        <v>676</v>
      </c>
      <c r="E374" s="42"/>
      <c r="F374" s="7">
        <f>F375</f>
        <v>0</v>
      </c>
    </row>
    <row r="375" spans="1:6" ht="47.25" hidden="1" x14ac:dyDescent="0.25">
      <c r="A375" s="31" t="s">
        <v>335</v>
      </c>
      <c r="B375" s="42" t="s">
        <v>327</v>
      </c>
      <c r="C375" s="42" t="s">
        <v>181</v>
      </c>
      <c r="D375" s="42" t="s">
        <v>676</v>
      </c>
      <c r="E375" s="42" t="s">
        <v>336</v>
      </c>
      <c r="F375" s="7">
        <f>F376</f>
        <v>0</v>
      </c>
    </row>
    <row r="376" spans="1:6" ht="15.75" hidden="1" x14ac:dyDescent="0.25">
      <c r="A376" s="31" t="s">
        <v>337</v>
      </c>
      <c r="B376" s="42" t="s">
        <v>327</v>
      </c>
      <c r="C376" s="42" t="s">
        <v>181</v>
      </c>
      <c r="D376" s="42" t="s">
        <v>676</v>
      </c>
      <c r="E376" s="42" t="s">
        <v>338</v>
      </c>
      <c r="F376" s="7"/>
    </row>
    <row r="377" spans="1:6" ht="31.5" hidden="1" x14ac:dyDescent="0.25">
      <c r="A377" s="31" t="s">
        <v>341</v>
      </c>
      <c r="B377" s="42" t="s">
        <v>327</v>
      </c>
      <c r="C377" s="42" t="s">
        <v>181</v>
      </c>
      <c r="D377" s="42" t="s">
        <v>677</v>
      </c>
      <c r="E377" s="42"/>
      <c r="F377" s="7">
        <f>F378</f>
        <v>0</v>
      </c>
    </row>
    <row r="378" spans="1:6" ht="47.25" hidden="1" x14ac:dyDescent="0.25">
      <c r="A378" s="31" t="s">
        <v>335</v>
      </c>
      <c r="B378" s="42" t="s">
        <v>327</v>
      </c>
      <c r="C378" s="42" t="s">
        <v>181</v>
      </c>
      <c r="D378" s="42" t="s">
        <v>677</v>
      </c>
      <c r="E378" s="42" t="s">
        <v>336</v>
      </c>
      <c r="F378" s="7">
        <f>F379</f>
        <v>0</v>
      </c>
    </row>
    <row r="379" spans="1:6" ht="15.75" hidden="1" x14ac:dyDescent="0.25">
      <c r="A379" s="31" t="s">
        <v>337</v>
      </c>
      <c r="B379" s="42" t="s">
        <v>327</v>
      </c>
      <c r="C379" s="42" t="s">
        <v>181</v>
      </c>
      <c r="D379" s="42" t="s">
        <v>677</v>
      </c>
      <c r="E379" s="42" t="s">
        <v>338</v>
      </c>
      <c r="F379" s="7">
        <f>F380</f>
        <v>0</v>
      </c>
    </row>
    <row r="380" spans="1:6" ht="15.75" hidden="1" x14ac:dyDescent="0.25">
      <c r="A380" s="31" t="s">
        <v>678</v>
      </c>
      <c r="B380" s="42" t="s">
        <v>327</v>
      </c>
      <c r="C380" s="42" t="s">
        <v>181</v>
      </c>
      <c r="D380" s="42" t="s">
        <v>677</v>
      </c>
      <c r="E380" s="42" t="s">
        <v>679</v>
      </c>
      <c r="F380" s="7">
        <v>0</v>
      </c>
    </row>
    <row r="381" spans="1:6" ht="31.5" x14ac:dyDescent="0.25">
      <c r="A381" s="31" t="s">
        <v>343</v>
      </c>
      <c r="B381" s="42" t="s">
        <v>327</v>
      </c>
      <c r="C381" s="42" t="s">
        <v>181</v>
      </c>
      <c r="D381" s="42" t="s">
        <v>478</v>
      </c>
      <c r="E381" s="42"/>
      <c r="F381" s="7">
        <f>F382</f>
        <v>1145</v>
      </c>
    </row>
    <row r="382" spans="1:6" ht="47.25" x14ac:dyDescent="0.25">
      <c r="A382" s="31" t="s">
        <v>335</v>
      </c>
      <c r="B382" s="42" t="s">
        <v>327</v>
      </c>
      <c r="C382" s="42" t="s">
        <v>181</v>
      </c>
      <c r="D382" s="42" t="s">
        <v>478</v>
      </c>
      <c r="E382" s="42" t="s">
        <v>336</v>
      </c>
      <c r="F382" s="7">
        <f>F383</f>
        <v>1145</v>
      </c>
    </row>
    <row r="383" spans="1:6" ht="15.75" x14ac:dyDescent="0.25">
      <c r="A383" s="31" t="s">
        <v>337</v>
      </c>
      <c r="B383" s="42" t="s">
        <v>327</v>
      </c>
      <c r="C383" s="42" t="s">
        <v>181</v>
      </c>
      <c r="D383" s="42" t="s">
        <v>478</v>
      </c>
      <c r="E383" s="42" t="s">
        <v>338</v>
      </c>
      <c r="F383" s="7">
        <f>'Прил.№4 ведомств.'!G530</f>
        <v>1145</v>
      </c>
    </row>
    <row r="384" spans="1:6" ht="47.25" x14ac:dyDescent="0.25">
      <c r="A384" s="31" t="s">
        <v>479</v>
      </c>
      <c r="B384" s="42" t="s">
        <v>327</v>
      </c>
      <c r="C384" s="42" t="s">
        <v>181</v>
      </c>
      <c r="D384" s="42" t="s">
        <v>480</v>
      </c>
      <c r="E384" s="42"/>
      <c r="F384" s="7">
        <f>F385</f>
        <v>4825.8999999999996</v>
      </c>
    </row>
    <row r="385" spans="1:6" ht="47.25" x14ac:dyDescent="0.25">
      <c r="A385" s="31" t="s">
        <v>335</v>
      </c>
      <c r="B385" s="42" t="s">
        <v>327</v>
      </c>
      <c r="C385" s="42" t="s">
        <v>181</v>
      </c>
      <c r="D385" s="42" t="s">
        <v>480</v>
      </c>
      <c r="E385" s="42" t="s">
        <v>336</v>
      </c>
      <c r="F385" s="7">
        <f>F386</f>
        <v>4825.8999999999996</v>
      </c>
    </row>
    <row r="386" spans="1:6" ht="15.75" x14ac:dyDescent="0.25">
      <c r="A386" s="31" t="s">
        <v>337</v>
      </c>
      <c r="B386" s="42" t="s">
        <v>327</v>
      </c>
      <c r="C386" s="42" t="s">
        <v>181</v>
      </c>
      <c r="D386" s="42" t="s">
        <v>480</v>
      </c>
      <c r="E386" s="42" t="s">
        <v>338</v>
      </c>
      <c r="F386" s="7">
        <f>'Прил.№4 ведомств.'!G533</f>
        <v>4825.8999999999996</v>
      </c>
    </row>
    <row r="387" spans="1:6" ht="31.5" x14ac:dyDescent="0.25">
      <c r="A387" s="31" t="s">
        <v>347</v>
      </c>
      <c r="B387" s="42" t="s">
        <v>327</v>
      </c>
      <c r="C387" s="42" t="s">
        <v>181</v>
      </c>
      <c r="D387" s="42" t="s">
        <v>481</v>
      </c>
      <c r="E387" s="42"/>
      <c r="F387" s="7">
        <f>F388</f>
        <v>231.4</v>
      </c>
    </row>
    <row r="388" spans="1:6" ht="47.25" x14ac:dyDescent="0.25">
      <c r="A388" s="31" t="s">
        <v>335</v>
      </c>
      <c r="B388" s="42" t="s">
        <v>327</v>
      </c>
      <c r="C388" s="42" t="s">
        <v>181</v>
      </c>
      <c r="D388" s="42" t="s">
        <v>481</v>
      </c>
      <c r="E388" s="42" t="s">
        <v>336</v>
      </c>
      <c r="F388" s="7">
        <f>F389</f>
        <v>231.4</v>
      </c>
    </row>
    <row r="389" spans="1:6" ht="15.75" x14ac:dyDescent="0.25">
      <c r="A389" s="31" t="s">
        <v>337</v>
      </c>
      <c r="B389" s="42" t="s">
        <v>327</v>
      </c>
      <c r="C389" s="42" t="s">
        <v>181</v>
      </c>
      <c r="D389" s="42" t="s">
        <v>481</v>
      </c>
      <c r="E389" s="42" t="s">
        <v>338</v>
      </c>
      <c r="F389" s="7">
        <f>'Прил.№4 ведомств.'!G536</f>
        <v>231.4</v>
      </c>
    </row>
    <row r="390" spans="1:6" ht="15.75" hidden="1" x14ac:dyDescent="0.25">
      <c r="A390" s="31" t="s">
        <v>678</v>
      </c>
      <c r="B390" s="42" t="s">
        <v>327</v>
      </c>
      <c r="C390" s="42" t="s">
        <v>181</v>
      </c>
      <c r="D390" s="42" t="s">
        <v>680</v>
      </c>
      <c r="E390" s="42" t="s">
        <v>679</v>
      </c>
      <c r="F390" s="7">
        <v>0</v>
      </c>
    </row>
    <row r="391" spans="1:6" ht="15.75" x14ac:dyDescent="0.25">
      <c r="A391" s="31" t="s">
        <v>184</v>
      </c>
      <c r="B391" s="42" t="s">
        <v>327</v>
      </c>
      <c r="C391" s="42" t="s">
        <v>181</v>
      </c>
      <c r="D391" s="42" t="s">
        <v>185</v>
      </c>
      <c r="E391" s="42"/>
      <c r="F391" s="7">
        <f>F392</f>
        <v>61470</v>
      </c>
    </row>
    <row r="392" spans="1:6" ht="31.5" x14ac:dyDescent="0.25">
      <c r="A392" s="31" t="s">
        <v>248</v>
      </c>
      <c r="B392" s="42" t="s">
        <v>327</v>
      </c>
      <c r="C392" s="42" t="s">
        <v>181</v>
      </c>
      <c r="D392" s="42" t="s">
        <v>249</v>
      </c>
      <c r="E392" s="42"/>
      <c r="F392" s="7">
        <f>F393+F396+F399+F402+F405</f>
        <v>61470</v>
      </c>
    </row>
    <row r="393" spans="1:6" ht="63" x14ac:dyDescent="0.25">
      <c r="A393" s="47" t="s">
        <v>352</v>
      </c>
      <c r="B393" s="42" t="s">
        <v>327</v>
      </c>
      <c r="C393" s="42" t="s">
        <v>181</v>
      </c>
      <c r="D393" s="42" t="s">
        <v>353</v>
      </c>
      <c r="E393" s="42"/>
      <c r="F393" s="7">
        <f>F394</f>
        <v>336.3</v>
      </c>
    </row>
    <row r="394" spans="1:6" ht="47.25" x14ac:dyDescent="0.25">
      <c r="A394" s="31" t="s">
        <v>335</v>
      </c>
      <c r="B394" s="42" t="s">
        <v>327</v>
      </c>
      <c r="C394" s="42" t="s">
        <v>181</v>
      </c>
      <c r="D394" s="42" t="s">
        <v>353</v>
      </c>
      <c r="E394" s="42" t="s">
        <v>336</v>
      </c>
      <c r="F394" s="7">
        <f>F395</f>
        <v>336.3</v>
      </c>
    </row>
    <row r="395" spans="1:6" ht="15.75" x14ac:dyDescent="0.25">
      <c r="A395" s="31" t="s">
        <v>337</v>
      </c>
      <c r="B395" s="42" t="s">
        <v>327</v>
      </c>
      <c r="C395" s="42" t="s">
        <v>181</v>
      </c>
      <c r="D395" s="42" t="s">
        <v>353</v>
      </c>
      <c r="E395" s="42" t="s">
        <v>338</v>
      </c>
      <c r="F395" s="7">
        <f>'Прил.№4 ведомств.'!G544</f>
        <v>336.3</v>
      </c>
    </row>
    <row r="396" spans="1:6" ht="63" x14ac:dyDescent="0.25">
      <c r="A396" s="47" t="s">
        <v>484</v>
      </c>
      <c r="B396" s="42" t="s">
        <v>327</v>
      </c>
      <c r="C396" s="42" t="s">
        <v>181</v>
      </c>
      <c r="D396" s="42" t="s">
        <v>355</v>
      </c>
      <c r="E396" s="42"/>
      <c r="F396" s="7">
        <f>F397</f>
        <v>1548.6999999999998</v>
      </c>
    </row>
    <row r="397" spans="1:6" ht="47.25" x14ac:dyDescent="0.25">
      <c r="A397" s="31" t="s">
        <v>335</v>
      </c>
      <c r="B397" s="42" t="s">
        <v>327</v>
      </c>
      <c r="C397" s="42" t="s">
        <v>181</v>
      </c>
      <c r="D397" s="42" t="s">
        <v>355</v>
      </c>
      <c r="E397" s="42" t="s">
        <v>336</v>
      </c>
      <c r="F397" s="7">
        <f>F398</f>
        <v>1548.6999999999998</v>
      </c>
    </row>
    <row r="398" spans="1:6" ht="15.75" x14ac:dyDescent="0.25">
      <c r="A398" s="31" t="s">
        <v>337</v>
      </c>
      <c r="B398" s="42" t="s">
        <v>327</v>
      </c>
      <c r="C398" s="42" t="s">
        <v>181</v>
      </c>
      <c r="D398" s="42" t="s">
        <v>355</v>
      </c>
      <c r="E398" s="42" t="s">
        <v>338</v>
      </c>
      <c r="F398" s="7">
        <f>'Прил.№4 ведомств.'!G547</f>
        <v>1548.6999999999998</v>
      </c>
    </row>
    <row r="399" spans="1:6" ht="94.5" x14ac:dyDescent="0.25">
      <c r="A399" s="33" t="s">
        <v>485</v>
      </c>
      <c r="B399" s="42" t="s">
        <v>327</v>
      </c>
      <c r="C399" s="42" t="s">
        <v>181</v>
      </c>
      <c r="D399" s="42" t="s">
        <v>486</v>
      </c>
      <c r="E399" s="42"/>
      <c r="F399" s="7">
        <f>F400</f>
        <v>56320</v>
      </c>
    </row>
    <row r="400" spans="1:6" ht="47.25" x14ac:dyDescent="0.25">
      <c r="A400" s="31" t="s">
        <v>335</v>
      </c>
      <c r="B400" s="42" t="s">
        <v>327</v>
      </c>
      <c r="C400" s="42" t="s">
        <v>181</v>
      </c>
      <c r="D400" s="42" t="s">
        <v>486</v>
      </c>
      <c r="E400" s="42" t="s">
        <v>336</v>
      </c>
      <c r="F400" s="7">
        <f>F401</f>
        <v>56320</v>
      </c>
    </row>
    <row r="401" spans="1:6" ht="15.75" x14ac:dyDescent="0.25">
      <c r="A401" s="31" t="s">
        <v>337</v>
      </c>
      <c r="B401" s="42" t="s">
        <v>327</v>
      </c>
      <c r="C401" s="42" t="s">
        <v>181</v>
      </c>
      <c r="D401" s="42" t="s">
        <v>486</v>
      </c>
      <c r="E401" s="42" t="s">
        <v>338</v>
      </c>
      <c r="F401" s="7">
        <f>'Прил.№4 ведомств.'!G550</f>
        <v>56320</v>
      </c>
    </row>
    <row r="402" spans="1:6" ht="94.5" x14ac:dyDescent="0.25">
      <c r="A402" s="47" t="s">
        <v>356</v>
      </c>
      <c r="B402" s="42" t="s">
        <v>327</v>
      </c>
      <c r="C402" s="42" t="s">
        <v>181</v>
      </c>
      <c r="D402" s="21" t="s">
        <v>357</v>
      </c>
      <c r="E402" s="42"/>
      <c r="F402" s="7">
        <f>F403</f>
        <v>3265</v>
      </c>
    </row>
    <row r="403" spans="1:6" ht="47.25" x14ac:dyDescent="0.25">
      <c r="A403" s="31" t="s">
        <v>335</v>
      </c>
      <c r="B403" s="42" t="s">
        <v>327</v>
      </c>
      <c r="C403" s="42" t="s">
        <v>181</v>
      </c>
      <c r="D403" s="21" t="s">
        <v>357</v>
      </c>
      <c r="E403" s="42" t="s">
        <v>336</v>
      </c>
      <c r="F403" s="7">
        <f>F404</f>
        <v>3265</v>
      </c>
    </row>
    <row r="404" spans="1:6" ht="15.75" x14ac:dyDescent="0.25">
      <c r="A404" s="31" t="s">
        <v>337</v>
      </c>
      <c r="B404" s="42" t="s">
        <v>327</v>
      </c>
      <c r="C404" s="42" t="s">
        <v>181</v>
      </c>
      <c r="D404" s="21" t="s">
        <v>357</v>
      </c>
      <c r="E404" s="42" t="s">
        <v>338</v>
      </c>
      <c r="F404" s="7">
        <f>'Прил.№4 ведомств.'!G553</f>
        <v>3265</v>
      </c>
    </row>
    <row r="405" spans="1:6" ht="141.75" hidden="1" x14ac:dyDescent="0.25">
      <c r="A405" s="26" t="s">
        <v>487</v>
      </c>
      <c r="B405" s="42" t="s">
        <v>327</v>
      </c>
      <c r="C405" s="42" t="s">
        <v>181</v>
      </c>
      <c r="D405" s="21" t="s">
        <v>488</v>
      </c>
      <c r="E405" s="42"/>
      <c r="F405" s="7">
        <f>F406</f>
        <v>0</v>
      </c>
    </row>
    <row r="406" spans="1:6" ht="47.25" hidden="1" x14ac:dyDescent="0.25">
      <c r="A406" s="26" t="s">
        <v>335</v>
      </c>
      <c r="B406" s="42" t="s">
        <v>327</v>
      </c>
      <c r="C406" s="42" t="s">
        <v>181</v>
      </c>
      <c r="D406" s="21" t="s">
        <v>488</v>
      </c>
      <c r="E406" s="42" t="s">
        <v>336</v>
      </c>
      <c r="F406" s="7">
        <f>F407</f>
        <v>0</v>
      </c>
    </row>
    <row r="407" spans="1:6" ht="15.75" hidden="1" x14ac:dyDescent="0.25">
      <c r="A407" s="26" t="s">
        <v>337</v>
      </c>
      <c r="B407" s="42" t="s">
        <v>327</v>
      </c>
      <c r="C407" s="42" t="s">
        <v>181</v>
      </c>
      <c r="D407" s="21" t="s">
        <v>488</v>
      </c>
      <c r="E407" s="42" t="s">
        <v>338</v>
      </c>
      <c r="F407" s="7">
        <v>0</v>
      </c>
    </row>
    <row r="408" spans="1:6" ht="15.75" x14ac:dyDescent="0.25">
      <c r="A408" s="43" t="s">
        <v>489</v>
      </c>
      <c r="B408" s="8" t="s">
        <v>327</v>
      </c>
      <c r="C408" s="8" t="s">
        <v>276</v>
      </c>
      <c r="D408" s="8"/>
      <c r="E408" s="8"/>
      <c r="F408" s="4">
        <f>F409+F449</f>
        <v>126425.1</v>
      </c>
    </row>
    <row r="409" spans="1:6" ht="47.25" x14ac:dyDescent="0.25">
      <c r="A409" s="31" t="s">
        <v>490</v>
      </c>
      <c r="B409" s="42" t="s">
        <v>327</v>
      </c>
      <c r="C409" s="42" t="s">
        <v>276</v>
      </c>
      <c r="D409" s="42" t="s">
        <v>470</v>
      </c>
      <c r="E409" s="42"/>
      <c r="F409" s="7">
        <f>F410+F414</f>
        <v>37008.699999999997</v>
      </c>
    </row>
    <row r="410" spans="1:6" ht="31.5" x14ac:dyDescent="0.25">
      <c r="A410" s="31" t="s">
        <v>471</v>
      </c>
      <c r="B410" s="42" t="s">
        <v>327</v>
      </c>
      <c r="C410" s="42" t="s">
        <v>276</v>
      </c>
      <c r="D410" s="42" t="s">
        <v>472</v>
      </c>
      <c r="E410" s="42"/>
      <c r="F410" s="7">
        <f>F411</f>
        <v>32735.699999999997</v>
      </c>
    </row>
    <row r="411" spans="1:6" ht="47.25" x14ac:dyDescent="0.25">
      <c r="A411" s="31" t="s">
        <v>491</v>
      </c>
      <c r="B411" s="42" t="s">
        <v>327</v>
      </c>
      <c r="C411" s="42" t="s">
        <v>276</v>
      </c>
      <c r="D411" s="42" t="s">
        <v>492</v>
      </c>
      <c r="E411" s="42"/>
      <c r="F411" s="7">
        <f>F412</f>
        <v>32735.699999999997</v>
      </c>
    </row>
    <row r="412" spans="1:6" ht="47.25" x14ac:dyDescent="0.25">
      <c r="A412" s="31" t="s">
        <v>335</v>
      </c>
      <c r="B412" s="42" t="s">
        <v>327</v>
      </c>
      <c r="C412" s="42" t="s">
        <v>276</v>
      </c>
      <c r="D412" s="42" t="s">
        <v>492</v>
      </c>
      <c r="E412" s="42" t="s">
        <v>336</v>
      </c>
      <c r="F412" s="63">
        <f>F413</f>
        <v>32735.699999999997</v>
      </c>
    </row>
    <row r="413" spans="1:6" ht="15.75" x14ac:dyDescent="0.25">
      <c r="A413" s="31" t="s">
        <v>337</v>
      </c>
      <c r="B413" s="42" t="s">
        <v>327</v>
      </c>
      <c r="C413" s="42" t="s">
        <v>276</v>
      </c>
      <c r="D413" s="42" t="s">
        <v>492</v>
      </c>
      <c r="E413" s="42" t="s">
        <v>338</v>
      </c>
      <c r="F413" s="63">
        <f>'Прил.№4 ведомств.'!G562</f>
        <v>32735.699999999997</v>
      </c>
    </row>
    <row r="414" spans="1:6" ht="31.5" x14ac:dyDescent="0.25">
      <c r="A414" s="31" t="s">
        <v>494</v>
      </c>
      <c r="B414" s="42" t="s">
        <v>327</v>
      </c>
      <c r="C414" s="42" t="s">
        <v>276</v>
      </c>
      <c r="D414" s="42" t="s">
        <v>495</v>
      </c>
      <c r="E414" s="42"/>
      <c r="F414" s="7">
        <f>F415+F429+F438+F445+F419+F422+F441+F432+F426+F435</f>
        <v>4273</v>
      </c>
    </row>
    <row r="415" spans="1:6" ht="47.25" hidden="1" x14ac:dyDescent="0.25">
      <c r="A415" s="31" t="s">
        <v>675</v>
      </c>
      <c r="B415" s="42" t="s">
        <v>327</v>
      </c>
      <c r="C415" s="42" t="s">
        <v>276</v>
      </c>
      <c r="D415" s="42" t="s">
        <v>681</v>
      </c>
      <c r="E415" s="42"/>
      <c r="F415" s="7">
        <f>F416</f>
        <v>0</v>
      </c>
    </row>
    <row r="416" spans="1:6" ht="47.25" hidden="1" x14ac:dyDescent="0.25">
      <c r="A416" s="31" t="s">
        <v>335</v>
      </c>
      <c r="B416" s="42" t="s">
        <v>327</v>
      </c>
      <c r="C416" s="42" t="s">
        <v>276</v>
      </c>
      <c r="D416" s="42" t="s">
        <v>681</v>
      </c>
      <c r="E416" s="42" t="s">
        <v>336</v>
      </c>
      <c r="F416" s="7">
        <f>F417</f>
        <v>0</v>
      </c>
    </row>
    <row r="417" spans="1:6" ht="15.75" hidden="1" x14ac:dyDescent="0.25">
      <c r="A417" s="31" t="s">
        <v>337</v>
      </c>
      <c r="B417" s="42" t="s">
        <v>327</v>
      </c>
      <c r="C417" s="42" t="s">
        <v>276</v>
      </c>
      <c r="D417" s="42" t="s">
        <v>681</v>
      </c>
      <c r="E417" s="42" t="s">
        <v>338</v>
      </c>
      <c r="F417" s="7">
        <f>F418</f>
        <v>0</v>
      </c>
    </row>
    <row r="418" spans="1:6" ht="15.75" hidden="1" x14ac:dyDescent="0.25">
      <c r="A418" s="31" t="s">
        <v>678</v>
      </c>
      <c r="B418" s="42" t="s">
        <v>327</v>
      </c>
      <c r="C418" s="42" t="s">
        <v>276</v>
      </c>
      <c r="D418" s="42" t="s">
        <v>681</v>
      </c>
      <c r="E418" s="42" t="s">
        <v>679</v>
      </c>
      <c r="F418" s="7"/>
    </row>
    <row r="419" spans="1:6" ht="47.25" hidden="1" x14ac:dyDescent="0.25">
      <c r="A419" s="31" t="s">
        <v>496</v>
      </c>
      <c r="B419" s="42" t="s">
        <v>327</v>
      </c>
      <c r="C419" s="42" t="s">
        <v>276</v>
      </c>
      <c r="D419" s="42" t="s">
        <v>497</v>
      </c>
      <c r="E419" s="42"/>
      <c r="F419" s="7">
        <f>F420</f>
        <v>0</v>
      </c>
    </row>
    <row r="420" spans="1:6" ht="47.25" hidden="1" x14ac:dyDescent="0.25">
      <c r="A420" s="31" t="s">
        <v>335</v>
      </c>
      <c r="B420" s="42" t="s">
        <v>327</v>
      </c>
      <c r="C420" s="42" t="s">
        <v>276</v>
      </c>
      <c r="D420" s="42" t="s">
        <v>497</v>
      </c>
      <c r="E420" s="42" t="s">
        <v>336</v>
      </c>
      <c r="F420" s="7">
        <f>F421</f>
        <v>0</v>
      </c>
    </row>
    <row r="421" spans="1:6" ht="15.75" hidden="1" x14ac:dyDescent="0.25">
      <c r="A421" s="31" t="s">
        <v>337</v>
      </c>
      <c r="B421" s="42" t="s">
        <v>327</v>
      </c>
      <c r="C421" s="42" t="s">
        <v>276</v>
      </c>
      <c r="D421" s="42" t="s">
        <v>497</v>
      </c>
      <c r="E421" s="42" t="s">
        <v>338</v>
      </c>
      <c r="F421" s="7"/>
    </row>
    <row r="422" spans="1:6" ht="31.5" hidden="1" x14ac:dyDescent="0.25">
      <c r="A422" s="31" t="s">
        <v>343</v>
      </c>
      <c r="B422" s="42" t="s">
        <v>327</v>
      </c>
      <c r="C422" s="42" t="s">
        <v>276</v>
      </c>
      <c r="D422" s="42" t="s">
        <v>682</v>
      </c>
      <c r="E422" s="42"/>
      <c r="F422" s="7">
        <f>F423</f>
        <v>0</v>
      </c>
    </row>
    <row r="423" spans="1:6" ht="47.25" hidden="1" x14ac:dyDescent="0.25">
      <c r="A423" s="31" t="s">
        <v>335</v>
      </c>
      <c r="B423" s="42" t="s">
        <v>327</v>
      </c>
      <c r="C423" s="42" t="s">
        <v>276</v>
      </c>
      <c r="D423" s="42" t="s">
        <v>682</v>
      </c>
      <c r="E423" s="42" t="s">
        <v>336</v>
      </c>
      <c r="F423" s="7">
        <f>F424</f>
        <v>0</v>
      </c>
    </row>
    <row r="424" spans="1:6" ht="15.75" hidden="1" x14ac:dyDescent="0.25">
      <c r="A424" s="31" t="s">
        <v>337</v>
      </c>
      <c r="B424" s="42" t="s">
        <v>327</v>
      </c>
      <c r="C424" s="42" t="s">
        <v>276</v>
      </c>
      <c r="D424" s="42" t="s">
        <v>682</v>
      </c>
      <c r="E424" s="42" t="s">
        <v>338</v>
      </c>
      <c r="F424" s="7">
        <f>F425</f>
        <v>0</v>
      </c>
    </row>
    <row r="425" spans="1:6" ht="15.75" hidden="1" x14ac:dyDescent="0.25">
      <c r="A425" s="31" t="s">
        <v>678</v>
      </c>
      <c r="B425" s="42" t="s">
        <v>327</v>
      </c>
      <c r="C425" s="42" t="s">
        <v>276</v>
      </c>
      <c r="D425" s="42" t="s">
        <v>682</v>
      </c>
      <c r="E425" s="42" t="s">
        <v>679</v>
      </c>
      <c r="F425" s="7">
        <v>0</v>
      </c>
    </row>
    <row r="426" spans="1:6" ht="31.5" hidden="1" x14ac:dyDescent="0.25">
      <c r="A426" s="26" t="s">
        <v>498</v>
      </c>
      <c r="B426" s="42" t="s">
        <v>327</v>
      </c>
      <c r="C426" s="42" t="s">
        <v>276</v>
      </c>
      <c r="D426" s="42" t="s">
        <v>499</v>
      </c>
      <c r="E426" s="42"/>
      <c r="F426" s="7">
        <f>F427</f>
        <v>0</v>
      </c>
    </row>
    <row r="427" spans="1:6" ht="47.25" hidden="1" x14ac:dyDescent="0.25">
      <c r="A427" s="26" t="s">
        <v>335</v>
      </c>
      <c r="B427" s="42" t="s">
        <v>327</v>
      </c>
      <c r="C427" s="42" t="s">
        <v>276</v>
      </c>
      <c r="D427" s="42" t="s">
        <v>499</v>
      </c>
      <c r="E427" s="42" t="s">
        <v>336</v>
      </c>
      <c r="F427" s="7">
        <f>F428</f>
        <v>0</v>
      </c>
    </row>
    <row r="428" spans="1:6" ht="15.75" hidden="1" x14ac:dyDescent="0.25">
      <c r="A428" s="26" t="s">
        <v>337</v>
      </c>
      <c r="B428" s="42" t="s">
        <v>327</v>
      </c>
      <c r="C428" s="42" t="s">
        <v>276</v>
      </c>
      <c r="D428" s="42" t="s">
        <v>499</v>
      </c>
      <c r="E428" s="42" t="s">
        <v>338</v>
      </c>
      <c r="F428" s="7"/>
    </row>
    <row r="429" spans="1:6" ht="47.25" x14ac:dyDescent="0.25">
      <c r="A429" s="31" t="s">
        <v>683</v>
      </c>
      <c r="B429" s="42" t="s">
        <v>327</v>
      </c>
      <c r="C429" s="42" t="s">
        <v>276</v>
      </c>
      <c r="D429" s="42" t="s">
        <v>501</v>
      </c>
      <c r="E429" s="42"/>
      <c r="F429" s="7">
        <f>F430</f>
        <v>2690</v>
      </c>
    </row>
    <row r="430" spans="1:6" ht="47.25" x14ac:dyDescent="0.25">
      <c r="A430" s="31" t="s">
        <v>335</v>
      </c>
      <c r="B430" s="42" t="s">
        <v>327</v>
      </c>
      <c r="C430" s="42" t="s">
        <v>276</v>
      </c>
      <c r="D430" s="42" t="s">
        <v>501</v>
      </c>
      <c r="E430" s="42" t="s">
        <v>336</v>
      </c>
      <c r="F430" s="7">
        <f>F431</f>
        <v>2690</v>
      </c>
    </row>
    <row r="431" spans="1:6" ht="15.75" x14ac:dyDescent="0.25">
      <c r="A431" s="31" t="s">
        <v>337</v>
      </c>
      <c r="B431" s="42" t="s">
        <v>327</v>
      </c>
      <c r="C431" s="42" t="s">
        <v>276</v>
      </c>
      <c r="D431" s="42" t="s">
        <v>501</v>
      </c>
      <c r="E431" s="42" t="s">
        <v>338</v>
      </c>
      <c r="F431" s="7">
        <f>'Прил.№4 ведомств.'!G572</f>
        <v>2690</v>
      </c>
    </row>
    <row r="432" spans="1:6" ht="63" x14ac:dyDescent="0.25">
      <c r="A432" s="26" t="s">
        <v>502</v>
      </c>
      <c r="B432" s="42" t="s">
        <v>327</v>
      </c>
      <c r="C432" s="42" t="s">
        <v>276</v>
      </c>
      <c r="D432" s="21" t="s">
        <v>503</v>
      </c>
      <c r="E432" s="42"/>
      <c r="F432" s="7">
        <f>F433</f>
        <v>320</v>
      </c>
    </row>
    <row r="433" spans="1:6" ht="47.25" x14ac:dyDescent="0.25">
      <c r="A433" s="26" t="s">
        <v>335</v>
      </c>
      <c r="B433" s="42" t="s">
        <v>327</v>
      </c>
      <c r="C433" s="42" t="s">
        <v>276</v>
      </c>
      <c r="D433" s="21" t="s">
        <v>503</v>
      </c>
      <c r="E433" s="42" t="s">
        <v>336</v>
      </c>
      <c r="F433" s="7">
        <f>F434</f>
        <v>320</v>
      </c>
    </row>
    <row r="434" spans="1:6" ht="15.75" x14ac:dyDescent="0.25">
      <c r="A434" s="26" t="s">
        <v>337</v>
      </c>
      <c r="B434" s="42" t="s">
        <v>327</v>
      </c>
      <c r="C434" s="42" t="s">
        <v>276</v>
      </c>
      <c r="D434" s="21" t="s">
        <v>503</v>
      </c>
      <c r="E434" s="42" t="s">
        <v>338</v>
      </c>
      <c r="F434" s="7">
        <f>'Прил.№4 ведомств.'!G575</f>
        <v>320</v>
      </c>
    </row>
    <row r="435" spans="1:6" ht="31.5" x14ac:dyDescent="0.25">
      <c r="A435" s="26" t="s">
        <v>684</v>
      </c>
      <c r="B435" s="42" t="s">
        <v>327</v>
      </c>
      <c r="C435" s="42" t="s">
        <v>276</v>
      </c>
      <c r="D435" s="21" t="s">
        <v>506</v>
      </c>
      <c r="E435" s="42"/>
      <c r="F435" s="7">
        <f>F436</f>
        <v>841</v>
      </c>
    </row>
    <row r="436" spans="1:6" ht="47.25" x14ac:dyDescent="0.25">
      <c r="A436" s="26" t="s">
        <v>335</v>
      </c>
      <c r="B436" s="42" t="s">
        <v>327</v>
      </c>
      <c r="C436" s="42" t="s">
        <v>276</v>
      </c>
      <c r="D436" s="21" t="s">
        <v>506</v>
      </c>
      <c r="E436" s="42" t="s">
        <v>336</v>
      </c>
      <c r="F436" s="7">
        <f>F437</f>
        <v>841</v>
      </c>
    </row>
    <row r="437" spans="1:6" ht="15.75" x14ac:dyDescent="0.25">
      <c r="A437" s="26" t="s">
        <v>337</v>
      </c>
      <c r="B437" s="42" t="s">
        <v>327</v>
      </c>
      <c r="C437" s="42" t="s">
        <v>276</v>
      </c>
      <c r="D437" s="21" t="s">
        <v>506</v>
      </c>
      <c r="E437" s="42" t="s">
        <v>338</v>
      </c>
      <c r="F437" s="7">
        <f>'Прил.№4 ведомств.'!G581</f>
        <v>841</v>
      </c>
    </row>
    <row r="438" spans="1:6" ht="31.5" x14ac:dyDescent="0.25">
      <c r="A438" s="31" t="s">
        <v>345</v>
      </c>
      <c r="B438" s="42" t="s">
        <v>327</v>
      </c>
      <c r="C438" s="42" t="s">
        <v>276</v>
      </c>
      <c r="D438" s="42" t="s">
        <v>508</v>
      </c>
      <c r="E438" s="42"/>
      <c r="F438" s="7">
        <f>F439</f>
        <v>192.6</v>
      </c>
    </row>
    <row r="439" spans="1:6" ht="47.25" x14ac:dyDescent="0.25">
      <c r="A439" s="31" t="s">
        <v>335</v>
      </c>
      <c r="B439" s="42" t="s">
        <v>327</v>
      </c>
      <c r="C439" s="42" t="s">
        <v>276</v>
      </c>
      <c r="D439" s="42" t="s">
        <v>508</v>
      </c>
      <c r="E439" s="42" t="s">
        <v>336</v>
      </c>
      <c r="F439" s="7">
        <f>F440</f>
        <v>192.6</v>
      </c>
    </row>
    <row r="440" spans="1:6" ht="15.75" x14ac:dyDescent="0.25">
      <c r="A440" s="31" t="s">
        <v>337</v>
      </c>
      <c r="B440" s="42" t="s">
        <v>327</v>
      </c>
      <c r="C440" s="42" t="s">
        <v>276</v>
      </c>
      <c r="D440" s="42" t="s">
        <v>508</v>
      </c>
      <c r="E440" s="42" t="s">
        <v>338</v>
      </c>
      <c r="F440" s="7">
        <f>'Прил.№4 ведомств.'!G587</f>
        <v>192.6</v>
      </c>
    </row>
    <row r="441" spans="1:6" ht="31.5" x14ac:dyDescent="0.25">
      <c r="A441" s="31" t="s">
        <v>347</v>
      </c>
      <c r="B441" s="42" t="s">
        <v>327</v>
      </c>
      <c r="C441" s="42" t="s">
        <v>276</v>
      </c>
      <c r="D441" s="42" t="s">
        <v>509</v>
      </c>
      <c r="E441" s="42"/>
      <c r="F441" s="7">
        <f>F442</f>
        <v>229.4</v>
      </c>
    </row>
    <row r="442" spans="1:6" ht="47.25" x14ac:dyDescent="0.25">
      <c r="A442" s="31" t="s">
        <v>335</v>
      </c>
      <c r="B442" s="42" t="s">
        <v>327</v>
      </c>
      <c r="C442" s="42" t="s">
        <v>276</v>
      </c>
      <c r="D442" s="42" t="s">
        <v>509</v>
      </c>
      <c r="E442" s="42" t="s">
        <v>336</v>
      </c>
      <c r="F442" s="7">
        <f>F443</f>
        <v>229.4</v>
      </c>
    </row>
    <row r="443" spans="1:6" ht="15.75" x14ac:dyDescent="0.25">
      <c r="A443" s="31" t="s">
        <v>337</v>
      </c>
      <c r="B443" s="42" t="s">
        <v>327</v>
      </c>
      <c r="C443" s="42" t="s">
        <v>276</v>
      </c>
      <c r="D443" s="42" t="s">
        <v>509</v>
      </c>
      <c r="E443" s="42" t="s">
        <v>338</v>
      </c>
      <c r="F443" s="7">
        <f>'Прил.№4 ведомств.'!G590</f>
        <v>229.4</v>
      </c>
    </row>
    <row r="444" spans="1:6" ht="15.75" hidden="1" x14ac:dyDescent="0.25">
      <c r="A444" s="31" t="s">
        <v>678</v>
      </c>
      <c r="B444" s="42" t="s">
        <v>327</v>
      </c>
      <c r="C444" s="42" t="s">
        <v>276</v>
      </c>
      <c r="D444" s="42" t="s">
        <v>509</v>
      </c>
      <c r="E444" s="42" t="s">
        <v>679</v>
      </c>
      <c r="F444" s="7">
        <v>0</v>
      </c>
    </row>
    <row r="445" spans="1:6" ht="31.5" hidden="1" x14ac:dyDescent="0.25">
      <c r="A445" s="31" t="s">
        <v>686</v>
      </c>
      <c r="B445" s="42" t="s">
        <v>327</v>
      </c>
      <c r="C445" s="42" t="s">
        <v>276</v>
      </c>
      <c r="D445" s="42" t="s">
        <v>687</v>
      </c>
      <c r="E445" s="42"/>
      <c r="F445" s="7">
        <f>F446</f>
        <v>0</v>
      </c>
    </row>
    <row r="446" spans="1:6" ht="47.25" hidden="1" x14ac:dyDescent="0.25">
      <c r="A446" s="31" t="s">
        <v>335</v>
      </c>
      <c r="B446" s="42" t="s">
        <v>327</v>
      </c>
      <c r="C446" s="42" t="s">
        <v>276</v>
      </c>
      <c r="D446" s="42" t="s">
        <v>687</v>
      </c>
      <c r="E446" s="42" t="s">
        <v>336</v>
      </c>
      <c r="F446" s="7">
        <f>F447</f>
        <v>0</v>
      </c>
    </row>
    <row r="447" spans="1:6" ht="15.75" hidden="1" x14ac:dyDescent="0.25">
      <c r="A447" s="31" t="s">
        <v>337</v>
      </c>
      <c r="B447" s="42" t="s">
        <v>327</v>
      </c>
      <c r="C447" s="42" t="s">
        <v>276</v>
      </c>
      <c r="D447" s="42" t="s">
        <v>687</v>
      </c>
      <c r="E447" s="42" t="s">
        <v>338</v>
      </c>
      <c r="F447" s="7">
        <f>F448</f>
        <v>0</v>
      </c>
    </row>
    <row r="448" spans="1:6" ht="15.75" hidden="1" x14ac:dyDescent="0.25">
      <c r="A448" s="31" t="s">
        <v>678</v>
      </c>
      <c r="B448" s="42" t="s">
        <v>327</v>
      </c>
      <c r="C448" s="42" t="s">
        <v>276</v>
      </c>
      <c r="D448" s="42" t="s">
        <v>687</v>
      </c>
      <c r="E448" s="42" t="s">
        <v>679</v>
      </c>
      <c r="F448" s="7">
        <v>0</v>
      </c>
    </row>
    <row r="449" spans="1:6" ht="15.75" x14ac:dyDescent="0.25">
      <c r="A449" s="31" t="s">
        <v>184</v>
      </c>
      <c r="B449" s="42" t="s">
        <v>327</v>
      </c>
      <c r="C449" s="42" t="s">
        <v>276</v>
      </c>
      <c r="D449" s="42" t="s">
        <v>185</v>
      </c>
      <c r="E449" s="42"/>
      <c r="F449" s="7">
        <f>F450</f>
        <v>89416.400000000009</v>
      </c>
    </row>
    <row r="450" spans="1:6" ht="31.5" x14ac:dyDescent="0.25">
      <c r="A450" s="31" t="s">
        <v>248</v>
      </c>
      <c r="B450" s="42" t="s">
        <v>327</v>
      </c>
      <c r="C450" s="42" t="s">
        <v>276</v>
      </c>
      <c r="D450" s="42" t="s">
        <v>249</v>
      </c>
      <c r="E450" s="42"/>
      <c r="F450" s="7">
        <f>F451+F454+F457+F460+F466+F469+F472+F475+F478+F463</f>
        <v>89416.400000000009</v>
      </c>
    </row>
    <row r="451" spans="1:6" ht="47.25" hidden="1" x14ac:dyDescent="0.25">
      <c r="A451" s="26" t="s">
        <v>514</v>
      </c>
      <c r="B451" s="21" t="s">
        <v>327</v>
      </c>
      <c r="C451" s="21" t="s">
        <v>276</v>
      </c>
      <c r="D451" s="21" t="s">
        <v>515</v>
      </c>
      <c r="E451" s="21"/>
      <c r="F451" s="7">
        <f>F452</f>
        <v>0</v>
      </c>
    </row>
    <row r="452" spans="1:6" ht="47.25" hidden="1" x14ac:dyDescent="0.25">
      <c r="A452" s="26" t="s">
        <v>335</v>
      </c>
      <c r="B452" s="21" t="s">
        <v>327</v>
      </c>
      <c r="C452" s="21" t="s">
        <v>276</v>
      </c>
      <c r="D452" s="21" t="s">
        <v>515</v>
      </c>
      <c r="E452" s="21" t="s">
        <v>336</v>
      </c>
      <c r="F452" s="7">
        <f>F453</f>
        <v>0</v>
      </c>
    </row>
    <row r="453" spans="1:6" ht="15.75" hidden="1" x14ac:dyDescent="0.25">
      <c r="A453" s="26" t="s">
        <v>337</v>
      </c>
      <c r="B453" s="21" t="s">
        <v>327</v>
      </c>
      <c r="C453" s="21" t="s">
        <v>276</v>
      </c>
      <c r="D453" s="21" t="s">
        <v>515</v>
      </c>
      <c r="E453" s="21" t="s">
        <v>338</v>
      </c>
      <c r="F453" s="7"/>
    </row>
    <row r="454" spans="1:6" ht="15.75" hidden="1" x14ac:dyDescent="0.25">
      <c r="A454" s="26" t="s">
        <v>516</v>
      </c>
      <c r="B454" s="21" t="s">
        <v>327</v>
      </c>
      <c r="C454" s="21" t="s">
        <v>276</v>
      </c>
      <c r="D454" s="21" t="s">
        <v>517</v>
      </c>
      <c r="E454" s="21"/>
      <c r="F454" s="7">
        <f>F455</f>
        <v>0</v>
      </c>
    </row>
    <row r="455" spans="1:6" ht="47.25" hidden="1" x14ac:dyDescent="0.25">
      <c r="A455" s="26" t="s">
        <v>335</v>
      </c>
      <c r="B455" s="21" t="s">
        <v>327</v>
      </c>
      <c r="C455" s="21" t="s">
        <v>276</v>
      </c>
      <c r="D455" s="21" t="s">
        <v>517</v>
      </c>
      <c r="E455" s="21" t="s">
        <v>336</v>
      </c>
      <c r="F455" s="7">
        <f>F456</f>
        <v>0</v>
      </c>
    </row>
    <row r="456" spans="1:6" ht="15.75" hidden="1" x14ac:dyDescent="0.25">
      <c r="A456" s="26" t="s">
        <v>337</v>
      </c>
      <c r="B456" s="21" t="s">
        <v>327</v>
      </c>
      <c r="C456" s="21" t="s">
        <v>276</v>
      </c>
      <c r="D456" s="21" t="s">
        <v>517</v>
      </c>
      <c r="E456" s="21" t="s">
        <v>338</v>
      </c>
      <c r="F456" s="7"/>
    </row>
    <row r="457" spans="1:6" ht="31.5" hidden="1" x14ac:dyDescent="0.25">
      <c r="A457" s="31" t="s">
        <v>691</v>
      </c>
      <c r="B457" s="42" t="s">
        <v>327</v>
      </c>
      <c r="C457" s="42" t="s">
        <v>276</v>
      </c>
      <c r="D457" s="42" t="s">
        <v>519</v>
      </c>
      <c r="E457" s="42"/>
      <c r="F457" s="7">
        <f>F458</f>
        <v>0</v>
      </c>
    </row>
    <row r="458" spans="1:6" ht="47.25" hidden="1" x14ac:dyDescent="0.25">
      <c r="A458" s="31" t="s">
        <v>335</v>
      </c>
      <c r="B458" s="42" t="s">
        <v>327</v>
      </c>
      <c r="C458" s="42" t="s">
        <v>276</v>
      </c>
      <c r="D458" s="42" t="s">
        <v>519</v>
      </c>
      <c r="E458" s="42" t="s">
        <v>336</v>
      </c>
      <c r="F458" s="7">
        <f>F459</f>
        <v>0</v>
      </c>
    </row>
    <row r="459" spans="1:6" ht="15.75" hidden="1" x14ac:dyDescent="0.25">
      <c r="A459" s="31" t="s">
        <v>337</v>
      </c>
      <c r="B459" s="42" t="s">
        <v>327</v>
      </c>
      <c r="C459" s="42" t="s">
        <v>276</v>
      </c>
      <c r="D459" s="42" t="s">
        <v>519</v>
      </c>
      <c r="E459" s="42" t="s">
        <v>338</v>
      </c>
      <c r="F459" s="7">
        <v>0</v>
      </c>
    </row>
    <row r="460" spans="1:6" ht="31.5" x14ac:dyDescent="0.25">
      <c r="A460" s="31" t="s">
        <v>520</v>
      </c>
      <c r="B460" s="42" t="s">
        <v>327</v>
      </c>
      <c r="C460" s="42" t="s">
        <v>276</v>
      </c>
      <c r="D460" s="42" t="s">
        <v>521</v>
      </c>
      <c r="E460" s="42"/>
      <c r="F460" s="7">
        <f>F461</f>
        <v>1232.5999999999999</v>
      </c>
    </row>
    <row r="461" spans="1:6" ht="47.25" x14ac:dyDescent="0.25">
      <c r="A461" s="31" t="s">
        <v>335</v>
      </c>
      <c r="B461" s="42" t="s">
        <v>327</v>
      </c>
      <c r="C461" s="42" t="s">
        <v>276</v>
      </c>
      <c r="D461" s="42" t="s">
        <v>521</v>
      </c>
      <c r="E461" s="42" t="s">
        <v>336</v>
      </c>
      <c r="F461" s="7">
        <f>F462</f>
        <v>1232.5999999999999</v>
      </c>
    </row>
    <row r="462" spans="1:6" ht="15.75" x14ac:dyDescent="0.25">
      <c r="A462" s="31" t="s">
        <v>337</v>
      </c>
      <c r="B462" s="42" t="s">
        <v>327</v>
      </c>
      <c r="C462" s="42" t="s">
        <v>276</v>
      </c>
      <c r="D462" s="42" t="s">
        <v>521</v>
      </c>
      <c r="E462" s="42" t="s">
        <v>338</v>
      </c>
      <c r="F462" s="7">
        <f>'Прил.№4 ведомств.'!G604</f>
        <v>1232.5999999999999</v>
      </c>
    </row>
    <row r="463" spans="1:6" ht="47.25" x14ac:dyDescent="0.25">
      <c r="A463" s="26" t="s">
        <v>522</v>
      </c>
      <c r="B463" s="42" t="s">
        <v>327</v>
      </c>
      <c r="C463" s="42" t="s">
        <v>276</v>
      </c>
      <c r="D463" s="42" t="s">
        <v>523</v>
      </c>
      <c r="E463" s="42"/>
      <c r="F463" s="7">
        <f>F464</f>
        <v>448.7</v>
      </c>
    </row>
    <row r="464" spans="1:6" ht="47.25" x14ac:dyDescent="0.25">
      <c r="A464" s="26" t="s">
        <v>335</v>
      </c>
      <c r="B464" s="42" t="s">
        <v>327</v>
      </c>
      <c r="C464" s="42" t="s">
        <v>276</v>
      </c>
      <c r="D464" s="42" t="s">
        <v>523</v>
      </c>
      <c r="E464" s="42" t="s">
        <v>336</v>
      </c>
      <c r="F464" s="7">
        <f>F465</f>
        <v>448.7</v>
      </c>
    </row>
    <row r="465" spans="1:6" ht="15.75" x14ac:dyDescent="0.25">
      <c r="A465" s="26" t="s">
        <v>337</v>
      </c>
      <c r="B465" s="42" t="s">
        <v>327</v>
      </c>
      <c r="C465" s="42" t="s">
        <v>276</v>
      </c>
      <c r="D465" s="42" t="s">
        <v>523</v>
      </c>
      <c r="E465" s="42" t="s">
        <v>338</v>
      </c>
      <c r="F465" s="7">
        <f>'Прил.№4 ведомств.'!G607</f>
        <v>448.7</v>
      </c>
    </row>
    <row r="466" spans="1:6" ht="78.75" x14ac:dyDescent="0.25">
      <c r="A466" s="33" t="s">
        <v>524</v>
      </c>
      <c r="B466" s="42" t="s">
        <v>327</v>
      </c>
      <c r="C466" s="42" t="s">
        <v>276</v>
      </c>
      <c r="D466" s="42" t="s">
        <v>525</v>
      </c>
      <c r="E466" s="42"/>
      <c r="F466" s="7">
        <f>F467</f>
        <v>79753.600000000006</v>
      </c>
    </row>
    <row r="467" spans="1:6" ht="47.25" x14ac:dyDescent="0.25">
      <c r="A467" s="31" t="s">
        <v>335</v>
      </c>
      <c r="B467" s="42" t="s">
        <v>327</v>
      </c>
      <c r="C467" s="42" t="s">
        <v>276</v>
      </c>
      <c r="D467" s="42" t="s">
        <v>525</v>
      </c>
      <c r="E467" s="42" t="s">
        <v>336</v>
      </c>
      <c r="F467" s="7">
        <f>F468</f>
        <v>79753.600000000006</v>
      </c>
    </row>
    <row r="468" spans="1:6" ht="15.75" x14ac:dyDescent="0.25">
      <c r="A468" s="31" t="s">
        <v>337</v>
      </c>
      <c r="B468" s="42" t="s">
        <v>327</v>
      </c>
      <c r="C468" s="42" t="s">
        <v>276</v>
      </c>
      <c r="D468" s="42" t="s">
        <v>525</v>
      </c>
      <c r="E468" s="42" t="s">
        <v>338</v>
      </c>
      <c r="F468" s="7">
        <f>'Прил.№4 ведомств.'!G610</f>
        <v>79753.600000000006</v>
      </c>
    </row>
    <row r="469" spans="1:6" ht="63" x14ac:dyDescent="0.25">
      <c r="A469" s="47" t="s">
        <v>352</v>
      </c>
      <c r="B469" s="42" t="s">
        <v>327</v>
      </c>
      <c r="C469" s="42" t="s">
        <v>276</v>
      </c>
      <c r="D469" s="42" t="s">
        <v>353</v>
      </c>
      <c r="E469" s="42"/>
      <c r="F469" s="7">
        <f>F470</f>
        <v>615.50000000000011</v>
      </c>
    </row>
    <row r="470" spans="1:6" ht="47.25" x14ac:dyDescent="0.25">
      <c r="A470" s="31" t="s">
        <v>335</v>
      </c>
      <c r="B470" s="42" t="s">
        <v>327</v>
      </c>
      <c r="C470" s="42" t="s">
        <v>276</v>
      </c>
      <c r="D470" s="42" t="s">
        <v>353</v>
      </c>
      <c r="E470" s="42" t="s">
        <v>336</v>
      </c>
      <c r="F470" s="7">
        <f>F471</f>
        <v>615.50000000000011</v>
      </c>
    </row>
    <row r="471" spans="1:6" ht="15.75" x14ac:dyDescent="0.25">
      <c r="A471" s="31" t="s">
        <v>337</v>
      </c>
      <c r="B471" s="42" t="s">
        <v>327</v>
      </c>
      <c r="C471" s="42" t="s">
        <v>276</v>
      </c>
      <c r="D471" s="42" t="s">
        <v>353</v>
      </c>
      <c r="E471" s="42" t="s">
        <v>338</v>
      </c>
      <c r="F471" s="7">
        <f>'Прил.№4 ведомств.'!G613</f>
        <v>615.50000000000011</v>
      </c>
    </row>
    <row r="472" spans="1:6" ht="63" x14ac:dyDescent="0.25">
      <c r="A472" s="47" t="s">
        <v>354</v>
      </c>
      <c r="B472" s="42" t="s">
        <v>327</v>
      </c>
      <c r="C472" s="42" t="s">
        <v>276</v>
      </c>
      <c r="D472" s="42" t="s">
        <v>355</v>
      </c>
      <c r="E472" s="42"/>
      <c r="F472" s="7">
        <f>F473</f>
        <v>2096.8000000000002</v>
      </c>
    </row>
    <row r="473" spans="1:6" ht="47.25" x14ac:dyDescent="0.25">
      <c r="A473" s="31" t="s">
        <v>335</v>
      </c>
      <c r="B473" s="42" t="s">
        <v>327</v>
      </c>
      <c r="C473" s="42" t="s">
        <v>276</v>
      </c>
      <c r="D473" s="42" t="s">
        <v>355</v>
      </c>
      <c r="E473" s="42" t="s">
        <v>336</v>
      </c>
      <c r="F473" s="7">
        <f>F474</f>
        <v>2096.8000000000002</v>
      </c>
    </row>
    <row r="474" spans="1:6" ht="15.75" x14ac:dyDescent="0.25">
      <c r="A474" s="31" t="s">
        <v>337</v>
      </c>
      <c r="B474" s="42" t="s">
        <v>327</v>
      </c>
      <c r="C474" s="42" t="s">
        <v>276</v>
      </c>
      <c r="D474" s="42" t="s">
        <v>355</v>
      </c>
      <c r="E474" s="42" t="s">
        <v>338</v>
      </c>
      <c r="F474" s="7">
        <f>'Прил.№4 ведомств.'!G616</f>
        <v>2096.8000000000002</v>
      </c>
    </row>
    <row r="475" spans="1:6" ht="47.25" x14ac:dyDescent="0.25">
      <c r="A475" s="33" t="s">
        <v>526</v>
      </c>
      <c r="B475" s="42" t="s">
        <v>327</v>
      </c>
      <c r="C475" s="42" t="s">
        <v>276</v>
      </c>
      <c r="D475" s="42" t="s">
        <v>527</v>
      </c>
      <c r="E475" s="42"/>
      <c r="F475" s="7">
        <f>F476</f>
        <v>856.2</v>
      </c>
    </row>
    <row r="476" spans="1:6" ht="47.25" x14ac:dyDescent="0.25">
      <c r="A476" s="31" t="s">
        <v>335</v>
      </c>
      <c r="B476" s="42" t="s">
        <v>327</v>
      </c>
      <c r="C476" s="42" t="s">
        <v>276</v>
      </c>
      <c r="D476" s="42" t="s">
        <v>527</v>
      </c>
      <c r="E476" s="42" t="s">
        <v>336</v>
      </c>
      <c r="F476" s="7">
        <f>F477</f>
        <v>856.2</v>
      </c>
    </row>
    <row r="477" spans="1:6" ht="15.75" x14ac:dyDescent="0.25">
      <c r="A477" s="31" t="s">
        <v>337</v>
      </c>
      <c r="B477" s="42" t="s">
        <v>327</v>
      </c>
      <c r="C477" s="42" t="s">
        <v>276</v>
      </c>
      <c r="D477" s="42" t="s">
        <v>527</v>
      </c>
      <c r="E477" s="42" t="s">
        <v>338</v>
      </c>
      <c r="F477" s="7">
        <f>'Прил.№4 ведомств.'!G619</f>
        <v>856.2</v>
      </c>
    </row>
    <row r="478" spans="1:6" ht="94.5" x14ac:dyDescent="0.25">
      <c r="A478" s="47" t="s">
        <v>356</v>
      </c>
      <c r="B478" s="42" t="s">
        <v>327</v>
      </c>
      <c r="C478" s="42" t="s">
        <v>276</v>
      </c>
      <c r="D478" s="21" t="s">
        <v>357</v>
      </c>
      <c r="E478" s="42"/>
      <c r="F478" s="7">
        <f>F479</f>
        <v>4413</v>
      </c>
    </row>
    <row r="479" spans="1:6" ht="47.25" x14ac:dyDescent="0.25">
      <c r="A479" s="31" t="s">
        <v>335</v>
      </c>
      <c r="B479" s="42" t="s">
        <v>327</v>
      </c>
      <c r="C479" s="42" t="s">
        <v>276</v>
      </c>
      <c r="D479" s="21" t="s">
        <v>357</v>
      </c>
      <c r="E479" s="42" t="s">
        <v>336</v>
      </c>
      <c r="F479" s="7">
        <f>F480</f>
        <v>4413</v>
      </c>
    </row>
    <row r="480" spans="1:6" ht="15.75" x14ac:dyDescent="0.25">
      <c r="A480" s="31" t="s">
        <v>337</v>
      </c>
      <c r="B480" s="42" t="s">
        <v>327</v>
      </c>
      <c r="C480" s="42" t="s">
        <v>276</v>
      </c>
      <c r="D480" s="21" t="s">
        <v>357</v>
      </c>
      <c r="E480" s="42" t="s">
        <v>338</v>
      </c>
      <c r="F480" s="7">
        <f>'Прил.№4 ведомств.'!G622</f>
        <v>4413</v>
      </c>
    </row>
    <row r="481" spans="1:6" ht="15.75" x14ac:dyDescent="0.25">
      <c r="A481" s="43" t="s">
        <v>328</v>
      </c>
      <c r="B481" s="8" t="s">
        <v>327</v>
      </c>
      <c r="C481" s="8" t="s">
        <v>278</v>
      </c>
      <c r="D481" s="25"/>
      <c r="E481" s="8"/>
      <c r="F481" s="4">
        <f>F482+F494+F508+F531</f>
        <v>50485.9</v>
      </c>
    </row>
    <row r="482" spans="1:6" ht="47.25" x14ac:dyDescent="0.25">
      <c r="A482" s="26" t="s">
        <v>490</v>
      </c>
      <c r="B482" s="42" t="s">
        <v>327</v>
      </c>
      <c r="C482" s="42" t="s">
        <v>278</v>
      </c>
      <c r="D482" s="21" t="s">
        <v>470</v>
      </c>
      <c r="E482" s="42"/>
      <c r="F482" s="7">
        <f>F483+F487</f>
        <v>22968.400000000001</v>
      </c>
    </row>
    <row r="483" spans="1:6" ht="31.5" x14ac:dyDescent="0.25">
      <c r="A483" s="26" t="s">
        <v>471</v>
      </c>
      <c r="B483" s="42" t="s">
        <v>327</v>
      </c>
      <c r="C483" s="42" t="s">
        <v>278</v>
      </c>
      <c r="D483" s="21" t="s">
        <v>472</v>
      </c>
      <c r="E483" s="42"/>
      <c r="F483" s="7">
        <f>F484</f>
        <v>22767.9</v>
      </c>
    </row>
    <row r="484" spans="1:6" ht="47.25" x14ac:dyDescent="0.25">
      <c r="A484" s="26" t="s">
        <v>333</v>
      </c>
      <c r="B484" s="42" t="s">
        <v>327</v>
      </c>
      <c r="C484" s="42" t="s">
        <v>278</v>
      </c>
      <c r="D484" s="21" t="s">
        <v>493</v>
      </c>
      <c r="E484" s="42"/>
      <c r="F484" s="7">
        <f>F485</f>
        <v>22767.9</v>
      </c>
    </row>
    <row r="485" spans="1:6" ht="47.25" x14ac:dyDescent="0.25">
      <c r="A485" s="26" t="s">
        <v>335</v>
      </c>
      <c r="B485" s="42" t="s">
        <v>327</v>
      </c>
      <c r="C485" s="42" t="s">
        <v>278</v>
      </c>
      <c r="D485" s="21" t="s">
        <v>493</v>
      </c>
      <c r="E485" s="42" t="s">
        <v>336</v>
      </c>
      <c r="F485" s="7">
        <f>F486</f>
        <v>22767.9</v>
      </c>
    </row>
    <row r="486" spans="1:6" ht="15.75" x14ac:dyDescent="0.25">
      <c r="A486" s="26" t="s">
        <v>337</v>
      </c>
      <c r="B486" s="42" t="s">
        <v>327</v>
      </c>
      <c r="C486" s="42" t="s">
        <v>278</v>
      </c>
      <c r="D486" s="21" t="s">
        <v>493</v>
      </c>
      <c r="E486" s="42" t="s">
        <v>338</v>
      </c>
      <c r="F486" s="7">
        <f>'Прил.№4 ведомств.'!G628</f>
        <v>22767.9</v>
      </c>
    </row>
    <row r="487" spans="1:6" ht="31.5" x14ac:dyDescent="0.25">
      <c r="A487" s="33" t="s">
        <v>831</v>
      </c>
      <c r="B487" s="42" t="s">
        <v>327</v>
      </c>
      <c r="C487" s="42" t="s">
        <v>278</v>
      </c>
      <c r="D487" s="21" t="s">
        <v>511</v>
      </c>
      <c r="E487" s="42"/>
      <c r="F487" s="7">
        <f>F491+F488</f>
        <v>200.5</v>
      </c>
    </row>
    <row r="488" spans="1:6" ht="31.5" x14ac:dyDescent="0.25">
      <c r="A488" s="26" t="s">
        <v>347</v>
      </c>
      <c r="B488" s="42" t="s">
        <v>327</v>
      </c>
      <c r="C488" s="42" t="s">
        <v>278</v>
      </c>
      <c r="D488" s="21" t="s">
        <v>920</v>
      </c>
      <c r="E488" s="42"/>
      <c r="F488" s="7">
        <f>F489</f>
        <v>200.5</v>
      </c>
    </row>
    <row r="489" spans="1:6" ht="47.25" x14ac:dyDescent="0.25">
      <c r="A489" s="26" t="s">
        <v>335</v>
      </c>
      <c r="B489" s="42" t="s">
        <v>327</v>
      </c>
      <c r="C489" s="42" t="s">
        <v>278</v>
      </c>
      <c r="D489" s="21" t="s">
        <v>920</v>
      </c>
      <c r="E489" s="42" t="s">
        <v>336</v>
      </c>
      <c r="F489" s="7">
        <f>F490</f>
        <v>200.5</v>
      </c>
    </row>
    <row r="490" spans="1:6" ht="15.75" x14ac:dyDescent="0.25">
      <c r="A490" s="26" t="s">
        <v>337</v>
      </c>
      <c r="B490" s="42" t="s">
        <v>327</v>
      </c>
      <c r="C490" s="42" t="s">
        <v>278</v>
      </c>
      <c r="D490" s="21" t="s">
        <v>920</v>
      </c>
      <c r="E490" s="42" t="s">
        <v>338</v>
      </c>
      <c r="F490" s="7">
        <f>'Прил.№4 ведомств.'!G632</f>
        <v>200.5</v>
      </c>
    </row>
    <row r="491" spans="1:6" ht="31.5" hidden="1" x14ac:dyDescent="0.25">
      <c r="A491" s="47" t="s">
        <v>832</v>
      </c>
      <c r="B491" s="42" t="s">
        <v>327</v>
      </c>
      <c r="C491" s="42" t="s">
        <v>278</v>
      </c>
      <c r="D491" s="21" t="s">
        <v>833</v>
      </c>
      <c r="E491" s="42"/>
      <c r="F491" s="7">
        <f>F492</f>
        <v>0</v>
      </c>
    </row>
    <row r="492" spans="1:6" ht="47.25" hidden="1" x14ac:dyDescent="0.25">
      <c r="A492" s="33" t="s">
        <v>335</v>
      </c>
      <c r="B492" s="42" t="s">
        <v>327</v>
      </c>
      <c r="C492" s="42" t="s">
        <v>278</v>
      </c>
      <c r="D492" s="21" t="s">
        <v>833</v>
      </c>
      <c r="E492" s="42" t="s">
        <v>336</v>
      </c>
      <c r="F492" s="7">
        <f>F493</f>
        <v>0</v>
      </c>
    </row>
    <row r="493" spans="1:6" ht="15.75" hidden="1" x14ac:dyDescent="0.25">
      <c r="A493" s="33" t="s">
        <v>337</v>
      </c>
      <c r="B493" s="42" t="s">
        <v>327</v>
      </c>
      <c r="C493" s="42" t="s">
        <v>278</v>
      </c>
      <c r="D493" s="21" t="s">
        <v>833</v>
      </c>
      <c r="E493" s="42" t="s">
        <v>338</v>
      </c>
      <c r="F493" s="7">
        <f>'Прил.№4 ведомств.'!G634</f>
        <v>0</v>
      </c>
    </row>
    <row r="494" spans="1:6" ht="47.25" x14ac:dyDescent="0.25">
      <c r="A494" s="26" t="s">
        <v>545</v>
      </c>
      <c r="B494" s="42" t="s">
        <v>327</v>
      </c>
      <c r="C494" s="42" t="s">
        <v>278</v>
      </c>
      <c r="D494" s="21" t="s">
        <v>546</v>
      </c>
      <c r="E494" s="42"/>
      <c r="F494" s="7">
        <f>F495</f>
        <v>10705.5</v>
      </c>
    </row>
    <row r="495" spans="1:6" ht="47.25" x14ac:dyDescent="0.25">
      <c r="A495" s="26" t="s">
        <v>547</v>
      </c>
      <c r="B495" s="42" t="s">
        <v>327</v>
      </c>
      <c r="C495" s="42" t="s">
        <v>278</v>
      </c>
      <c r="D495" s="21" t="s">
        <v>548</v>
      </c>
      <c r="E495" s="42"/>
      <c r="F495" s="7">
        <f>F496+F505</f>
        <v>10705.5</v>
      </c>
    </row>
    <row r="496" spans="1:6" ht="47.25" x14ac:dyDescent="0.25">
      <c r="A496" s="26" t="s">
        <v>333</v>
      </c>
      <c r="B496" s="42" t="s">
        <v>327</v>
      </c>
      <c r="C496" s="42" t="s">
        <v>278</v>
      </c>
      <c r="D496" s="21" t="s">
        <v>549</v>
      </c>
      <c r="E496" s="42"/>
      <c r="F496" s="7">
        <f>F497</f>
        <v>10669.5</v>
      </c>
    </row>
    <row r="497" spans="1:6" ht="47.25" x14ac:dyDescent="0.25">
      <c r="A497" s="26" t="s">
        <v>335</v>
      </c>
      <c r="B497" s="42" t="s">
        <v>327</v>
      </c>
      <c r="C497" s="42" t="s">
        <v>278</v>
      </c>
      <c r="D497" s="21" t="s">
        <v>549</v>
      </c>
      <c r="E497" s="42" t="s">
        <v>336</v>
      </c>
      <c r="F497" s="7">
        <f>F498</f>
        <v>10669.5</v>
      </c>
    </row>
    <row r="498" spans="1:6" ht="15.75" x14ac:dyDescent="0.25">
      <c r="A498" s="26" t="s">
        <v>337</v>
      </c>
      <c r="B498" s="42" t="s">
        <v>327</v>
      </c>
      <c r="C498" s="42" t="s">
        <v>278</v>
      </c>
      <c r="D498" s="21" t="s">
        <v>549</v>
      </c>
      <c r="E498" s="42" t="s">
        <v>338</v>
      </c>
      <c r="F498" s="7">
        <f>'Прил.№4 ведомств.'!G694</f>
        <v>10669.5</v>
      </c>
    </row>
    <row r="499" spans="1:6" ht="31.5" hidden="1" x14ac:dyDescent="0.25">
      <c r="A499" s="26" t="s">
        <v>341</v>
      </c>
      <c r="B499" s="42" t="s">
        <v>327</v>
      </c>
      <c r="C499" s="42" t="s">
        <v>278</v>
      </c>
      <c r="D499" s="21" t="s">
        <v>550</v>
      </c>
      <c r="E499" s="42"/>
      <c r="F499" s="7"/>
    </row>
    <row r="500" spans="1:6" ht="47.25" hidden="1" x14ac:dyDescent="0.25">
      <c r="A500" s="26" t="s">
        <v>335</v>
      </c>
      <c r="B500" s="42" t="s">
        <v>327</v>
      </c>
      <c r="C500" s="42" t="s">
        <v>278</v>
      </c>
      <c r="D500" s="21" t="s">
        <v>550</v>
      </c>
      <c r="E500" s="42"/>
      <c r="F500" s="7"/>
    </row>
    <row r="501" spans="1:6" ht="15.75" hidden="1" x14ac:dyDescent="0.25">
      <c r="A501" s="26" t="s">
        <v>337</v>
      </c>
      <c r="B501" s="42" t="s">
        <v>327</v>
      </c>
      <c r="C501" s="42" t="s">
        <v>278</v>
      </c>
      <c r="D501" s="21" t="s">
        <v>550</v>
      </c>
      <c r="E501" s="42"/>
      <c r="F501" s="7"/>
    </row>
    <row r="502" spans="1:6" ht="31.5" hidden="1" x14ac:dyDescent="0.25">
      <c r="A502" s="26" t="s">
        <v>343</v>
      </c>
      <c r="B502" s="42" t="s">
        <v>327</v>
      </c>
      <c r="C502" s="42" t="s">
        <v>278</v>
      </c>
      <c r="D502" s="21" t="s">
        <v>551</v>
      </c>
      <c r="E502" s="42"/>
      <c r="F502" s="7"/>
    </row>
    <row r="503" spans="1:6" ht="47.25" hidden="1" x14ac:dyDescent="0.25">
      <c r="A503" s="26" t="s">
        <v>335</v>
      </c>
      <c r="B503" s="42" t="s">
        <v>327</v>
      </c>
      <c r="C503" s="42" t="s">
        <v>278</v>
      </c>
      <c r="D503" s="21" t="s">
        <v>551</v>
      </c>
      <c r="E503" s="42"/>
      <c r="F503" s="7"/>
    </row>
    <row r="504" spans="1:6" ht="15.75" hidden="1" x14ac:dyDescent="0.25">
      <c r="A504" s="26" t="s">
        <v>337</v>
      </c>
      <c r="B504" s="42" t="s">
        <v>327</v>
      </c>
      <c r="C504" s="42" t="s">
        <v>278</v>
      </c>
      <c r="D504" s="21" t="s">
        <v>551</v>
      </c>
      <c r="E504" s="42"/>
      <c r="F504" s="7"/>
    </row>
    <row r="505" spans="1:6" ht="31.5" x14ac:dyDescent="0.25">
      <c r="A505" s="26" t="s">
        <v>345</v>
      </c>
      <c r="B505" s="42" t="s">
        <v>327</v>
      </c>
      <c r="C505" s="42" t="s">
        <v>278</v>
      </c>
      <c r="D505" s="21" t="s">
        <v>552</v>
      </c>
      <c r="E505" s="42"/>
      <c r="F505" s="7">
        <f>F506</f>
        <v>36</v>
      </c>
    </row>
    <row r="506" spans="1:6" ht="47.25" x14ac:dyDescent="0.25">
      <c r="A506" s="26" t="s">
        <v>335</v>
      </c>
      <c r="B506" s="42" t="s">
        <v>327</v>
      </c>
      <c r="C506" s="42" t="s">
        <v>278</v>
      </c>
      <c r="D506" s="21" t="s">
        <v>552</v>
      </c>
      <c r="E506" s="42" t="s">
        <v>336</v>
      </c>
      <c r="F506" s="7">
        <f>F507</f>
        <v>36</v>
      </c>
    </row>
    <row r="507" spans="1:6" ht="15.75" x14ac:dyDescent="0.25">
      <c r="A507" s="26" t="s">
        <v>337</v>
      </c>
      <c r="B507" s="42" t="s">
        <v>327</v>
      </c>
      <c r="C507" s="42" t="s">
        <v>278</v>
      </c>
      <c r="D507" s="21" t="s">
        <v>552</v>
      </c>
      <c r="E507" s="42" t="s">
        <v>338</v>
      </c>
      <c r="F507" s="7">
        <f>'Прил.№4 ведомств.'!G703</f>
        <v>36</v>
      </c>
    </row>
    <row r="508" spans="1:6" ht="31.5" x14ac:dyDescent="0.25">
      <c r="A508" s="26" t="s">
        <v>329</v>
      </c>
      <c r="B508" s="42" t="s">
        <v>327</v>
      </c>
      <c r="C508" s="42" t="s">
        <v>278</v>
      </c>
      <c r="D508" s="21" t="s">
        <v>330</v>
      </c>
      <c r="E508" s="42"/>
      <c r="F508" s="7">
        <f>F509</f>
        <v>13657.099999999999</v>
      </c>
    </row>
    <row r="509" spans="1:6" ht="47.25" x14ac:dyDescent="0.25">
      <c r="A509" s="26" t="s">
        <v>331</v>
      </c>
      <c r="B509" s="42" t="s">
        <v>327</v>
      </c>
      <c r="C509" s="42" t="s">
        <v>278</v>
      </c>
      <c r="D509" s="21" t="s">
        <v>332</v>
      </c>
      <c r="E509" s="42"/>
      <c r="F509" s="7">
        <f>F510+F522</f>
        <v>13657.099999999999</v>
      </c>
    </row>
    <row r="510" spans="1:6" ht="47.25" x14ac:dyDescent="0.25">
      <c r="A510" s="26" t="s">
        <v>333</v>
      </c>
      <c r="B510" s="42" t="s">
        <v>327</v>
      </c>
      <c r="C510" s="42" t="s">
        <v>278</v>
      </c>
      <c r="D510" s="21" t="s">
        <v>334</v>
      </c>
      <c r="E510" s="42"/>
      <c r="F510" s="7">
        <f>F511</f>
        <v>13607.099999999999</v>
      </c>
    </row>
    <row r="511" spans="1:6" ht="47.25" x14ac:dyDescent="0.25">
      <c r="A511" s="26" t="s">
        <v>335</v>
      </c>
      <c r="B511" s="42" t="s">
        <v>327</v>
      </c>
      <c r="C511" s="42" t="s">
        <v>278</v>
      </c>
      <c r="D511" s="21" t="s">
        <v>334</v>
      </c>
      <c r="E511" s="42" t="s">
        <v>336</v>
      </c>
      <c r="F511" s="7">
        <f>F512</f>
        <v>13607.099999999999</v>
      </c>
    </row>
    <row r="512" spans="1:6" ht="15.75" x14ac:dyDescent="0.25">
      <c r="A512" s="26" t="s">
        <v>337</v>
      </c>
      <c r="B512" s="42" t="s">
        <v>327</v>
      </c>
      <c r="C512" s="42" t="s">
        <v>278</v>
      </c>
      <c r="D512" s="21" t="s">
        <v>334</v>
      </c>
      <c r="E512" s="42" t="s">
        <v>338</v>
      </c>
      <c r="F512" s="7">
        <f>'Прил.№4 ведомств.'!G244</f>
        <v>13607.099999999999</v>
      </c>
    </row>
    <row r="513" spans="1:6" ht="47.25" hidden="1" x14ac:dyDescent="0.25">
      <c r="A513" s="26" t="s">
        <v>339</v>
      </c>
      <c r="B513" s="42" t="s">
        <v>327</v>
      </c>
      <c r="C513" s="42" t="s">
        <v>278</v>
      </c>
      <c r="D513" s="21" t="s">
        <v>340</v>
      </c>
      <c r="E513" s="42"/>
      <c r="F513" s="7"/>
    </row>
    <row r="514" spans="1:6" ht="47.25" hidden="1" x14ac:dyDescent="0.25">
      <c r="A514" s="26" t="s">
        <v>335</v>
      </c>
      <c r="B514" s="42" t="s">
        <v>327</v>
      </c>
      <c r="C514" s="42" t="s">
        <v>278</v>
      </c>
      <c r="D514" s="21" t="s">
        <v>340</v>
      </c>
      <c r="E514" s="42"/>
      <c r="F514" s="7"/>
    </row>
    <row r="515" spans="1:6" ht="15.75" hidden="1" x14ac:dyDescent="0.25">
      <c r="A515" s="26" t="s">
        <v>337</v>
      </c>
      <c r="B515" s="42" t="s">
        <v>327</v>
      </c>
      <c r="C515" s="42" t="s">
        <v>278</v>
      </c>
      <c r="D515" s="21" t="s">
        <v>340</v>
      </c>
      <c r="E515" s="42"/>
      <c r="F515" s="7"/>
    </row>
    <row r="516" spans="1:6" ht="31.5" hidden="1" x14ac:dyDescent="0.25">
      <c r="A516" s="26" t="s">
        <v>341</v>
      </c>
      <c r="B516" s="42" t="s">
        <v>327</v>
      </c>
      <c r="C516" s="42" t="s">
        <v>278</v>
      </c>
      <c r="D516" s="21" t="s">
        <v>342</v>
      </c>
      <c r="E516" s="42"/>
      <c r="F516" s="7"/>
    </row>
    <row r="517" spans="1:6" ht="47.25" hidden="1" x14ac:dyDescent="0.25">
      <c r="A517" s="26" t="s">
        <v>335</v>
      </c>
      <c r="B517" s="42" t="s">
        <v>327</v>
      </c>
      <c r="C517" s="42" t="s">
        <v>278</v>
      </c>
      <c r="D517" s="21" t="s">
        <v>342</v>
      </c>
      <c r="E517" s="42"/>
      <c r="F517" s="7"/>
    </row>
    <row r="518" spans="1:6" ht="15.75" hidden="1" x14ac:dyDescent="0.25">
      <c r="A518" s="26" t="s">
        <v>337</v>
      </c>
      <c r="B518" s="42" t="s">
        <v>327</v>
      </c>
      <c r="C518" s="42" t="s">
        <v>278</v>
      </c>
      <c r="D518" s="21" t="s">
        <v>342</v>
      </c>
      <c r="E518" s="42"/>
      <c r="F518" s="7"/>
    </row>
    <row r="519" spans="1:6" ht="31.5" hidden="1" x14ac:dyDescent="0.25">
      <c r="A519" s="26" t="s">
        <v>343</v>
      </c>
      <c r="B519" s="42" t="s">
        <v>327</v>
      </c>
      <c r="C519" s="42" t="s">
        <v>278</v>
      </c>
      <c r="D519" s="21" t="s">
        <v>344</v>
      </c>
      <c r="E519" s="42"/>
      <c r="F519" s="7"/>
    </row>
    <row r="520" spans="1:6" ht="47.25" hidden="1" x14ac:dyDescent="0.25">
      <c r="A520" s="26" t="s">
        <v>335</v>
      </c>
      <c r="B520" s="42" t="s">
        <v>327</v>
      </c>
      <c r="C520" s="42" t="s">
        <v>278</v>
      </c>
      <c r="D520" s="21" t="s">
        <v>344</v>
      </c>
      <c r="E520" s="42"/>
      <c r="F520" s="7"/>
    </row>
    <row r="521" spans="1:6" ht="15.75" hidden="1" x14ac:dyDescent="0.25">
      <c r="A521" s="26" t="s">
        <v>337</v>
      </c>
      <c r="B521" s="42" t="s">
        <v>327</v>
      </c>
      <c r="C521" s="42" t="s">
        <v>278</v>
      </c>
      <c r="D521" s="21" t="s">
        <v>344</v>
      </c>
      <c r="E521" s="42"/>
      <c r="F521" s="7"/>
    </row>
    <row r="522" spans="1:6" ht="31.5" x14ac:dyDescent="0.25">
      <c r="A522" s="26" t="s">
        <v>345</v>
      </c>
      <c r="B522" s="42" t="s">
        <v>327</v>
      </c>
      <c r="C522" s="42" t="s">
        <v>278</v>
      </c>
      <c r="D522" s="21" t="s">
        <v>346</v>
      </c>
      <c r="E522" s="42"/>
      <c r="F522" s="7">
        <f>F523</f>
        <v>50</v>
      </c>
    </row>
    <row r="523" spans="1:6" ht="47.25" x14ac:dyDescent="0.25">
      <c r="A523" s="26" t="s">
        <v>335</v>
      </c>
      <c r="B523" s="42" t="s">
        <v>327</v>
      </c>
      <c r="C523" s="42" t="s">
        <v>278</v>
      </c>
      <c r="D523" s="21" t="s">
        <v>346</v>
      </c>
      <c r="E523" s="42" t="s">
        <v>336</v>
      </c>
      <c r="F523" s="7">
        <f>F524</f>
        <v>50</v>
      </c>
    </row>
    <row r="524" spans="1:6" ht="15.75" x14ac:dyDescent="0.25">
      <c r="A524" s="26" t="s">
        <v>337</v>
      </c>
      <c r="B524" s="42" t="s">
        <v>327</v>
      </c>
      <c r="C524" s="42" t="s">
        <v>278</v>
      </c>
      <c r="D524" s="21" t="s">
        <v>346</v>
      </c>
      <c r="E524" s="42" t="s">
        <v>338</v>
      </c>
      <c r="F524" s="7">
        <f>'Прил.№4 ведомств.'!G256</f>
        <v>50</v>
      </c>
    </row>
    <row r="525" spans="1:6" ht="31.5" hidden="1" x14ac:dyDescent="0.25">
      <c r="A525" s="26" t="s">
        <v>347</v>
      </c>
      <c r="B525" s="42" t="s">
        <v>327</v>
      </c>
      <c r="C525" s="42" t="s">
        <v>278</v>
      </c>
      <c r="D525" s="21" t="s">
        <v>348</v>
      </c>
      <c r="E525" s="42"/>
      <c r="F525" s="7"/>
    </row>
    <row r="526" spans="1:6" ht="47.25" hidden="1" x14ac:dyDescent="0.25">
      <c r="A526" s="26" t="s">
        <v>335</v>
      </c>
      <c r="B526" s="42" t="s">
        <v>327</v>
      </c>
      <c r="C526" s="42" t="s">
        <v>278</v>
      </c>
      <c r="D526" s="21" t="s">
        <v>349</v>
      </c>
      <c r="E526" s="42"/>
      <c r="F526" s="7"/>
    </row>
    <row r="527" spans="1:6" ht="15.75" hidden="1" x14ac:dyDescent="0.25">
      <c r="A527" s="26" t="s">
        <v>337</v>
      </c>
      <c r="B527" s="42" t="s">
        <v>327</v>
      </c>
      <c r="C527" s="42" t="s">
        <v>278</v>
      </c>
      <c r="D527" s="21" t="s">
        <v>349</v>
      </c>
      <c r="E527" s="42"/>
      <c r="F527" s="7"/>
    </row>
    <row r="528" spans="1:6" ht="31.5" hidden="1" x14ac:dyDescent="0.25">
      <c r="A528" s="37" t="s">
        <v>350</v>
      </c>
      <c r="B528" s="42" t="s">
        <v>327</v>
      </c>
      <c r="C528" s="42" t="s">
        <v>278</v>
      </c>
      <c r="D528" s="21" t="s">
        <v>351</v>
      </c>
      <c r="E528" s="42"/>
      <c r="F528" s="7"/>
    </row>
    <row r="529" spans="1:6" ht="47.25" hidden="1" x14ac:dyDescent="0.25">
      <c r="A529" s="26" t="s">
        <v>335</v>
      </c>
      <c r="B529" s="42" t="s">
        <v>327</v>
      </c>
      <c r="C529" s="42" t="s">
        <v>278</v>
      </c>
      <c r="D529" s="21" t="s">
        <v>351</v>
      </c>
      <c r="E529" s="42"/>
      <c r="F529" s="7"/>
    </row>
    <row r="530" spans="1:6" ht="15.75" hidden="1" x14ac:dyDescent="0.25">
      <c r="A530" s="26" t="s">
        <v>337</v>
      </c>
      <c r="B530" s="42" t="s">
        <v>327</v>
      </c>
      <c r="C530" s="42" t="s">
        <v>278</v>
      </c>
      <c r="D530" s="21" t="s">
        <v>351</v>
      </c>
      <c r="E530" s="42"/>
      <c r="F530" s="7"/>
    </row>
    <row r="531" spans="1:6" ht="15.75" x14ac:dyDescent="0.25">
      <c r="A531" s="26" t="s">
        <v>184</v>
      </c>
      <c r="B531" s="42" t="s">
        <v>327</v>
      </c>
      <c r="C531" s="42" t="s">
        <v>278</v>
      </c>
      <c r="D531" s="21" t="s">
        <v>185</v>
      </c>
      <c r="E531" s="42"/>
      <c r="F531" s="7">
        <f>F532</f>
        <v>3154.9</v>
      </c>
    </row>
    <row r="532" spans="1:6" ht="31.5" x14ac:dyDescent="0.25">
      <c r="A532" s="26" t="s">
        <v>248</v>
      </c>
      <c r="B532" s="42" t="s">
        <v>327</v>
      </c>
      <c r="C532" s="42" t="s">
        <v>278</v>
      </c>
      <c r="D532" s="21" t="s">
        <v>249</v>
      </c>
      <c r="E532" s="42"/>
      <c r="F532" s="7">
        <f>F533+F536+F539</f>
        <v>3154.9</v>
      </c>
    </row>
    <row r="533" spans="1:6" ht="63" x14ac:dyDescent="0.25">
      <c r="A533" s="33" t="s">
        <v>352</v>
      </c>
      <c r="B533" s="42" t="s">
        <v>327</v>
      </c>
      <c r="C533" s="42" t="s">
        <v>278</v>
      </c>
      <c r="D533" s="21" t="s">
        <v>353</v>
      </c>
      <c r="E533" s="42"/>
      <c r="F533" s="7">
        <f>F534</f>
        <v>169.6</v>
      </c>
    </row>
    <row r="534" spans="1:6" ht="47.25" x14ac:dyDescent="0.25">
      <c r="A534" s="26" t="s">
        <v>335</v>
      </c>
      <c r="B534" s="42" t="s">
        <v>327</v>
      </c>
      <c r="C534" s="42" t="s">
        <v>278</v>
      </c>
      <c r="D534" s="21" t="s">
        <v>353</v>
      </c>
      <c r="E534" s="42" t="s">
        <v>336</v>
      </c>
      <c r="F534" s="7">
        <f>F535</f>
        <v>169.6</v>
      </c>
    </row>
    <row r="535" spans="1:6" ht="15.75" x14ac:dyDescent="0.25">
      <c r="A535" s="26" t="s">
        <v>337</v>
      </c>
      <c r="B535" s="42" t="s">
        <v>327</v>
      </c>
      <c r="C535" s="42" t="s">
        <v>278</v>
      </c>
      <c r="D535" s="21" t="s">
        <v>353</v>
      </c>
      <c r="E535" s="42" t="s">
        <v>338</v>
      </c>
      <c r="F535" s="7">
        <f>'Прил.№4 ведомств.'!G267+'Прил.№4 ведомств.'!G640+'Прил.№4 ведомств.'!G711</f>
        <v>169.6</v>
      </c>
    </row>
    <row r="536" spans="1:6" ht="63" x14ac:dyDescent="0.25">
      <c r="A536" s="33" t="s">
        <v>354</v>
      </c>
      <c r="B536" s="42" t="s">
        <v>327</v>
      </c>
      <c r="C536" s="42" t="s">
        <v>278</v>
      </c>
      <c r="D536" s="21" t="s">
        <v>355</v>
      </c>
      <c r="E536" s="42"/>
      <c r="F536" s="7">
        <f>F537</f>
        <v>1027.1000000000001</v>
      </c>
    </row>
    <row r="537" spans="1:6" ht="47.25" x14ac:dyDescent="0.25">
      <c r="A537" s="26" t="s">
        <v>335</v>
      </c>
      <c r="B537" s="42" t="s">
        <v>327</v>
      </c>
      <c r="C537" s="42" t="s">
        <v>278</v>
      </c>
      <c r="D537" s="21" t="s">
        <v>355</v>
      </c>
      <c r="E537" s="42" t="s">
        <v>336</v>
      </c>
      <c r="F537" s="7">
        <f>F538</f>
        <v>1027.1000000000001</v>
      </c>
    </row>
    <row r="538" spans="1:6" ht="15.75" x14ac:dyDescent="0.25">
      <c r="A538" s="26" t="s">
        <v>337</v>
      </c>
      <c r="B538" s="42" t="s">
        <v>327</v>
      </c>
      <c r="C538" s="42" t="s">
        <v>278</v>
      </c>
      <c r="D538" s="21" t="s">
        <v>355</v>
      </c>
      <c r="E538" s="42" t="s">
        <v>338</v>
      </c>
      <c r="F538" s="7">
        <f>'Прил.№4 ведомств.'!G714+'Прил.№4 ведомств.'!G643+'Прил.№4 ведомств.'!G270</f>
        <v>1027.1000000000001</v>
      </c>
    </row>
    <row r="539" spans="1:6" ht="94.5" x14ac:dyDescent="0.25">
      <c r="A539" s="33" t="s">
        <v>356</v>
      </c>
      <c r="B539" s="42" t="s">
        <v>327</v>
      </c>
      <c r="C539" s="42" t="s">
        <v>278</v>
      </c>
      <c r="D539" s="21" t="s">
        <v>357</v>
      </c>
      <c r="E539" s="42"/>
      <c r="F539" s="7">
        <f>F540</f>
        <v>1958.2</v>
      </c>
    </row>
    <row r="540" spans="1:6" ht="47.25" x14ac:dyDescent="0.25">
      <c r="A540" s="26" t="s">
        <v>335</v>
      </c>
      <c r="B540" s="42" t="s">
        <v>327</v>
      </c>
      <c r="C540" s="42" t="s">
        <v>278</v>
      </c>
      <c r="D540" s="21" t="s">
        <v>357</v>
      </c>
      <c r="E540" s="42" t="s">
        <v>336</v>
      </c>
      <c r="F540" s="7">
        <f>F541</f>
        <v>1958.2</v>
      </c>
    </row>
    <row r="541" spans="1:6" ht="15.75" x14ac:dyDescent="0.25">
      <c r="A541" s="26" t="s">
        <v>337</v>
      </c>
      <c r="B541" s="42" t="s">
        <v>327</v>
      </c>
      <c r="C541" s="42" t="s">
        <v>278</v>
      </c>
      <c r="D541" s="21" t="s">
        <v>357</v>
      </c>
      <c r="E541" s="42" t="s">
        <v>338</v>
      </c>
      <c r="F541" s="7">
        <f>'Прил.№4 ведомств.'!G273+'Прил.№4 ведомств.'!G646+'Прил.№4 ведомств.'!G717</f>
        <v>1958.2</v>
      </c>
    </row>
    <row r="542" spans="1:6" ht="15.75" x14ac:dyDescent="0.25">
      <c r="A542" s="43" t="s">
        <v>530</v>
      </c>
      <c r="B542" s="8" t="s">
        <v>327</v>
      </c>
      <c r="C542" s="8" t="s">
        <v>327</v>
      </c>
      <c r="D542" s="8"/>
      <c r="E542" s="8"/>
      <c r="F542" s="4">
        <f>F543+F548</f>
        <v>4788.6000000000004</v>
      </c>
    </row>
    <row r="543" spans="1:6" ht="47.25" x14ac:dyDescent="0.25">
      <c r="A543" s="31" t="s">
        <v>490</v>
      </c>
      <c r="B543" s="42" t="s">
        <v>327</v>
      </c>
      <c r="C543" s="42" t="s">
        <v>327</v>
      </c>
      <c r="D543" s="42" t="s">
        <v>470</v>
      </c>
      <c r="E543" s="42"/>
      <c r="F543" s="7">
        <f>F544</f>
        <v>3484.8</v>
      </c>
    </row>
    <row r="544" spans="1:6" ht="31.5" x14ac:dyDescent="0.25">
      <c r="A544" s="31" t="s">
        <v>531</v>
      </c>
      <c r="B544" s="42" t="s">
        <v>327</v>
      </c>
      <c r="C544" s="42" t="s">
        <v>532</v>
      </c>
      <c r="D544" s="42" t="s">
        <v>533</v>
      </c>
      <c r="E544" s="42"/>
      <c r="F544" s="7">
        <f>F546</f>
        <v>3484.8</v>
      </c>
    </row>
    <row r="545" spans="1:6" ht="31.5" x14ac:dyDescent="0.25">
      <c r="A545" s="26" t="s">
        <v>692</v>
      </c>
      <c r="B545" s="42" t="s">
        <v>327</v>
      </c>
      <c r="C545" s="42" t="s">
        <v>327</v>
      </c>
      <c r="D545" s="42" t="s">
        <v>535</v>
      </c>
      <c r="E545" s="42"/>
      <c r="F545" s="7">
        <f>F546</f>
        <v>3484.8</v>
      </c>
    </row>
    <row r="546" spans="1:6" ht="47.25" x14ac:dyDescent="0.25">
      <c r="A546" s="31" t="s">
        <v>335</v>
      </c>
      <c r="B546" s="42" t="s">
        <v>327</v>
      </c>
      <c r="C546" s="42" t="s">
        <v>327</v>
      </c>
      <c r="D546" s="42" t="s">
        <v>535</v>
      </c>
      <c r="E546" s="42" t="s">
        <v>336</v>
      </c>
      <c r="F546" s="63">
        <f>F547</f>
        <v>3484.8</v>
      </c>
    </row>
    <row r="547" spans="1:6" ht="15.75" x14ac:dyDescent="0.25">
      <c r="A547" s="31" t="s">
        <v>337</v>
      </c>
      <c r="B547" s="42" t="s">
        <v>327</v>
      </c>
      <c r="C547" s="42" t="s">
        <v>327</v>
      </c>
      <c r="D547" s="42" t="s">
        <v>535</v>
      </c>
      <c r="E547" s="42" t="s">
        <v>338</v>
      </c>
      <c r="F547" s="63">
        <f>'Прил.№4 ведомств.'!G652</f>
        <v>3484.8</v>
      </c>
    </row>
    <row r="548" spans="1:6" ht="15.75" x14ac:dyDescent="0.25">
      <c r="A548" s="31" t="s">
        <v>184</v>
      </c>
      <c r="B548" s="42" t="s">
        <v>327</v>
      </c>
      <c r="C548" s="42" t="s">
        <v>327</v>
      </c>
      <c r="D548" s="42" t="s">
        <v>185</v>
      </c>
      <c r="E548" s="42"/>
      <c r="F548" s="7">
        <f>F549</f>
        <v>1303.8000000000002</v>
      </c>
    </row>
    <row r="549" spans="1:6" ht="31.5" x14ac:dyDescent="0.25">
      <c r="A549" s="31" t="s">
        <v>248</v>
      </c>
      <c r="B549" s="42" t="s">
        <v>327</v>
      </c>
      <c r="C549" s="42" t="s">
        <v>327</v>
      </c>
      <c r="D549" s="42" t="s">
        <v>249</v>
      </c>
      <c r="E549" s="42"/>
      <c r="F549" s="7">
        <f>F550</f>
        <v>1303.8000000000002</v>
      </c>
    </row>
    <row r="550" spans="1:6" ht="31.5" x14ac:dyDescent="0.25">
      <c r="A550" s="47" t="s">
        <v>538</v>
      </c>
      <c r="B550" s="42" t="s">
        <v>327</v>
      </c>
      <c r="C550" s="42" t="s">
        <v>327</v>
      </c>
      <c r="D550" s="42" t="s">
        <v>539</v>
      </c>
      <c r="E550" s="42"/>
      <c r="F550" s="7">
        <f>F551</f>
        <v>1303.8000000000002</v>
      </c>
    </row>
    <row r="551" spans="1:6" ht="47.25" x14ac:dyDescent="0.25">
      <c r="A551" s="31" t="s">
        <v>335</v>
      </c>
      <c r="B551" s="42" t="s">
        <v>327</v>
      </c>
      <c r="C551" s="42" t="s">
        <v>327</v>
      </c>
      <c r="D551" s="42" t="s">
        <v>539</v>
      </c>
      <c r="E551" s="42" t="s">
        <v>336</v>
      </c>
      <c r="F551" s="7">
        <f>F552</f>
        <v>1303.8000000000002</v>
      </c>
    </row>
    <row r="552" spans="1:6" ht="15.75" x14ac:dyDescent="0.25">
      <c r="A552" s="31" t="s">
        <v>337</v>
      </c>
      <c r="B552" s="42" t="s">
        <v>327</v>
      </c>
      <c r="C552" s="42" t="s">
        <v>327</v>
      </c>
      <c r="D552" s="42" t="s">
        <v>539</v>
      </c>
      <c r="E552" s="42" t="s">
        <v>338</v>
      </c>
      <c r="F552" s="7">
        <f>'Прил.№4 ведомств.'!G658</f>
        <v>1303.8000000000002</v>
      </c>
    </row>
    <row r="553" spans="1:6" ht="15.75" x14ac:dyDescent="0.25">
      <c r="A553" s="43" t="s">
        <v>358</v>
      </c>
      <c r="B553" s="8" t="s">
        <v>327</v>
      </c>
      <c r="C553" s="8" t="s">
        <v>282</v>
      </c>
      <c r="D553" s="8"/>
      <c r="E553" s="8"/>
      <c r="F553" s="4">
        <f>F563+F554</f>
        <v>19448.2</v>
      </c>
    </row>
    <row r="554" spans="1:6" ht="47.25" hidden="1" x14ac:dyDescent="0.25">
      <c r="A554" s="26" t="s">
        <v>397</v>
      </c>
      <c r="B554" s="42" t="s">
        <v>327</v>
      </c>
      <c r="C554" s="42" t="s">
        <v>282</v>
      </c>
      <c r="D554" s="21" t="s">
        <v>398</v>
      </c>
      <c r="E554" s="8"/>
      <c r="F554" s="7">
        <f>F555+F558</f>
        <v>0</v>
      </c>
    </row>
    <row r="555" spans="1:6" ht="31.5" hidden="1" x14ac:dyDescent="0.25">
      <c r="A555" s="26" t="s">
        <v>399</v>
      </c>
      <c r="B555" s="42" t="s">
        <v>327</v>
      </c>
      <c r="C555" s="42" t="s">
        <v>282</v>
      </c>
      <c r="D555" s="21" t="s">
        <v>400</v>
      </c>
      <c r="E555" s="8"/>
      <c r="F555" s="7">
        <f>F556</f>
        <v>0</v>
      </c>
    </row>
    <row r="556" spans="1:6" ht="31.5" hidden="1" x14ac:dyDescent="0.25">
      <c r="A556" s="26" t="s">
        <v>194</v>
      </c>
      <c r="B556" s="42" t="s">
        <v>327</v>
      </c>
      <c r="C556" s="42" t="s">
        <v>282</v>
      </c>
      <c r="D556" s="21" t="s">
        <v>400</v>
      </c>
      <c r="E556" s="42" t="s">
        <v>195</v>
      </c>
      <c r="F556" s="7">
        <f>F557</f>
        <v>0</v>
      </c>
    </row>
    <row r="557" spans="1:6" ht="47.25" hidden="1" x14ac:dyDescent="0.25">
      <c r="A557" s="26" t="s">
        <v>196</v>
      </c>
      <c r="B557" s="42" t="s">
        <v>327</v>
      </c>
      <c r="C557" s="42" t="s">
        <v>282</v>
      </c>
      <c r="D557" s="21" t="s">
        <v>400</v>
      </c>
      <c r="E557" s="42" t="s">
        <v>197</v>
      </c>
      <c r="F557" s="7">
        <f>'Прил.№4 ведомств.'!G663</f>
        <v>0</v>
      </c>
    </row>
    <row r="558" spans="1:6" ht="47.25" hidden="1" x14ac:dyDescent="0.25">
      <c r="A558" s="26" t="s">
        <v>693</v>
      </c>
      <c r="B558" s="42" t="s">
        <v>327</v>
      </c>
      <c r="C558" s="42" t="s">
        <v>282</v>
      </c>
      <c r="D558" s="21" t="s">
        <v>541</v>
      </c>
      <c r="E558" s="42"/>
      <c r="F558" s="7">
        <f>F559+F561</f>
        <v>0</v>
      </c>
    </row>
    <row r="559" spans="1:6" ht="78.75" hidden="1" x14ac:dyDescent="0.25">
      <c r="A559" s="26" t="s">
        <v>190</v>
      </c>
      <c r="B559" s="42" t="s">
        <v>327</v>
      </c>
      <c r="C559" s="42" t="s">
        <v>282</v>
      </c>
      <c r="D559" s="21" t="s">
        <v>541</v>
      </c>
      <c r="E559" s="42" t="s">
        <v>191</v>
      </c>
      <c r="F559" s="7">
        <f>F560</f>
        <v>0</v>
      </c>
    </row>
    <row r="560" spans="1:6" ht="31.5" hidden="1" x14ac:dyDescent="0.25">
      <c r="A560" s="26" t="s">
        <v>405</v>
      </c>
      <c r="B560" s="42" t="s">
        <v>327</v>
      </c>
      <c r="C560" s="42" t="s">
        <v>282</v>
      </c>
      <c r="D560" s="21" t="s">
        <v>541</v>
      </c>
      <c r="E560" s="42" t="s">
        <v>272</v>
      </c>
      <c r="F560" s="7">
        <f>'Прил.№4 ведомств.'!G666</f>
        <v>0</v>
      </c>
    </row>
    <row r="561" spans="1:6" ht="31.5" hidden="1" x14ac:dyDescent="0.25">
      <c r="A561" s="26" t="s">
        <v>194</v>
      </c>
      <c r="B561" s="42" t="s">
        <v>327</v>
      </c>
      <c r="C561" s="42" t="s">
        <v>282</v>
      </c>
      <c r="D561" s="21" t="s">
        <v>541</v>
      </c>
      <c r="E561" s="42" t="s">
        <v>195</v>
      </c>
      <c r="F561" s="7">
        <f>F562</f>
        <v>0</v>
      </c>
    </row>
    <row r="562" spans="1:6" ht="47.25" hidden="1" x14ac:dyDescent="0.25">
      <c r="A562" s="26" t="s">
        <v>196</v>
      </c>
      <c r="B562" s="42" t="s">
        <v>327</v>
      </c>
      <c r="C562" s="42" t="s">
        <v>282</v>
      </c>
      <c r="D562" s="21" t="s">
        <v>541</v>
      </c>
      <c r="E562" s="42" t="s">
        <v>197</v>
      </c>
      <c r="F562" s="7">
        <f>'Прил.№4 ведомств.'!G668</f>
        <v>0</v>
      </c>
    </row>
    <row r="563" spans="1:6" ht="15.75" x14ac:dyDescent="0.25">
      <c r="A563" s="31" t="s">
        <v>184</v>
      </c>
      <c r="B563" s="42" t="s">
        <v>327</v>
      </c>
      <c r="C563" s="42" t="s">
        <v>282</v>
      </c>
      <c r="D563" s="42" t="s">
        <v>185</v>
      </c>
      <c r="E563" s="42"/>
      <c r="F563" s="7">
        <f>F564+F574+F570</f>
        <v>19448.2</v>
      </c>
    </row>
    <row r="564" spans="1:6" ht="31.5" x14ac:dyDescent="0.25">
      <c r="A564" s="31" t="s">
        <v>186</v>
      </c>
      <c r="B564" s="42" t="s">
        <v>327</v>
      </c>
      <c r="C564" s="42" t="s">
        <v>282</v>
      </c>
      <c r="D564" s="42" t="s">
        <v>187</v>
      </c>
      <c r="E564" s="42"/>
      <c r="F564" s="7">
        <f>F565</f>
        <v>5522.0999999999995</v>
      </c>
    </row>
    <row r="565" spans="1:6" ht="36.75" customHeight="1" x14ac:dyDescent="0.25">
      <c r="A565" s="31" t="s">
        <v>188</v>
      </c>
      <c r="B565" s="42" t="s">
        <v>327</v>
      </c>
      <c r="C565" s="42" t="s">
        <v>282</v>
      </c>
      <c r="D565" s="42" t="s">
        <v>189</v>
      </c>
      <c r="E565" s="42"/>
      <c r="F565" s="7">
        <f>F566+F568</f>
        <v>5522.0999999999995</v>
      </c>
    </row>
    <row r="566" spans="1:6" ht="78.75" x14ac:dyDescent="0.25">
      <c r="A566" s="31" t="s">
        <v>190</v>
      </c>
      <c r="B566" s="42" t="s">
        <v>327</v>
      </c>
      <c r="C566" s="42" t="s">
        <v>282</v>
      </c>
      <c r="D566" s="42" t="s">
        <v>189</v>
      </c>
      <c r="E566" s="42" t="s">
        <v>191</v>
      </c>
      <c r="F566" s="63">
        <f>F567</f>
        <v>5369.2</v>
      </c>
    </row>
    <row r="567" spans="1:6" ht="31.5" x14ac:dyDescent="0.25">
      <c r="A567" s="31" t="s">
        <v>192</v>
      </c>
      <c r="B567" s="42" t="s">
        <v>327</v>
      </c>
      <c r="C567" s="42" t="s">
        <v>282</v>
      </c>
      <c r="D567" s="42" t="s">
        <v>189</v>
      </c>
      <c r="E567" s="42" t="s">
        <v>193</v>
      </c>
      <c r="F567" s="63">
        <f>'Прил.№4 ведомств.'!G673</f>
        <v>5369.2</v>
      </c>
    </row>
    <row r="568" spans="1:6" ht="31.5" x14ac:dyDescent="0.25">
      <c r="A568" s="31" t="s">
        <v>194</v>
      </c>
      <c r="B568" s="42" t="s">
        <v>327</v>
      </c>
      <c r="C568" s="42" t="s">
        <v>282</v>
      </c>
      <c r="D568" s="42" t="s">
        <v>189</v>
      </c>
      <c r="E568" s="42" t="s">
        <v>195</v>
      </c>
      <c r="F568" s="7">
        <f>F569</f>
        <v>152.89999999999998</v>
      </c>
    </row>
    <row r="569" spans="1:6" ht="47.25" x14ac:dyDescent="0.25">
      <c r="A569" s="31" t="s">
        <v>196</v>
      </c>
      <c r="B569" s="42" t="s">
        <v>327</v>
      </c>
      <c r="C569" s="42" t="s">
        <v>282</v>
      </c>
      <c r="D569" s="42" t="s">
        <v>189</v>
      </c>
      <c r="E569" s="42" t="s">
        <v>197</v>
      </c>
      <c r="F569" s="7">
        <f>'Прил.№4 ведомств.'!G675</f>
        <v>152.89999999999998</v>
      </c>
    </row>
    <row r="570" spans="1:6" ht="31.5" hidden="1" x14ac:dyDescent="0.25">
      <c r="A570" s="31" t="s">
        <v>248</v>
      </c>
      <c r="B570" s="42" t="s">
        <v>327</v>
      </c>
      <c r="C570" s="42" t="s">
        <v>282</v>
      </c>
      <c r="D570" s="42" t="s">
        <v>249</v>
      </c>
      <c r="E570" s="42"/>
      <c r="F570" s="7">
        <f>F571</f>
        <v>0</v>
      </c>
    </row>
    <row r="571" spans="1:6" ht="31.5" hidden="1" x14ac:dyDescent="0.25">
      <c r="A571" s="69" t="s">
        <v>359</v>
      </c>
      <c r="B571" s="42" t="s">
        <v>327</v>
      </c>
      <c r="C571" s="42" t="s">
        <v>282</v>
      </c>
      <c r="D571" s="21" t="s">
        <v>360</v>
      </c>
      <c r="E571" s="42"/>
      <c r="F571" s="7">
        <f>F572</f>
        <v>0</v>
      </c>
    </row>
    <row r="572" spans="1:6" ht="15.75" hidden="1" x14ac:dyDescent="0.25">
      <c r="A572" s="31" t="s">
        <v>198</v>
      </c>
      <c r="B572" s="42" t="s">
        <v>327</v>
      </c>
      <c r="C572" s="42" t="s">
        <v>282</v>
      </c>
      <c r="D572" s="21" t="s">
        <v>360</v>
      </c>
      <c r="E572" s="42" t="s">
        <v>208</v>
      </c>
      <c r="F572" s="7">
        <f>F573</f>
        <v>0</v>
      </c>
    </row>
    <row r="573" spans="1:6" ht="47.25" hidden="1" x14ac:dyDescent="0.25">
      <c r="A573" s="31" t="s">
        <v>247</v>
      </c>
      <c r="B573" s="42" t="s">
        <v>327</v>
      </c>
      <c r="C573" s="42" t="s">
        <v>282</v>
      </c>
      <c r="D573" s="21" t="s">
        <v>360</v>
      </c>
      <c r="E573" s="42" t="s">
        <v>223</v>
      </c>
      <c r="F573" s="7">
        <f>90-90</f>
        <v>0</v>
      </c>
    </row>
    <row r="574" spans="1:6" ht="15.75" x14ac:dyDescent="0.25">
      <c r="A574" s="31" t="s">
        <v>204</v>
      </c>
      <c r="B574" s="42" t="s">
        <v>327</v>
      </c>
      <c r="C574" s="42" t="s">
        <v>282</v>
      </c>
      <c r="D574" s="42" t="s">
        <v>205</v>
      </c>
      <c r="E574" s="42"/>
      <c r="F574" s="7">
        <f>F575+F578</f>
        <v>13926.1</v>
      </c>
    </row>
    <row r="575" spans="1:6" ht="15.75" x14ac:dyDescent="0.25">
      <c r="A575" s="31" t="s">
        <v>542</v>
      </c>
      <c r="B575" s="42" t="s">
        <v>327</v>
      </c>
      <c r="C575" s="42" t="s">
        <v>282</v>
      </c>
      <c r="D575" s="42" t="s">
        <v>543</v>
      </c>
      <c r="E575" s="42"/>
      <c r="F575" s="7">
        <f>F576</f>
        <v>375</v>
      </c>
    </row>
    <row r="576" spans="1:6" ht="31.5" x14ac:dyDescent="0.25">
      <c r="A576" s="31" t="s">
        <v>194</v>
      </c>
      <c r="B576" s="42" t="s">
        <v>327</v>
      </c>
      <c r="C576" s="42" t="s">
        <v>282</v>
      </c>
      <c r="D576" s="42" t="s">
        <v>543</v>
      </c>
      <c r="E576" s="42" t="s">
        <v>195</v>
      </c>
      <c r="F576" s="7">
        <f>F577</f>
        <v>375</v>
      </c>
    </row>
    <row r="577" spans="1:6" ht="47.25" x14ac:dyDescent="0.25">
      <c r="A577" s="31" t="s">
        <v>196</v>
      </c>
      <c r="B577" s="42" t="s">
        <v>327</v>
      </c>
      <c r="C577" s="42" t="s">
        <v>282</v>
      </c>
      <c r="D577" s="42" t="s">
        <v>543</v>
      </c>
      <c r="E577" s="42" t="s">
        <v>197</v>
      </c>
      <c r="F577" s="7">
        <f>'Прил.№4 ведомств.'!G679</f>
        <v>375</v>
      </c>
    </row>
    <row r="578" spans="1:6" ht="31.5" x14ac:dyDescent="0.25">
      <c r="A578" s="26" t="s">
        <v>403</v>
      </c>
      <c r="B578" s="42" t="s">
        <v>327</v>
      </c>
      <c r="C578" s="42" t="s">
        <v>282</v>
      </c>
      <c r="D578" s="42" t="s">
        <v>404</v>
      </c>
      <c r="E578" s="42"/>
      <c r="F578" s="7">
        <f>F579+F581+F583</f>
        <v>13551.1</v>
      </c>
    </row>
    <row r="579" spans="1:6" ht="78.75" x14ac:dyDescent="0.25">
      <c r="A579" s="31" t="s">
        <v>190</v>
      </c>
      <c r="B579" s="42" t="s">
        <v>327</v>
      </c>
      <c r="C579" s="42" t="s">
        <v>282</v>
      </c>
      <c r="D579" s="42" t="s">
        <v>404</v>
      </c>
      <c r="E579" s="42" t="s">
        <v>191</v>
      </c>
      <c r="F579" s="7">
        <f>F580</f>
        <v>12024.2</v>
      </c>
    </row>
    <row r="580" spans="1:6" ht="31.5" x14ac:dyDescent="0.25">
      <c r="A580" s="48" t="s">
        <v>405</v>
      </c>
      <c r="B580" s="42" t="s">
        <v>327</v>
      </c>
      <c r="C580" s="42" t="s">
        <v>282</v>
      </c>
      <c r="D580" s="42" t="s">
        <v>404</v>
      </c>
      <c r="E580" s="42" t="s">
        <v>272</v>
      </c>
      <c r="F580" s="63">
        <f>'Прил.№4 ведомств.'!G682</f>
        <v>12024.2</v>
      </c>
    </row>
    <row r="581" spans="1:6" ht="31.5" x14ac:dyDescent="0.25">
      <c r="A581" s="31" t="s">
        <v>194</v>
      </c>
      <c r="B581" s="42" t="s">
        <v>327</v>
      </c>
      <c r="C581" s="42" t="s">
        <v>282</v>
      </c>
      <c r="D581" s="42" t="s">
        <v>404</v>
      </c>
      <c r="E581" s="42" t="s">
        <v>195</v>
      </c>
      <c r="F581" s="7">
        <f>F582</f>
        <v>1518.6</v>
      </c>
    </row>
    <row r="582" spans="1:6" ht="47.25" x14ac:dyDescent="0.25">
      <c r="A582" s="31" t="s">
        <v>196</v>
      </c>
      <c r="B582" s="42" t="s">
        <v>327</v>
      </c>
      <c r="C582" s="42" t="s">
        <v>282</v>
      </c>
      <c r="D582" s="42" t="s">
        <v>404</v>
      </c>
      <c r="E582" s="42" t="s">
        <v>197</v>
      </c>
      <c r="F582" s="7">
        <f>'Прил.№4 ведомств.'!G684</f>
        <v>1518.6</v>
      </c>
    </row>
    <row r="583" spans="1:6" ht="15.75" x14ac:dyDescent="0.25">
      <c r="A583" s="31" t="s">
        <v>198</v>
      </c>
      <c r="B583" s="42" t="s">
        <v>327</v>
      </c>
      <c r="C583" s="42" t="s">
        <v>282</v>
      </c>
      <c r="D583" s="42" t="s">
        <v>404</v>
      </c>
      <c r="E583" s="42" t="s">
        <v>208</v>
      </c>
      <c r="F583" s="7">
        <f>F584</f>
        <v>8.3000000000000007</v>
      </c>
    </row>
    <row r="584" spans="1:6" ht="15.75" x14ac:dyDescent="0.25">
      <c r="A584" s="31" t="s">
        <v>633</v>
      </c>
      <c r="B584" s="42" t="s">
        <v>327</v>
      </c>
      <c r="C584" s="42" t="s">
        <v>282</v>
      </c>
      <c r="D584" s="42" t="s">
        <v>404</v>
      </c>
      <c r="E584" s="42" t="s">
        <v>201</v>
      </c>
      <c r="F584" s="7">
        <f>'Прил.№4 ведомств.'!G686</f>
        <v>8.3000000000000007</v>
      </c>
    </row>
    <row r="585" spans="1:6" ht="15.75" x14ac:dyDescent="0.25">
      <c r="A585" s="43" t="s">
        <v>361</v>
      </c>
      <c r="B585" s="8" t="s">
        <v>362</v>
      </c>
      <c r="C585" s="8"/>
      <c r="D585" s="8"/>
      <c r="E585" s="8"/>
      <c r="F585" s="4">
        <f>F586+F659</f>
        <v>64005.600000000006</v>
      </c>
    </row>
    <row r="586" spans="1:6" ht="15.75" x14ac:dyDescent="0.25">
      <c r="A586" s="43" t="s">
        <v>363</v>
      </c>
      <c r="B586" s="8" t="s">
        <v>362</v>
      </c>
      <c r="C586" s="8" t="s">
        <v>181</v>
      </c>
      <c r="D586" s="8"/>
      <c r="E586" s="8"/>
      <c r="F586" s="4">
        <f>F587+F638+F634</f>
        <v>46125.900000000009</v>
      </c>
    </row>
    <row r="587" spans="1:6" ht="31.5" x14ac:dyDescent="0.25">
      <c r="A587" s="31" t="s">
        <v>329</v>
      </c>
      <c r="B587" s="42" t="s">
        <v>362</v>
      </c>
      <c r="C587" s="42" t="s">
        <v>181</v>
      </c>
      <c r="D587" s="42" t="s">
        <v>330</v>
      </c>
      <c r="E587" s="42"/>
      <c r="F587" s="7">
        <f>F588+F610</f>
        <v>43901.200000000004</v>
      </c>
    </row>
    <row r="588" spans="1:6" ht="47.25" x14ac:dyDescent="0.25">
      <c r="A588" s="31" t="s">
        <v>364</v>
      </c>
      <c r="B588" s="42" t="s">
        <v>362</v>
      </c>
      <c r="C588" s="42" t="s">
        <v>181</v>
      </c>
      <c r="D588" s="42" t="s">
        <v>365</v>
      </c>
      <c r="E588" s="42"/>
      <c r="F588" s="7">
        <f>F589+F592+F595+F598+F601+F604+F607</f>
        <v>25938.600000000002</v>
      </c>
    </row>
    <row r="589" spans="1:6" ht="31.5" x14ac:dyDescent="0.25">
      <c r="A589" s="31" t="s">
        <v>366</v>
      </c>
      <c r="B589" s="42" t="s">
        <v>362</v>
      </c>
      <c r="C589" s="42" t="s">
        <v>181</v>
      </c>
      <c r="D589" s="42" t="s">
        <v>367</v>
      </c>
      <c r="E589" s="42"/>
      <c r="F589" s="7">
        <f>F590</f>
        <v>23705.000000000004</v>
      </c>
    </row>
    <row r="590" spans="1:6" ht="47.25" x14ac:dyDescent="0.25">
      <c r="A590" s="31" t="s">
        <v>335</v>
      </c>
      <c r="B590" s="42" t="s">
        <v>362</v>
      </c>
      <c r="C590" s="42" t="s">
        <v>181</v>
      </c>
      <c r="D590" s="42" t="s">
        <v>367</v>
      </c>
      <c r="E590" s="42" t="s">
        <v>336</v>
      </c>
      <c r="F590" s="7">
        <f>F591</f>
        <v>23705.000000000004</v>
      </c>
    </row>
    <row r="591" spans="1:6" ht="15.75" x14ac:dyDescent="0.25">
      <c r="A591" s="31" t="s">
        <v>337</v>
      </c>
      <c r="B591" s="42" t="s">
        <v>362</v>
      </c>
      <c r="C591" s="42" t="s">
        <v>181</v>
      </c>
      <c r="D591" s="42" t="s">
        <v>367</v>
      </c>
      <c r="E591" s="42" t="s">
        <v>338</v>
      </c>
      <c r="F591" s="7">
        <f>'Прил.№4 ведомств.'!G286</f>
        <v>23705.000000000004</v>
      </c>
    </row>
    <row r="592" spans="1:6" ht="47.25" x14ac:dyDescent="0.25">
      <c r="A592" s="31" t="s">
        <v>834</v>
      </c>
      <c r="B592" s="42" t="s">
        <v>362</v>
      </c>
      <c r="C592" s="42" t="s">
        <v>181</v>
      </c>
      <c r="D592" s="42" t="s">
        <v>368</v>
      </c>
      <c r="E592" s="42"/>
      <c r="F592" s="7">
        <f>F593</f>
        <v>96.1</v>
      </c>
    </row>
    <row r="593" spans="1:6" ht="47.25" x14ac:dyDescent="0.25">
      <c r="A593" s="31" t="s">
        <v>335</v>
      </c>
      <c r="B593" s="42" t="s">
        <v>362</v>
      </c>
      <c r="C593" s="42" t="s">
        <v>181</v>
      </c>
      <c r="D593" s="42" t="s">
        <v>368</v>
      </c>
      <c r="E593" s="42" t="s">
        <v>336</v>
      </c>
      <c r="F593" s="7">
        <f>F594</f>
        <v>96.1</v>
      </c>
    </row>
    <row r="594" spans="1:6" ht="15.75" x14ac:dyDescent="0.25">
      <c r="A594" s="31" t="s">
        <v>337</v>
      </c>
      <c r="B594" s="42" t="s">
        <v>362</v>
      </c>
      <c r="C594" s="42" t="s">
        <v>181</v>
      </c>
      <c r="D594" s="42" t="s">
        <v>368</v>
      </c>
      <c r="E594" s="42" t="s">
        <v>338</v>
      </c>
      <c r="F594" s="7">
        <f>'Прил.№4 ведомств.'!G289</f>
        <v>96.1</v>
      </c>
    </row>
    <row r="595" spans="1:6" ht="31.5" hidden="1" x14ac:dyDescent="0.25">
      <c r="A595" s="31" t="s">
        <v>341</v>
      </c>
      <c r="B595" s="42" t="s">
        <v>362</v>
      </c>
      <c r="C595" s="42" t="s">
        <v>181</v>
      </c>
      <c r="D595" s="42" t="s">
        <v>695</v>
      </c>
      <c r="E595" s="42"/>
      <c r="F595" s="7">
        <f>F596</f>
        <v>0</v>
      </c>
    </row>
    <row r="596" spans="1:6" ht="47.25" hidden="1" x14ac:dyDescent="0.25">
      <c r="A596" s="31" t="s">
        <v>335</v>
      </c>
      <c r="B596" s="42" t="s">
        <v>362</v>
      </c>
      <c r="C596" s="42" t="s">
        <v>181</v>
      </c>
      <c r="D596" s="42" t="s">
        <v>695</v>
      </c>
      <c r="E596" s="42" t="s">
        <v>336</v>
      </c>
      <c r="F596" s="7">
        <f>F597</f>
        <v>0</v>
      </c>
    </row>
    <row r="597" spans="1:6" ht="15.75" hidden="1" x14ac:dyDescent="0.25">
      <c r="A597" s="31" t="s">
        <v>337</v>
      </c>
      <c r="B597" s="42" t="s">
        <v>362</v>
      </c>
      <c r="C597" s="42" t="s">
        <v>181</v>
      </c>
      <c r="D597" s="42" t="s">
        <v>695</v>
      </c>
      <c r="E597" s="42" t="s">
        <v>338</v>
      </c>
      <c r="F597" s="7"/>
    </row>
    <row r="598" spans="1:6" ht="31.5" hidden="1" x14ac:dyDescent="0.25">
      <c r="A598" s="31" t="s">
        <v>343</v>
      </c>
      <c r="B598" s="42" t="s">
        <v>362</v>
      </c>
      <c r="C598" s="42" t="s">
        <v>181</v>
      </c>
      <c r="D598" s="42" t="s">
        <v>696</v>
      </c>
      <c r="E598" s="42"/>
      <c r="F598" s="7">
        <f>F599</f>
        <v>0</v>
      </c>
    </row>
    <row r="599" spans="1:6" ht="47.25" hidden="1" x14ac:dyDescent="0.25">
      <c r="A599" s="31" t="s">
        <v>335</v>
      </c>
      <c r="B599" s="42" t="s">
        <v>362</v>
      </c>
      <c r="C599" s="42" t="s">
        <v>181</v>
      </c>
      <c r="D599" s="42" t="s">
        <v>696</v>
      </c>
      <c r="E599" s="42" t="s">
        <v>336</v>
      </c>
      <c r="F599" s="7">
        <f>F600</f>
        <v>0</v>
      </c>
    </row>
    <row r="600" spans="1:6" ht="15.75" hidden="1" x14ac:dyDescent="0.25">
      <c r="A600" s="31" t="s">
        <v>337</v>
      </c>
      <c r="B600" s="42" t="s">
        <v>362</v>
      </c>
      <c r="C600" s="42" t="s">
        <v>181</v>
      </c>
      <c r="D600" s="42" t="s">
        <v>696</v>
      </c>
      <c r="E600" s="42" t="s">
        <v>338</v>
      </c>
      <c r="F600" s="7"/>
    </row>
    <row r="601" spans="1:6" ht="31.5" hidden="1" x14ac:dyDescent="0.25">
      <c r="A601" s="31" t="s">
        <v>347</v>
      </c>
      <c r="B601" s="42" t="s">
        <v>362</v>
      </c>
      <c r="C601" s="42" t="s">
        <v>181</v>
      </c>
      <c r="D601" s="42" t="s">
        <v>697</v>
      </c>
      <c r="E601" s="42"/>
      <c r="F601" s="7">
        <f>F602</f>
        <v>0</v>
      </c>
    </row>
    <row r="602" spans="1:6" ht="47.25" hidden="1" x14ac:dyDescent="0.25">
      <c r="A602" s="31" t="s">
        <v>335</v>
      </c>
      <c r="B602" s="42" t="s">
        <v>362</v>
      </c>
      <c r="C602" s="42" t="s">
        <v>181</v>
      </c>
      <c r="D602" s="42" t="s">
        <v>697</v>
      </c>
      <c r="E602" s="42" t="s">
        <v>336</v>
      </c>
      <c r="F602" s="7">
        <f>F603</f>
        <v>0</v>
      </c>
    </row>
    <row r="603" spans="1:6" ht="15.75" hidden="1" x14ac:dyDescent="0.25">
      <c r="A603" s="31" t="s">
        <v>337</v>
      </c>
      <c r="B603" s="42" t="s">
        <v>362</v>
      </c>
      <c r="C603" s="42" t="s">
        <v>181</v>
      </c>
      <c r="D603" s="42" t="s">
        <v>697</v>
      </c>
      <c r="E603" s="42" t="s">
        <v>338</v>
      </c>
      <c r="F603" s="7"/>
    </row>
    <row r="604" spans="1:6" ht="31.5" x14ac:dyDescent="0.25">
      <c r="A604" s="31" t="s">
        <v>698</v>
      </c>
      <c r="B604" s="42" t="s">
        <v>362</v>
      </c>
      <c r="C604" s="42" t="s">
        <v>181</v>
      </c>
      <c r="D604" s="42" t="s">
        <v>369</v>
      </c>
      <c r="E604" s="42"/>
      <c r="F604" s="7">
        <f>F605</f>
        <v>142.1</v>
      </c>
    </row>
    <row r="605" spans="1:6" ht="47.25" x14ac:dyDescent="0.25">
      <c r="A605" s="31" t="s">
        <v>335</v>
      </c>
      <c r="B605" s="42" t="s">
        <v>362</v>
      </c>
      <c r="C605" s="42" t="s">
        <v>181</v>
      </c>
      <c r="D605" s="42" t="s">
        <v>369</v>
      </c>
      <c r="E605" s="42" t="s">
        <v>336</v>
      </c>
      <c r="F605" s="7">
        <f>F606</f>
        <v>142.1</v>
      </c>
    </row>
    <row r="606" spans="1:6" ht="15.75" x14ac:dyDescent="0.25">
      <c r="A606" s="31" t="s">
        <v>337</v>
      </c>
      <c r="B606" s="42" t="s">
        <v>362</v>
      </c>
      <c r="C606" s="42" t="s">
        <v>181</v>
      </c>
      <c r="D606" s="42" t="s">
        <v>369</v>
      </c>
      <c r="E606" s="42" t="s">
        <v>338</v>
      </c>
      <c r="F606" s="7">
        <f>'Прил.№4 ведомств.'!G292</f>
        <v>142.1</v>
      </c>
    </row>
    <row r="607" spans="1:6" ht="15.75" x14ac:dyDescent="0.25">
      <c r="A607" s="31" t="s">
        <v>370</v>
      </c>
      <c r="B607" s="42" t="s">
        <v>362</v>
      </c>
      <c r="C607" s="42" t="s">
        <v>181</v>
      </c>
      <c r="D607" s="42" t="s">
        <v>371</v>
      </c>
      <c r="E607" s="42"/>
      <c r="F607" s="7">
        <f>F608</f>
        <v>1995.4</v>
      </c>
    </row>
    <row r="608" spans="1:6" ht="47.25" x14ac:dyDescent="0.25">
      <c r="A608" s="31" t="s">
        <v>335</v>
      </c>
      <c r="B608" s="42" t="s">
        <v>362</v>
      </c>
      <c r="C608" s="42" t="s">
        <v>181</v>
      </c>
      <c r="D608" s="42" t="s">
        <v>371</v>
      </c>
      <c r="E608" s="42" t="s">
        <v>336</v>
      </c>
      <c r="F608" s="7">
        <f>F609</f>
        <v>1995.4</v>
      </c>
    </row>
    <row r="609" spans="1:6" ht="15.75" x14ac:dyDescent="0.25">
      <c r="A609" s="31" t="s">
        <v>337</v>
      </c>
      <c r="B609" s="42" t="s">
        <v>362</v>
      </c>
      <c r="C609" s="42" t="s">
        <v>181</v>
      </c>
      <c r="D609" s="42" t="s">
        <v>371</v>
      </c>
      <c r="E609" s="42" t="s">
        <v>338</v>
      </c>
      <c r="F609" s="7">
        <f>'Прил.№4 ведомств.'!G295</f>
        <v>1995.4</v>
      </c>
    </row>
    <row r="610" spans="1:6" ht="31.5" x14ac:dyDescent="0.25">
      <c r="A610" s="31" t="s">
        <v>375</v>
      </c>
      <c r="B610" s="42" t="s">
        <v>362</v>
      </c>
      <c r="C610" s="42" t="s">
        <v>181</v>
      </c>
      <c r="D610" s="42" t="s">
        <v>376</v>
      </c>
      <c r="E610" s="42"/>
      <c r="F610" s="7">
        <f>F611+F614+F619+F622+F625+F628+F630</f>
        <v>17962.600000000002</v>
      </c>
    </row>
    <row r="611" spans="1:6" ht="31.5" x14ac:dyDescent="0.25">
      <c r="A611" s="31" t="s">
        <v>366</v>
      </c>
      <c r="B611" s="42" t="s">
        <v>362</v>
      </c>
      <c r="C611" s="42" t="s">
        <v>181</v>
      </c>
      <c r="D611" s="42" t="s">
        <v>377</v>
      </c>
      <c r="E611" s="42"/>
      <c r="F611" s="7">
        <f>F612</f>
        <v>17957.2</v>
      </c>
    </row>
    <row r="612" spans="1:6" ht="47.25" x14ac:dyDescent="0.25">
      <c r="A612" s="31" t="s">
        <v>335</v>
      </c>
      <c r="B612" s="42" t="s">
        <v>362</v>
      </c>
      <c r="C612" s="42" t="s">
        <v>181</v>
      </c>
      <c r="D612" s="42" t="s">
        <v>377</v>
      </c>
      <c r="E612" s="42" t="s">
        <v>336</v>
      </c>
      <c r="F612" s="7">
        <f>F613</f>
        <v>17957.2</v>
      </c>
    </row>
    <row r="613" spans="1:6" ht="15.75" x14ac:dyDescent="0.25">
      <c r="A613" s="31" t="s">
        <v>337</v>
      </c>
      <c r="B613" s="42" t="s">
        <v>362</v>
      </c>
      <c r="C613" s="42" t="s">
        <v>181</v>
      </c>
      <c r="D613" s="42" t="s">
        <v>377</v>
      </c>
      <c r="E613" s="42" t="s">
        <v>338</v>
      </c>
      <c r="F613" s="7">
        <f>'Прил.№4 ведомств.'!G312</f>
        <v>17957.2</v>
      </c>
    </row>
    <row r="614" spans="1:6" ht="26.25" customHeight="1" x14ac:dyDescent="0.25">
      <c r="A614" s="31" t="s">
        <v>378</v>
      </c>
      <c r="B614" s="42" t="s">
        <v>362</v>
      </c>
      <c r="C614" s="42" t="s">
        <v>181</v>
      </c>
      <c r="D614" s="42" t="s">
        <v>699</v>
      </c>
      <c r="E614" s="42"/>
      <c r="F614" s="7">
        <f>F615+F617</f>
        <v>5</v>
      </c>
    </row>
    <row r="615" spans="1:6" ht="31.5" hidden="1" x14ac:dyDescent="0.25">
      <c r="A615" s="31" t="s">
        <v>194</v>
      </c>
      <c r="B615" s="42" t="s">
        <v>362</v>
      </c>
      <c r="C615" s="42" t="s">
        <v>181</v>
      </c>
      <c r="D615" s="42" t="s">
        <v>699</v>
      </c>
      <c r="E615" s="42" t="s">
        <v>195</v>
      </c>
      <c r="F615" s="7">
        <f>F616</f>
        <v>0</v>
      </c>
    </row>
    <row r="616" spans="1:6" ht="47.25" hidden="1" x14ac:dyDescent="0.25">
      <c r="A616" s="31" t="s">
        <v>196</v>
      </c>
      <c r="B616" s="42" t="s">
        <v>362</v>
      </c>
      <c r="C616" s="42" t="s">
        <v>181</v>
      </c>
      <c r="D616" s="42" t="s">
        <v>699</v>
      </c>
      <c r="E616" s="42" t="s">
        <v>197</v>
      </c>
      <c r="F616" s="7"/>
    </row>
    <row r="617" spans="1:6" ht="47.25" x14ac:dyDescent="0.25">
      <c r="A617" s="31" t="s">
        <v>335</v>
      </c>
      <c r="B617" s="42" t="s">
        <v>362</v>
      </c>
      <c r="C617" s="42" t="s">
        <v>181</v>
      </c>
      <c r="D617" s="42" t="s">
        <v>699</v>
      </c>
      <c r="E617" s="42" t="s">
        <v>336</v>
      </c>
      <c r="F617" s="7">
        <f>F618</f>
        <v>5</v>
      </c>
    </row>
    <row r="618" spans="1:6" ht="15.75" x14ac:dyDescent="0.25">
      <c r="A618" s="31" t="s">
        <v>337</v>
      </c>
      <c r="B618" s="42" t="s">
        <v>362</v>
      </c>
      <c r="C618" s="42" t="s">
        <v>181</v>
      </c>
      <c r="D618" s="42" t="s">
        <v>699</v>
      </c>
      <c r="E618" s="42" t="s">
        <v>338</v>
      </c>
      <c r="F618" s="7">
        <f>'Прил.№4 ведомств.'!G317</f>
        <v>5</v>
      </c>
    </row>
    <row r="619" spans="1:6" ht="31.5" hidden="1" x14ac:dyDescent="0.25">
      <c r="A619" s="31" t="s">
        <v>341</v>
      </c>
      <c r="B619" s="42" t="s">
        <v>362</v>
      </c>
      <c r="C619" s="42" t="s">
        <v>181</v>
      </c>
      <c r="D619" s="42" t="s">
        <v>700</v>
      </c>
      <c r="E619" s="42"/>
      <c r="F619" s="7">
        <f>F620</f>
        <v>0</v>
      </c>
    </row>
    <row r="620" spans="1:6" ht="47.25" hidden="1" x14ac:dyDescent="0.25">
      <c r="A620" s="31" t="s">
        <v>335</v>
      </c>
      <c r="B620" s="42" t="s">
        <v>362</v>
      </c>
      <c r="C620" s="42" t="s">
        <v>181</v>
      </c>
      <c r="D620" s="42" t="s">
        <v>700</v>
      </c>
      <c r="E620" s="42" t="s">
        <v>336</v>
      </c>
      <c r="F620" s="7">
        <f>F621</f>
        <v>0</v>
      </c>
    </row>
    <row r="621" spans="1:6" ht="15.75" hidden="1" x14ac:dyDescent="0.25">
      <c r="A621" s="31" t="s">
        <v>337</v>
      </c>
      <c r="B621" s="42" t="s">
        <v>362</v>
      </c>
      <c r="C621" s="42" t="s">
        <v>181</v>
      </c>
      <c r="D621" s="42" t="s">
        <v>700</v>
      </c>
      <c r="E621" s="42" t="s">
        <v>338</v>
      </c>
      <c r="F621" s="7"/>
    </row>
    <row r="622" spans="1:6" ht="31.5" hidden="1" x14ac:dyDescent="0.25">
      <c r="A622" s="31" t="s">
        <v>343</v>
      </c>
      <c r="B622" s="42" t="s">
        <v>362</v>
      </c>
      <c r="C622" s="42" t="s">
        <v>181</v>
      </c>
      <c r="D622" s="42" t="s">
        <v>701</v>
      </c>
      <c r="E622" s="42"/>
      <c r="F622" s="7">
        <f>F623</f>
        <v>0</v>
      </c>
    </row>
    <row r="623" spans="1:6" ht="47.25" hidden="1" x14ac:dyDescent="0.25">
      <c r="A623" s="31" t="s">
        <v>335</v>
      </c>
      <c r="B623" s="42" t="s">
        <v>362</v>
      </c>
      <c r="C623" s="42" t="s">
        <v>181</v>
      </c>
      <c r="D623" s="42" t="s">
        <v>701</v>
      </c>
      <c r="E623" s="42" t="s">
        <v>336</v>
      </c>
      <c r="F623" s="7">
        <f>F624</f>
        <v>0</v>
      </c>
    </row>
    <row r="624" spans="1:6" ht="15.75" hidden="1" x14ac:dyDescent="0.25">
      <c r="A624" s="31" t="s">
        <v>337</v>
      </c>
      <c r="B624" s="42" t="s">
        <v>362</v>
      </c>
      <c r="C624" s="42" t="s">
        <v>181</v>
      </c>
      <c r="D624" s="42" t="s">
        <v>701</v>
      </c>
      <c r="E624" s="42" t="s">
        <v>338</v>
      </c>
      <c r="F624" s="7"/>
    </row>
    <row r="625" spans="1:6" ht="31.5" hidden="1" x14ac:dyDescent="0.25">
      <c r="A625" s="31" t="s">
        <v>347</v>
      </c>
      <c r="B625" s="42" t="s">
        <v>362</v>
      </c>
      <c r="C625" s="42" t="s">
        <v>181</v>
      </c>
      <c r="D625" s="42" t="s">
        <v>702</v>
      </c>
      <c r="E625" s="42"/>
      <c r="F625" s="7">
        <f>F626</f>
        <v>0</v>
      </c>
    </row>
    <row r="626" spans="1:6" ht="47.25" hidden="1" x14ac:dyDescent="0.25">
      <c r="A626" s="31" t="s">
        <v>335</v>
      </c>
      <c r="B626" s="42" t="s">
        <v>362</v>
      </c>
      <c r="C626" s="42" t="s">
        <v>181</v>
      </c>
      <c r="D626" s="42" t="s">
        <v>702</v>
      </c>
      <c r="E626" s="42" t="s">
        <v>336</v>
      </c>
      <c r="F626" s="7">
        <f>F627</f>
        <v>0</v>
      </c>
    </row>
    <row r="627" spans="1:6" ht="15.75" hidden="1" x14ac:dyDescent="0.25">
      <c r="A627" s="31" t="s">
        <v>337</v>
      </c>
      <c r="B627" s="42" t="s">
        <v>362</v>
      </c>
      <c r="C627" s="42" t="s">
        <v>181</v>
      </c>
      <c r="D627" s="42" t="s">
        <v>702</v>
      </c>
      <c r="E627" s="42" t="s">
        <v>338</v>
      </c>
      <c r="F627" s="7"/>
    </row>
    <row r="628" spans="1:6" ht="31.5" hidden="1" x14ac:dyDescent="0.25">
      <c r="A628" s="70" t="s">
        <v>384</v>
      </c>
      <c r="B628" s="42" t="s">
        <v>362</v>
      </c>
      <c r="C628" s="42" t="s">
        <v>181</v>
      </c>
      <c r="D628" s="42" t="s">
        <v>385</v>
      </c>
      <c r="E628" s="42"/>
      <c r="F628" s="7">
        <f>F629</f>
        <v>0</v>
      </c>
    </row>
    <row r="629" spans="1:6" ht="47.25" hidden="1" x14ac:dyDescent="0.25">
      <c r="A629" s="31" t="s">
        <v>335</v>
      </c>
      <c r="B629" s="42" t="s">
        <v>362</v>
      </c>
      <c r="C629" s="42" t="s">
        <v>181</v>
      </c>
      <c r="D629" s="42" t="s">
        <v>385</v>
      </c>
      <c r="E629" s="42" t="s">
        <v>336</v>
      </c>
      <c r="F629" s="7">
        <f>F633</f>
        <v>0</v>
      </c>
    </row>
    <row r="630" spans="1:6" ht="15.75" x14ac:dyDescent="0.25">
      <c r="A630" s="26" t="s">
        <v>790</v>
      </c>
      <c r="B630" s="42" t="s">
        <v>362</v>
      </c>
      <c r="C630" s="42" t="s">
        <v>181</v>
      </c>
      <c r="D630" s="21" t="s">
        <v>791</v>
      </c>
      <c r="E630" s="42"/>
      <c r="F630" s="7">
        <f>F631</f>
        <v>0.4</v>
      </c>
    </row>
    <row r="631" spans="1:6" ht="47.25" x14ac:dyDescent="0.25">
      <c r="A631" s="26" t="s">
        <v>335</v>
      </c>
      <c r="B631" s="42" t="s">
        <v>362</v>
      </c>
      <c r="C631" s="42" t="s">
        <v>181</v>
      </c>
      <c r="D631" s="21" t="s">
        <v>791</v>
      </c>
      <c r="E631" s="42" t="s">
        <v>336</v>
      </c>
      <c r="F631" s="7">
        <f>F632</f>
        <v>0.4</v>
      </c>
    </row>
    <row r="632" spans="1:6" ht="15.75" x14ac:dyDescent="0.25">
      <c r="A632" s="26" t="s">
        <v>337</v>
      </c>
      <c r="B632" s="42" t="s">
        <v>362</v>
      </c>
      <c r="C632" s="42" t="s">
        <v>181</v>
      </c>
      <c r="D632" s="21" t="s">
        <v>791</v>
      </c>
      <c r="E632" s="42" t="s">
        <v>338</v>
      </c>
      <c r="F632" s="7">
        <f>'Прил.№4 ведомств.'!G320</f>
        <v>0.4</v>
      </c>
    </row>
    <row r="633" spans="1:6" ht="15.75" x14ac:dyDescent="0.25">
      <c r="A633" s="31" t="s">
        <v>337</v>
      </c>
      <c r="B633" s="42" t="s">
        <v>362</v>
      </c>
      <c r="C633" s="42" t="s">
        <v>181</v>
      </c>
      <c r="D633" s="42" t="s">
        <v>385</v>
      </c>
      <c r="E633" s="42" t="s">
        <v>338</v>
      </c>
      <c r="F633" s="7">
        <v>0</v>
      </c>
    </row>
    <row r="634" spans="1:6" ht="63" x14ac:dyDescent="0.25">
      <c r="A634" s="31" t="s">
        <v>386</v>
      </c>
      <c r="B634" s="42" t="s">
        <v>362</v>
      </c>
      <c r="C634" s="42" t="s">
        <v>181</v>
      </c>
      <c r="D634" s="42" t="s">
        <v>387</v>
      </c>
      <c r="E634" s="21"/>
      <c r="F634" s="7">
        <f>F635</f>
        <v>186.8</v>
      </c>
    </row>
    <row r="635" spans="1:6" ht="47.25" x14ac:dyDescent="0.25">
      <c r="A635" s="26" t="s">
        <v>703</v>
      </c>
      <c r="B635" s="42" t="s">
        <v>362</v>
      </c>
      <c r="C635" s="42" t="s">
        <v>181</v>
      </c>
      <c r="D635" s="42" t="s">
        <v>389</v>
      </c>
      <c r="E635" s="21"/>
      <c r="F635" s="7">
        <f>F636</f>
        <v>186.8</v>
      </c>
    </row>
    <row r="636" spans="1:6" ht="47.25" x14ac:dyDescent="0.25">
      <c r="A636" s="31" t="s">
        <v>335</v>
      </c>
      <c r="B636" s="42" t="s">
        <v>362</v>
      </c>
      <c r="C636" s="42" t="s">
        <v>181</v>
      </c>
      <c r="D636" s="42" t="s">
        <v>389</v>
      </c>
      <c r="E636" s="21" t="s">
        <v>336</v>
      </c>
      <c r="F636" s="7">
        <f>F637</f>
        <v>186.8</v>
      </c>
    </row>
    <row r="637" spans="1:6" ht="15.75" x14ac:dyDescent="0.25">
      <c r="A637" s="31" t="s">
        <v>337</v>
      </c>
      <c r="B637" s="42" t="s">
        <v>362</v>
      </c>
      <c r="C637" s="42" t="s">
        <v>181</v>
      </c>
      <c r="D637" s="42" t="s">
        <v>389</v>
      </c>
      <c r="E637" s="21" t="s">
        <v>338</v>
      </c>
      <c r="F637" s="7">
        <f>'Прил.№4 ведомств.'!G339</f>
        <v>186.8</v>
      </c>
    </row>
    <row r="638" spans="1:6" ht="15.75" x14ac:dyDescent="0.25">
      <c r="A638" s="31" t="s">
        <v>184</v>
      </c>
      <c r="B638" s="42" t="s">
        <v>362</v>
      </c>
      <c r="C638" s="42" t="s">
        <v>181</v>
      </c>
      <c r="D638" s="42" t="s">
        <v>185</v>
      </c>
      <c r="E638" s="42"/>
      <c r="F638" s="7">
        <f>F639</f>
        <v>2037.9</v>
      </c>
    </row>
    <row r="639" spans="1:6" ht="31.5" x14ac:dyDescent="0.25">
      <c r="A639" s="31" t="s">
        <v>248</v>
      </c>
      <c r="B639" s="42" t="s">
        <v>362</v>
      </c>
      <c r="C639" s="42" t="s">
        <v>181</v>
      </c>
      <c r="D639" s="42" t="s">
        <v>249</v>
      </c>
      <c r="E639" s="42"/>
      <c r="F639" s="7">
        <f>F642+F644+F647+F649+F652+F653+F656</f>
        <v>2037.9</v>
      </c>
    </row>
    <row r="640" spans="1:6" ht="31.5" hidden="1" x14ac:dyDescent="0.25">
      <c r="A640" s="69" t="s">
        <v>390</v>
      </c>
      <c r="B640" s="42" t="s">
        <v>362</v>
      </c>
      <c r="C640" s="42" t="s">
        <v>181</v>
      </c>
      <c r="D640" s="42" t="s">
        <v>391</v>
      </c>
      <c r="E640" s="42"/>
      <c r="F640" s="7">
        <f>F641+F643</f>
        <v>0</v>
      </c>
    </row>
    <row r="641" spans="1:6" ht="31.5" hidden="1" x14ac:dyDescent="0.25">
      <c r="A641" s="31" t="s">
        <v>194</v>
      </c>
      <c r="B641" s="42" t="s">
        <v>362</v>
      </c>
      <c r="C641" s="42" t="s">
        <v>181</v>
      </c>
      <c r="D641" s="42" t="s">
        <v>391</v>
      </c>
      <c r="E641" s="42" t="s">
        <v>195</v>
      </c>
      <c r="F641" s="7">
        <f>F642</f>
        <v>0</v>
      </c>
    </row>
    <row r="642" spans="1:6" ht="47.25" hidden="1" x14ac:dyDescent="0.25">
      <c r="A642" s="31" t="s">
        <v>196</v>
      </c>
      <c r="B642" s="42" t="s">
        <v>362</v>
      </c>
      <c r="C642" s="42" t="s">
        <v>181</v>
      </c>
      <c r="D642" s="42" t="s">
        <v>391</v>
      </c>
      <c r="E642" s="42" t="s">
        <v>197</v>
      </c>
      <c r="F642" s="7">
        <v>0</v>
      </c>
    </row>
    <row r="643" spans="1:6" ht="47.25" hidden="1" x14ac:dyDescent="0.25">
      <c r="A643" s="31" t="s">
        <v>335</v>
      </c>
      <c r="B643" s="42" t="s">
        <v>362</v>
      </c>
      <c r="C643" s="42" t="s">
        <v>181</v>
      </c>
      <c r="D643" s="42" t="s">
        <v>391</v>
      </c>
      <c r="E643" s="42" t="s">
        <v>336</v>
      </c>
      <c r="F643" s="7">
        <f>F644</f>
        <v>0</v>
      </c>
    </row>
    <row r="644" spans="1:6" ht="15.75" hidden="1" x14ac:dyDescent="0.25">
      <c r="A644" s="31" t="s">
        <v>337</v>
      </c>
      <c r="B644" s="42" t="s">
        <v>362</v>
      </c>
      <c r="C644" s="42" t="s">
        <v>181</v>
      </c>
      <c r="D644" s="42" t="s">
        <v>391</v>
      </c>
      <c r="E644" s="42" t="s">
        <v>338</v>
      </c>
      <c r="F644" s="7">
        <v>0</v>
      </c>
    </row>
    <row r="645" spans="1:6" ht="31.5" x14ac:dyDescent="0.25">
      <c r="A645" s="31" t="s">
        <v>378</v>
      </c>
      <c r="B645" s="42" t="s">
        <v>362</v>
      </c>
      <c r="C645" s="42" t="s">
        <v>181</v>
      </c>
      <c r="D645" s="42" t="s">
        <v>393</v>
      </c>
      <c r="E645" s="42"/>
      <c r="F645" s="7">
        <f>F648+F646</f>
        <v>177.3</v>
      </c>
    </row>
    <row r="646" spans="1:6" ht="31.5" hidden="1" x14ac:dyDescent="0.25">
      <c r="A646" s="31" t="s">
        <v>194</v>
      </c>
      <c r="B646" s="42" t="s">
        <v>362</v>
      </c>
      <c r="C646" s="42" t="s">
        <v>181</v>
      </c>
      <c r="D646" s="42" t="s">
        <v>393</v>
      </c>
      <c r="E646" s="42" t="s">
        <v>195</v>
      </c>
      <c r="F646" s="7">
        <f>F647</f>
        <v>0</v>
      </c>
    </row>
    <row r="647" spans="1:6" ht="47.25" hidden="1" x14ac:dyDescent="0.25">
      <c r="A647" s="31" t="s">
        <v>196</v>
      </c>
      <c r="B647" s="42" t="s">
        <v>362</v>
      </c>
      <c r="C647" s="42" t="s">
        <v>181</v>
      </c>
      <c r="D647" s="42" t="s">
        <v>393</v>
      </c>
      <c r="E647" s="42" t="s">
        <v>197</v>
      </c>
      <c r="F647" s="7"/>
    </row>
    <row r="648" spans="1:6" ht="47.25" x14ac:dyDescent="0.25">
      <c r="A648" s="31" t="s">
        <v>335</v>
      </c>
      <c r="B648" s="42" t="s">
        <v>362</v>
      </c>
      <c r="C648" s="42" t="s">
        <v>181</v>
      </c>
      <c r="D648" s="42" t="s">
        <v>393</v>
      </c>
      <c r="E648" s="42" t="s">
        <v>336</v>
      </c>
      <c r="F648" s="7">
        <f>F649</f>
        <v>177.3</v>
      </c>
    </row>
    <row r="649" spans="1:6" ht="15.75" x14ac:dyDescent="0.25">
      <c r="A649" s="31" t="s">
        <v>337</v>
      </c>
      <c r="B649" s="42" t="s">
        <v>362</v>
      </c>
      <c r="C649" s="42" t="s">
        <v>181</v>
      </c>
      <c r="D649" s="42" t="s">
        <v>393</v>
      </c>
      <c r="E649" s="42" t="s">
        <v>338</v>
      </c>
      <c r="F649" s="7">
        <f>'Прил.№4 ведомств.'!G351</f>
        <v>177.3</v>
      </c>
    </row>
    <row r="650" spans="1:6" ht="94.5" x14ac:dyDescent="0.25">
      <c r="A650" s="31" t="s">
        <v>704</v>
      </c>
      <c r="B650" s="42" t="s">
        <v>362</v>
      </c>
      <c r="C650" s="42" t="s">
        <v>181</v>
      </c>
      <c r="D650" s="42" t="s">
        <v>395</v>
      </c>
      <c r="E650" s="42"/>
      <c r="F650" s="7">
        <f>F651</f>
        <v>263.3</v>
      </c>
    </row>
    <row r="651" spans="1:6" ht="47.25" x14ac:dyDescent="0.25">
      <c r="A651" s="31" t="s">
        <v>335</v>
      </c>
      <c r="B651" s="42" t="s">
        <v>362</v>
      </c>
      <c r="C651" s="42" t="s">
        <v>181</v>
      </c>
      <c r="D651" s="42" t="s">
        <v>395</v>
      </c>
      <c r="E651" s="42" t="s">
        <v>336</v>
      </c>
      <c r="F651" s="7">
        <f>F652</f>
        <v>263.3</v>
      </c>
    </row>
    <row r="652" spans="1:6" ht="15.75" x14ac:dyDescent="0.25">
      <c r="A652" s="31" t="s">
        <v>337</v>
      </c>
      <c r="B652" s="42" t="s">
        <v>362</v>
      </c>
      <c r="C652" s="42" t="s">
        <v>181</v>
      </c>
      <c r="D652" s="42" t="s">
        <v>395</v>
      </c>
      <c r="E652" s="42" t="s">
        <v>338</v>
      </c>
      <c r="F652" s="7">
        <f>'Прил.№4 ведомств.'!G354</f>
        <v>263.3</v>
      </c>
    </row>
    <row r="653" spans="1:6" ht="94.5" x14ac:dyDescent="0.25">
      <c r="A653" s="33" t="s">
        <v>356</v>
      </c>
      <c r="B653" s="42" t="s">
        <v>362</v>
      </c>
      <c r="C653" s="42" t="s">
        <v>181</v>
      </c>
      <c r="D653" s="21" t="s">
        <v>357</v>
      </c>
      <c r="E653" s="42"/>
      <c r="F653" s="7">
        <f>F654</f>
        <v>1593.3000000000002</v>
      </c>
    </row>
    <row r="654" spans="1:6" ht="47.25" x14ac:dyDescent="0.25">
      <c r="A654" s="31" t="s">
        <v>335</v>
      </c>
      <c r="B654" s="42" t="s">
        <v>362</v>
      </c>
      <c r="C654" s="42" t="s">
        <v>181</v>
      </c>
      <c r="D654" s="21" t="s">
        <v>357</v>
      </c>
      <c r="E654" s="42" t="s">
        <v>336</v>
      </c>
      <c r="F654" s="7">
        <f>F655</f>
        <v>1593.3000000000002</v>
      </c>
    </row>
    <row r="655" spans="1:6" ht="15.75" x14ac:dyDescent="0.25">
      <c r="A655" s="31" t="s">
        <v>337</v>
      </c>
      <c r="B655" s="42" t="s">
        <v>362</v>
      </c>
      <c r="C655" s="42" t="s">
        <v>181</v>
      </c>
      <c r="D655" s="21" t="s">
        <v>357</v>
      </c>
      <c r="E655" s="42" t="s">
        <v>338</v>
      </c>
      <c r="F655" s="7">
        <f>'Прил.№4 ведомств.'!G355</f>
        <v>1593.3000000000002</v>
      </c>
    </row>
    <row r="656" spans="1:6" ht="15.75" x14ac:dyDescent="0.25">
      <c r="A656" s="33" t="s">
        <v>792</v>
      </c>
      <c r="B656" s="42" t="s">
        <v>362</v>
      </c>
      <c r="C656" s="42" t="s">
        <v>181</v>
      </c>
      <c r="D656" s="21" t="s">
        <v>793</v>
      </c>
      <c r="E656" s="42"/>
      <c r="F656" s="7">
        <f>F657</f>
        <v>4</v>
      </c>
    </row>
    <row r="657" spans="1:6" ht="47.25" x14ac:dyDescent="0.25">
      <c r="A657" s="26" t="s">
        <v>335</v>
      </c>
      <c r="B657" s="42" t="s">
        <v>362</v>
      </c>
      <c r="C657" s="42" t="s">
        <v>181</v>
      </c>
      <c r="D657" s="21" t="s">
        <v>793</v>
      </c>
      <c r="E657" s="42" t="s">
        <v>336</v>
      </c>
      <c r="F657" s="7">
        <f>F658</f>
        <v>4</v>
      </c>
    </row>
    <row r="658" spans="1:6" ht="15.75" x14ac:dyDescent="0.25">
      <c r="A658" s="26" t="s">
        <v>337</v>
      </c>
      <c r="B658" s="42" t="s">
        <v>362</v>
      </c>
      <c r="C658" s="42" t="s">
        <v>181</v>
      </c>
      <c r="D658" s="21" t="s">
        <v>793</v>
      </c>
      <c r="E658" s="42" t="s">
        <v>338</v>
      </c>
      <c r="F658" s="7">
        <f>'Прил.№4 ведомств.'!G360</f>
        <v>4</v>
      </c>
    </row>
    <row r="659" spans="1:6" ht="31.5" x14ac:dyDescent="0.25">
      <c r="A659" s="43" t="s">
        <v>396</v>
      </c>
      <c r="B659" s="8" t="s">
        <v>362</v>
      </c>
      <c r="C659" s="8" t="s">
        <v>213</v>
      </c>
      <c r="D659" s="8"/>
      <c r="E659" s="8"/>
      <c r="F659" s="4">
        <f>F679+F660+F675</f>
        <v>17879.699999999997</v>
      </c>
    </row>
    <row r="660" spans="1:6" ht="47.25" x14ac:dyDescent="0.25">
      <c r="A660" s="26" t="s">
        <v>397</v>
      </c>
      <c r="B660" s="42" t="s">
        <v>362</v>
      </c>
      <c r="C660" s="42" t="s">
        <v>213</v>
      </c>
      <c r="D660" s="21" t="s">
        <v>398</v>
      </c>
      <c r="E660" s="21"/>
      <c r="F660" s="7">
        <f>F661+F669+F672+F664</f>
        <v>125</v>
      </c>
    </row>
    <row r="661" spans="1:6" ht="31.5" hidden="1" x14ac:dyDescent="0.25">
      <c r="A661" s="26" t="s">
        <v>399</v>
      </c>
      <c r="B661" s="42" t="s">
        <v>362</v>
      </c>
      <c r="C661" s="42" t="s">
        <v>213</v>
      </c>
      <c r="D661" s="21" t="s">
        <v>400</v>
      </c>
      <c r="E661" s="21"/>
      <c r="F661" s="7">
        <f>F662</f>
        <v>0</v>
      </c>
    </row>
    <row r="662" spans="1:6" ht="31.5" hidden="1" x14ac:dyDescent="0.25">
      <c r="A662" s="26" t="s">
        <v>194</v>
      </c>
      <c r="B662" s="42" t="s">
        <v>362</v>
      </c>
      <c r="C662" s="42" t="s">
        <v>213</v>
      </c>
      <c r="D662" s="21" t="s">
        <v>400</v>
      </c>
      <c r="E662" s="21" t="s">
        <v>195</v>
      </c>
      <c r="F662" s="7">
        <f>F663</f>
        <v>0</v>
      </c>
    </row>
    <row r="663" spans="1:6" ht="47.25" hidden="1" x14ac:dyDescent="0.25">
      <c r="A663" s="26" t="s">
        <v>196</v>
      </c>
      <c r="B663" s="42" t="s">
        <v>362</v>
      </c>
      <c r="C663" s="42" t="s">
        <v>213</v>
      </c>
      <c r="D663" s="21" t="s">
        <v>400</v>
      </c>
      <c r="E663" s="21" t="s">
        <v>197</v>
      </c>
      <c r="F663" s="7">
        <f>'Прил.№4 ведомств.'!G365</f>
        <v>0</v>
      </c>
    </row>
    <row r="664" spans="1:6" ht="47.25" hidden="1" x14ac:dyDescent="0.25">
      <c r="A664" s="26" t="s">
        <v>540</v>
      </c>
      <c r="B664" s="21" t="s">
        <v>362</v>
      </c>
      <c r="C664" s="21" t="s">
        <v>213</v>
      </c>
      <c r="D664" s="21" t="s">
        <v>541</v>
      </c>
      <c r="E664" s="21"/>
      <c r="F664" s="7">
        <f>F665+F667</f>
        <v>0</v>
      </c>
    </row>
    <row r="665" spans="1:6" ht="78.75" hidden="1" x14ac:dyDescent="0.25">
      <c r="A665" s="26" t="s">
        <v>190</v>
      </c>
      <c r="B665" s="21" t="s">
        <v>362</v>
      </c>
      <c r="C665" s="21" t="s">
        <v>213</v>
      </c>
      <c r="D665" s="21" t="s">
        <v>541</v>
      </c>
      <c r="E665" s="21" t="s">
        <v>191</v>
      </c>
      <c r="F665" s="7">
        <f>F666</f>
        <v>0</v>
      </c>
    </row>
    <row r="666" spans="1:6" ht="31.5" hidden="1" x14ac:dyDescent="0.25">
      <c r="A666" s="26" t="s">
        <v>405</v>
      </c>
      <c r="B666" s="21" t="s">
        <v>362</v>
      </c>
      <c r="C666" s="21" t="s">
        <v>213</v>
      </c>
      <c r="D666" s="21" t="s">
        <v>541</v>
      </c>
      <c r="E666" s="21" t="s">
        <v>272</v>
      </c>
      <c r="F666" s="7">
        <f>'Прил.№4 ведомств.'!G368</f>
        <v>0</v>
      </c>
    </row>
    <row r="667" spans="1:6" ht="31.5" hidden="1" x14ac:dyDescent="0.25">
      <c r="A667" s="26" t="s">
        <v>194</v>
      </c>
      <c r="B667" s="21" t="s">
        <v>362</v>
      </c>
      <c r="C667" s="21" t="s">
        <v>213</v>
      </c>
      <c r="D667" s="21" t="s">
        <v>541</v>
      </c>
      <c r="E667" s="21" t="s">
        <v>195</v>
      </c>
      <c r="F667" s="7">
        <f>F668</f>
        <v>0</v>
      </c>
    </row>
    <row r="668" spans="1:6" ht="47.25" hidden="1" x14ac:dyDescent="0.25">
      <c r="A668" s="26" t="s">
        <v>196</v>
      </c>
      <c r="B668" s="21" t="s">
        <v>362</v>
      </c>
      <c r="C668" s="21" t="s">
        <v>213</v>
      </c>
      <c r="D668" s="21" t="s">
        <v>541</v>
      </c>
      <c r="E668" s="21" t="s">
        <v>197</v>
      </c>
      <c r="F668" s="7">
        <f>'Прил.№4 ведомств.'!G370</f>
        <v>0</v>
      </c>
    </row>
    <row r="669" spans="1:6" ht="31.5" x14ac:dyDescent="0.25">
      <c r="A669" s="26" t="s">
        <v>401</v>
      </c>
      <c r="B669" s="42" t="s">
        <v>362</v>
      </c>
      <c r="C669" s="42" t="s">
        <v>213</v>
      </c>
      <c r="D669" s="21" t="s">
        <v>402</v>
      </c>
      <c r="E669" s="21"/>
      <c r="F669" s="7">
        <f>F670</f>
        <v>20</v>
      </c>
    </row>
    <row r="670" spans="1:6" ht="31.5" x14ac:dyDescent="0.25">
      <c r="A670" s="26" t="s">
        <v>194</v>
      </c>
      <c r="B670" s="42" t="s">
        <v>362</v>
      </c>
      <c r="C670" s="42" t="s">
        <v>213</v>
      </c>
      <c r="D670" s="21" t="s">
        <v>402</v>
      </c>
      <c r="E670" s="21" t="s">
        <v>195</v>
      </c>
      <c r="F670" s="7">
        <f>F671</f>
        <v>20</v>
      </c>
    </row>
    <row r="671" spans="1:6" ht="47.25" x14ac:dyDescent="0.25">
      <c r="A671" s="26" t="s">
        <v>196</v>
      </c>
      <c r="B671" s="42" t="s">
        <v>362</v>
      </c>
      <c r="C671" s="42" t="s">
        <v>213</v>
      </c>
      <c r="D671" s="21" t="s">
        <v>402</v>
      </c>
      <c r="E671" s="21" t="s">
        <v>197</v>
      </c>
      <c r="F671" s="7">
        <f>'Прил.№4 ведомств.'!G373</f>
        <v>20</v>
      </c>
    </row>
    <row r="672" spans="1:6" ht="47.25" x14ac:dyDescent="0.25">
      <c r="A672" s="26" t="s">
        <v>844</v>
      </c>
      <c r="B672" s="42" t="s">
        <v>362</v>
      </c>
      <c r="C672" s="42" t="s">
        <v>213</v>
      </c>
      <c r="D672" s="21" t="s">
        <v>787</v>
      </c>
      <c r="E672" s="21"/>
      <c r="F672" s="7">
        <f>F673</f>
        <v>105</v>
      </c>
    </row>
    <row r="673" spans="1:6" ht="31.5" x14ac:dyDescent="0.25">
      <c r="A673" s="26" t="s">
        <v>194</v>
      </c>
      <c r="B673" s="42" t="s">
        <v>362</v>
      </c>
      <c r="C673" s="42" t="s">
        <v>213</v>
      </c>
      <c r="D673" s="21" t="s">
        <v>787</v>
      </c>
      <c r="E673" s="21" t="s">
        <v>191</v>
      </c>
      <c r="F673" s="7">
        <f>F674</f>
        <v>105</v>
      </c>
    </row>
    <row r="674" spans="1:6" ht="47.25" x14ac:dyDescent="0.25">
      <c r="A674" s="26" t="s">
        <v>196</v>
      </c>
      <c r="B674" s="42" t="s">
        <v>362</v>
      </c>
      <c r="C674" s="42" t="s">
        <v>213</v>
      </c>
      <c r="D674" s="21" t="s">
        <v>787</v>
      </c>
      <c r="E674" s="21" t="s">
        <v>193</v>
      </c>
      <c r="F674" s="7">
        <f>'Прил.№4 ведомств.'!G376</f>
        <v>105</v>
      </c>
    </row>
    <row r="675" spans="1:6" ht="63" x14ac:dyDescent="0.25">
      <c r="A675" s="31" t="s">
        <v>843</v>
      </c>
      <c r="B675" s="42" t="s">
        <v>362</v>
      </c>
      <c r="C675" s="42" t="s">
        <v>213</v>
      </c>
      <c r="D675" s="21" t="s">
        <v>841</v>
      </c>
      <c r="E675" s="21"/>
      <c r="F675" s="7">
        <f>F676</f>
        <v>5</v>
      </c>
    </row>
    <row r="676" spans="1:6" ht="31.5" x14ac:dyDescent="0.25">
      <c r="A676" s="26" t="s">
        <v>432</v>
      </c>
      <c r="B676" s="42" t="s">
        <v>362</v>
      </c>
      <c r="C676" s="42" t="s">
        <v>213</v>
      </c>
      <c r="D676" s="21" t="s">
        <v>849</v>
      </c>
      <c r="E676" s="21"/>
      <c r="F676" s="7">
        <f>F677</f>
        <v>5</v>
      </c>
    </row>
    <row r="677" spans="1:6" ht="31.5" x14ac:dyDescent="0.25">
      <c r="A677" s="26" t="s">
        <v>194</v>
      </c>
      <c r="B677" s="42" t="s">
        <v>362</v>
      </c>
      <c r="C677" s="42" t="s">
        <v>213</v>
      </c>
      <c r="D677" s="21" t="s">
        <v>849</v>
      </c>
      <c r="E677" s="21" t="s">
        <v>195</v>
      </c>
      <c r="F677" s="7">
        <f>F678</f>
        <v>5</v>
      </c>
    </row>
    <row r="678" spans="1:6" ht="47.25" x14ac:dyDescent="0.25">
      <c r="A678" s="26" t="s">
        <v>196</v>
      </c>
      <c r="B678" s="42" t="s">
        <v>362</v>
      </c>
      <c r="C678" s="42" t="s">
        <v>213</v>
      </c>
      <c r="D678" s="21" t="s">
        <v>849</v>
      </c>
      <c r="E678" s="21" t="s">
        <v>197</v>
      </c>
      <c r="F678" s="7">
        <f>'Прил.№4 ведомств.'!G380</f>
        <v>5</v>
      </c>
    </row>
    <row r="679" spans="1:6" ht="15.75" x14ac:dyDescent="0.25">
      <c r="A679" s="31" t="s">
        <v>184</v>
      </c>
      <c r="B679" s="42" t="s">
        <v>362</v>
      </c>
      <c r="C679" s="42" t="s">
        <v>213</v>
      </c>
      <c r="D679" s="42" t="s">
        <v>185</v>
      </c>
      <c r="E679" s="42"/>
      <c r="F679" s="7">
        <f>F686+F680</f>
        <v>17749.699999999997</v>
      </c>
    </row>
    <row r="680" spans="1:6" ht="31.5" x14ac:dyDescent="0.25">
      <c r="A680" s="31" t="s">
        <v>186</v>
      </c>
      <c r="B680" s="42" t="s">
        <v>362</v>
      </c>
      <c r="C680" s="42" t="s">
        <v>213</v>
      </c>
      <c r="D680" s="42" t="s">
        <v>187</v>
      </c>
      <c r="E680" s="42"/>
      <c r="F680" s="7">
        <f>F681</f>
        <v>7815.4</v>
      </c>
    </row>
    <row r="681" spans="1:6" ht="47.25" x14ac:dyDescent="0.25">
      <c r="A681" s="31" t="s">
        <v>188</v>
      </c>
      <c r="B681" s="42" t="s">
        <v>362</v>
      </c>
      <c r="C681" s="42" t="s">
        <v>213</v>
      </c>
      <c r="D681" s="42" t="s">
        <v>189</v>
      </c>
      <c r="E681" s="42"/>
      <c r="F681" s="7">
        <f>F682+F684</f>
        <v>7815.4</v>
      </c>
    </row>
    <row r="682" spans="1:6" ht="78.75" x14ac:dyDescent="0.25">
      <c r="A682" s="31" t="s">
        <v>190</v>
      </c>
      <c r="B682" s="42" t="s">
        <v>362</v>
      </c>
      <c r="C682" s="42" t="s">
        <v>213</v>
      </c>
      <c r="D682" s="42" t="s">
        <v>189</v>
      </c>
      <c r="E682" s="42" t="s">
        <v>191</v>
      </c>
      <c r="F682" s="63">
        <f>F683</f>
        <v>7815.4</v>
      </c>
    </row>
    <row r="683" spans="1:6" ht="31.5" x14ac:dyDescent="0.25">
      <c r="A683" s="31" t="s">
        <v>192</v>
      </c>
      <c r="B683" s="42" t="s">
        <v>362</v>
      </c>
      <c r="C683" s="42" t="s">
        <v>213</v>
      </c>
      <c r="D683" s="42" t="s">
        <v>189</v>
      </c>
      <c r="E683" s="42" t="s">
        <v>193</v>
      </c>
      <c r="F683" s="63">
        <f>'Прил.№4 ведомств.'!G385</f>
        <v>7815.4</v>
      </c>
    </row>
    <row r="684" spans="1:6" ht="31.5" hidden="1" x14ac:dyDescent="0.25">
      <c r="A684" s="31" t="s">
        <v>194</v>
      </c>
      <c r="B684" s="42" t="s">
        <v>362</v>
      </c>
      <c r="C684" s="42" t="s">
        <v>213</v>
      </c>
      <c r="D684" s="42" t="s">
        <v>189</v>
      </c>
      <c r="E684" s="42" t="s">
        <v>195</v>
      </c>
      <c r="F684" s="63">
        <f>F685</f>
        <v>0</v>
      </c>
    </row>
    <row r="685" spans="1:6" ht="47.25" hidden="1" x14ac:dyDescent="0.25">
      <c r="A685" s="31" t="s">
        <v>196</v>
      </c>
      <c r="B685" s="42" t="s">
        <v>362</v>
      </c>
      <c r="C685" s="42" t="s">
        <v>213</v>
      </c>
      <c r="D685" s="42" t="s">
        <v>189</v>
      </c>
      <c r="E685" s="42" t="s">
        <v>197</v>
      </c>
      <c r="F685" s="63"/>
    </row>
    <row r="686" spans="1:6" ht="15.75" x14ac:dyDescent="0.25">
      <c r="A686" s="31" t="s">
        <v>204</v>
      </c>
      <c r="B686" s="42" t="s">
        <v>362</v>
      </c>
      <c r="C686" s="42" t="s">
        <v>213</v>
      </c>
      <c r="D686" s="42" t="s">
        <v>205</v>
      </c>
      <c r="E686" s="42"/>
      <c r="F686" s="7">
        <f>F687</f>
        <v>9934.2999999999993</v>
      </c>
    </row>
    <row r="687" spans="1:6" ht="31.5" x14ac:dyDescent="0.25">
      <c r="A687" s="26" t="s">
        <v>403</v>
      </c>
      <c r="B687" s="42" t="s">
        <v>362</v>
      </c>
      <c r="C687" s="42" t="s">
        <v>213</v>
      </c>
      <c r="D687" s="42" t="s">
        <v>404</v>
      </c>
      <c r="E687" s="42"/>
      <c r="F687" s="7">
        <f>F688+F690+F692</f>
        <v>9934.2999999999993</v>
      </c>
    </row>
    <row r="688" spans="1:6" ht="78.75" x14ac:dyDescent="0.25">
      <c r="A688" s="31" t="s">
        <v>190</v>
      </c>
      <c r="B688" s="42" t="s">
        <v>362</v>
      </c>
      <c r="C688" s="42" t="s">
        <v>213</v>
      </c>
      <c r="D688" s="42" t="s">
        <v>404</v>
      </c>
      <c r="E688" s="42" t="s">
        <v>191</v>
      </c>
      <c r="F688" s="63">
        <f>F689</f>
        <v>8610.9</v>
      </c>
    </row>
    <row r="689" spans="1:6" ht="31.5" x14ac:dyDescent="0.25">
      <c r="A689" s="48" t="s">
        <v>405</v>
      </c>
      <c r="B689" s="42" t="s">
        <v>362</v>
      </c>
      <c r="C689" s="42" t="s">
        <v>213</v>
      </c>
      <c r="D689" s="42" t="s">
        <v>404</v>
      </c>
      <c r="E689" s="42" t="s">
        <v>272</v>
      </c>
      <c r="F689" s="63">
        <f>'Прил.№4 ведомств.'!G391</f>
        <v>8610.9</v>
      </c>
    </row>
    <row r="690" spans="1:6" ht="31.5" x14ac:dyDescent="0.25">
      <c r="A690" s="31" t="s">
        <v>194</v>
      </c>
      <c r="B690" s="42" t="s">
        <v>362</v>
      </c>
      <c r="C690" s="42" t="s">
        <v>213</v>
      </c>
      <c r="D690" s="42" t="s">
        <v>404</v>
      </c>
      <c r="E690" s="42" t="s">
        <v>195</v>
      </c>
      <c r="F690" s="63">
        <f>F691</f>
        <v>1303.4000000000001</v>
      </c>
    </row>
    <row r="691" spans="1:6" ht="47.25" x14ac:dyDescent="0.25">
      <c r="A691" s="31" t="s">
        <v>196</v>
      </c>
      <c r="B691" s="42" t="s">
        <v>362</v>
      </c>
      <c r="C691" s="42" t="s">
        <v>213</v>
      </c>
      <c r="D691" s="42" t="s">
        <v>404</v>
      </c>
      <c r="E691" s="42" t="s">
        <v>197</v>
      </c>
      <c r="F691" s="63">
        <f>'Прил.№4 ведомств.'!G393</f>
        <v>1303.4000000000001</v>
      </c>
    </row>
    <row r="692" spans="1:6" ht="15.75" x14ac:dyDescent="0.25">
      <c r="A692" s="31" t="s">
        <v>198</v>
      </c>
      <c r="B692" s="42" t="s">
        <v>362</v>
      </c>
      <c r="C692" s="42" t="s">
        <v>213</v>
      </c>
      <c r="D692" s="42" t="s">
        <v>404</v>
      </c>
      <c r="E692" s="42" t="s">
        <v>208</v>
      </c>
      <c r="F692" s="63">
        <f>F693</f>
        <v>20</v>
      </c>
    </row>
    <row r="693" spans="1:6" ht="15.75" x14ac:dyDescent="0.25">
      <c r="A693" s="31" t="s">
        <v>633</v>
      </c>
      <c r="B693" s="42" t="s">
        <v>362</v>
      </c>
      <c r="C693" s="42" t="s">
        <v>213</v>
      </c>
      <c r="D693" s="42" t="s">
        <v>404</v>
      </c>
      <c r="E693" s="42" t="s">
        <v>201</v>
      </c>
      <c r="F693" s="63">
        <f>'Прил.№4 ведомств.'!G395</f>
        <v>20</v>
      </c>
    </row>
    <row r="694" spans="1:6" ht="15.75" x14ac:dyDescent="0.25">
      <c r="A694" s="43" t="s">
        <v>306</v>
      </c>
      <c r="B694" s="8" t="s">
        <v>307</v>
      </c>
      <c r="C694" s="8"/>
      <c r="D694" s="8"/>
      <c r="E694" s="8"/>
      <c r="F694" s="4">
        <f>F695+F702+F786+F778</f>
        <v>16581</v>
      </c>
    </row>
    <row r="695" spans="1:6" ht="15.75" x14ac:dyDescent="0.25">
      <c r="A695" s="43" t="s">
        <v>308</v>
      </c>
      <c r="B695" s="8" t="s">
        <v>307</v>
      </c>
      <c r="C695" s="8" t="s">
        <v>181</v>
      </c>
      <c r="D695" s="8"/>
      <c r="E695" s="8"/>
      <c r="F695" s="4">
        <f>F697</f>
        <v>9066.5</v>
      </c>
    </row>
    <row r="696" spans="1:6" ht="15.75" x14ac:dyDescent="0.25">
      <c r="A696" s="31" t="s">
        <v>184</v>
      </c>
      <c r="B696" s="42" t="s">
        <v>307</v>
      </c>
      <c r="C696" s="42" t="s">
        <v>181</v>
      </c>
      <c r="D696" s="42" t="s">
        <v>185</v>
      </c>
      <c r="E696" s="42"/>
      <c r="F696" s="7">
        <f>F697</f>
        <v>9066.5</v>
      </c>
    </row>
    <row r="697" spans="1:6" ht="15.75" x14ac:dyDescent="0.25">
      <c r="A697" s="31" t="s">
        <v>204</v>
      </c>
      <c r="B697" s="42" t="s">
        <v>307</v>
      </c>
      <c r="C697" s="42" t="s">
        <v>181</v>
      </c>
      <c r="D697" s="42" t="s">
        <v>205</v>
      </c>
      <c r="E697" s="42"/>
      <c r="F697" s="7">
        <f>F698</f>
        <v>9066.5</v>
      </c>
    </row>
    <row r="698" spans="1:6" ht="15.75" x14ac:dyDescent="0.25">
      <c r="A698" s="31" t="s">
        <v>309</v>
      </c>
      <c r="B698" s="42" t="s">
        <v>307</v>
      </c>
      <c r="C698" s="42" t="s">
        <v>181</v>
      </c>
      <c r="D698" s="42" t="s">
        <v>310</v>
      </c>
      <c r="E698" s="42"/>
      <c r="F698" s="7">
        <f>F699</f>
        <v>9066.5</v>
      </c>
    </row>
    <row r="699" spans="1:6" ht="31.5" x14ac:dyDescent="0.25">
      <c r="A699" s="31" t="s">
        <v>311</v>
      </c>
      <c r="B699" s="42" t="s">
        <v>307</v>
      </c>
      <c r="C699" s="42" t="s">
        <v>181</v>
      </c>
      <c r="D699" s="42" t="s">
        <v>310</v>
      </c>
      <c r="E699" s="42" t="s">
        <v>312</v>
      </c>
      <c r="F699" s="7">
        <f>F700+F701</f>
        <v>9066.5</v>
      </c>
    </row>
    <row r="700" spans="1:6" ht="28.5" customHeight="1" x14ac:dyDescent="0.25">
      <c r="A700" s="31" t="s">
        <v>411</v>
      </c>
      <c r="B700" s="42" t="s">
        <v>307</v>
      </c>
      <c r="C700" s="42" t="s">
        <v>181</v>
      </c>
      <c r="D700" s="42" t="s">
        <v>310</v>
      </c>
      <c r="E700" s="42" t="s">
        <v>412</v>
      </c>
      <c r="F700" s="7">
        <f>'Прил.№4 ведомств.'!G203</f>
        <v>9066.5</v>
      </c>
    </row>
    <row r="701" spans="1:6" ht="31.5" hidden="1" x14ac:dyDescent="0.25">
      <c r="A701" s="31" t="s">
        <v>313</v>
      </c>
      <c r="B701" s="42" t="s">
        <v>307</v>
      </c>
      <c r="C701" s="42" t="s">
        <v>181</v>
      </c>
      <c r="D701" s="42" t="s">
        <v>310</v>
      </c>
      <c r="E701" s="42" t="s">
        <v>314</v>
      </c>
      <c r="F701" s="63">
        <f>'Прил.№4 ведомств.'!G204</f>
        <v>0</v>
      </c>
    </row>
    <row r="702" spans="1:6" ht="15.75" x14ac:dyDescent="0.25">
      <c r="A702" s="43" t="s">
        <v>315</v>
      </c>
      <c r="B702" s="8" t="s">
        <v>307</v>
      </c>
      <c r="C702" s="8" t="s">
        <v>278</v>
      </c>
      <c r="D702" s="8"/>
      <c r="E702" s="8"/>
      <c r="F702" s="4">
        <f>F703+F758+F754</f>
        <v>4435</v>
      </c>
    </row>
    <row r="703" spans="1:6" ht="47.25" x14ac:dyDescent="0.25">
      <c r="A703" s="31" t="s">
        <v>406</v>
      </c>
      <c r="B703" s="42" t="s">
        <v>307</v>
      </c>
      <c r="C703" s="42" t="s">
        <v>278</v>
      </c>
      <c r="D703" s="42" t="s">
        <v>407</v>
      </c>
      <c r="E703" s="42"/>
      <c r="F703" s="7">
        <f>F704+F713+F717+F721+F727+F731+F735+F750</f>
        <v>3493</v>
      </c>
    </row>
    <row r="704" spans="1:6" ht="31.5" x14ac:dyDescent="0.25">
      <c r="A704" s="31" t="s">
        <v>408</v>
      </c>
      <c r="B704" s="42" t="s">
        <v>307</v>
      </c>
      <c r="C704" s="42" t="s">
        <v>278</v>
      </c>
      <c r="D704" s="42" t="s">
        <v>409</v>
      </c>
      <c r="E704" s="42"/>
      <c r="F704" s="7">
        <f>F705+F710+F708</f>
        <v>786.6</v>
      </c>
    </row>
    <row r="705" spans="1:7" ht="31.5" x14ac:dyDescent="0.25">
      <c r="A705" s="31" t="s">
        <v>220</v>
      </c>
      <c r="B705" s="42" t="s">
        <v>307</v>
      </c>
      <c r="C705" s="42" t="s">
        <v>278</v>
      </c>
      <c r="D705" s="42" t="s">
        <v>410</v>
      </c>
      <c r="E705" s="42"/>
      <c r="F705" s="7">
        <f>F706</f>
        <v>486.1</v>
      </c>
    </row>
    <row r="706" spans="1:7" ht="31.5" x14ac:dyDescent="0.25">
      <c r="A706" s="31" t="s">
        <v>194</v>
      </c>
      <c r="B706" s="42" t="s">
        <v>307</v>
      </c>
      <c r="C706" s="42" t="s">
        <v>278</v>
      </c>
      <c r="D706" s="42" t="s">
        <v>410</v>
      </c>
      <c r="E706" s="42" t="s">
        <v>195</v>
      </c>
      <c r="F706" s="7">
        <f>F707</f>
        <v>486.1</v>
      </c>
    </row>
    <row r="707" spans="1:7" ht="47.25" x14ac:dyDescent="0.25">
      <c r="A707" s="31" t="s">
        <v>196</v>
      </c>
      <c r="B707" s="42" t="s">
        <v>307</v>
      </c>
      <c r="C707" s="42" t="s">
        <v>278</v>
      </c>
      <c r="D707" s="42" t="s">
        <v>410</v>
      </c>
      <c r="E707" s="42" t="s">
        <v>197</v>
      </c>
      <c r="F707" s="7">
        <f>'Прил.№4 ведомств.'!G401</f>
        <v>486.1</v>
      </c>
      <c r="G707" s="224"/>
    </row>
    <row r="708" spans="1:7" ht="31.5" x14ac:dyDescent="0.25">
      <c r="A708" s="31" t="s">
        <v>311</v>
      </c>
      <c r="B708" s="42" t="s">
        <v>307</v>
      </c>
      <c r="C708" s="42" t="s">
        <v>278</v>
      </c>
      <c r="D708" s="42" t="s">
        <v>410</v>
      </c>
      <c r="E708" s="42" t="s">
        <v>312</v>
      </c>
      <c r="F708" s="7">
        <f>F709</f>
        <v>25</v>
      </c>
    </row>
    <row r="709" spans="1:7" ht="31.5" x14ac:dyDescent="0.25">
      <c r="A709" s="31" t="s">
        <v>411</v>
      </c>
      <c r="B709" s="42" t="s">
        <v>307</v>
      </c>
      <c r="C709" s="42" t="s">
        <v>278</v>
      </c>
      <c r="D709" s="42" t="s">
        <v>410</v>
      </c>
      <c r="E709" s="42" t="s">
        <v>412</v>
      </c>
      <c r="F709" s="7">
        <f>'Прил.№4 ведомств.'!G403</f>
        <v>25</v>
      </c>
    </row>
    <row r="710" spans="1:7" ht="31.5" x14ac:dyDescent="0.25">
      <c r="A710" s="26" t="s">
        <v>413</v>
      </c>
      <c r="B710" s="42" t="s">
        <v>307</v>
      </c>
      <c r="C710" s="42" t="s">
        <v>278</v>
      </c>
      <c r="D710" s="21" t="s">
        <v>414</v>
      </c>
      <c r="E710" s="42"/>
      <c r="F710" s="7">
        <f>F711</f>
        <v>275.5</v>
      </c>
    </row>
    <row r="711" spans="1:7" ht="47.25" x14ac:dyDescent="0.25">
      <c r="A711" s="26" t="s">
        <v>335</v>
      </c>
      <c r="B711" s="42" t="s">
        <v>307</v>
      </c>
      <c r="C711" s="42" t="s">
        <v>278</v>
      </c>
      <c r="D711" s="21" t="s">
        <v>414</v>
      </c>
      <c r="E711" s="42" t="s">
        <v>336</v>
      </c>
      <c r="F711" s="7">
        <f>F712</f>
        <v>275.5</v>
      </c>
    </row>
    <row r="712" spans="1:7" ht="15.75" x14ac:dyDescent="0.25">
      <c r="A712" s="26" t="s">
        <v>337</v>
      </c>
      <c r="B712" s="42" t="s">
        <v>307</v>
      </c>
      <c r="C712" s="42" t="s">
        <v>278</v>
      </c>
      <c r="D712" s="21" t="s">
        <v>414</v>
      </c>
      <c r="E712" s="42" t="s">
        <v>338</v>
      </c>
      <c r="F712" s="7">
        <f>'Прил.№4 ведомств.'!G406</f>
        <v>275.5</v>
      </c>
    </row>
    <row r="713" spans="1:7" ht="31.5" x14ac:dyDescent="0.25">
      <c r="A713" s="31" t="s">
        <v>415</v>
      </c>
      <c r="B713" s="42" t="s">
        <v>307</v>
      </c>
      <c r="C713" s="42" t="s">
        <v>278</v>
      </c>
      <c r="D713" s="42" t="s">
        <v>416</v>
      </c>
      <c r="E713" s="42"/>
      <c r="F713" s="7">
        <f>F714</f>
        <v>31.05</v>
      </c>
    </row>
    <row r="714" spans="1:7" ht="31.5" x14ac:dyDescent="0.25">
      <c r="A714" s="26" t="s">
        <v>705</v>
      </c>
      <c r="B714" s="42" t="s">
        <v>307</v>
      </c>
      <c r="C714" s="42" t="s">
        <v>278</v>
      </c>
      <c r="D714" s="21" t="s">
        <v>706</v>
      </c>
      <c r="E714" s="42"/>
      <c r="F714" s="7">
        <f>F715</f>
        <v>31.05</v>
      </c>
    </row>
    <row r="715" spans="1:7" ht="31.5" x14ac:dyDescent="0.25">
      <c r="A715" s="31" t="s">
        <v>311</v>
      </c>
      <c r="B715" s="42" t="s">
        <v>307</v>
      </c>
      <c r="C715" s="42" t="s">
        <v>278</v>
      </c>
      <c r="D715" s="21" t="s">
        <v>706</v>
      </c>
      <c r="E715" s="42" t="s">
        <v>312</v>
      </c>
      <c r="F715" s="7">
        <f>F716</f>
        <v>31.05</v>
      </c>
    </row>
    <row r="716" spans="1:7" ht="31.5" x14ac:dyDescent="0.25">
      <c r="A716" s="31" t="s">
        <v>313</v>
      </c>
      <c r="B716" s="42" t="s">
        <v>307</v>
      </c>
      <c r="C716" s="42" t="s">
        <v>278</v>
      </c>
      <c r="D716" s="21" t="s">
        <v>706</v>
      </c>
      <c r="E716" s="42" t="s">
        <v>314</v>
      </c>
      <c r="F716" s="7">
        <f>'Прил.№4 ведомств.'!G410</f>
        <v>31.05</v>
      </c>
    </row>
    <row r="717" spans="1:7" ht="31.5" x14ac:dyDescent="0.25">
      <c r="A717" s="31" t="s">
        <v>418</v>
      </c>
      <c r="B717" s="6">
        <v>10</v>
      </c>
      <c r="C717" s="42" t="s">
        <v>278</v>
      </c>
      <c r="D717" s="42" t="s">
        <v>419</v>
      </c>
      <c r="E717" s="42"/>
      <c r="F717" s="7">
        <f>F719</f>
        <v>390</v>
      </c>
    </row>
    <row r="718" spans="1:7" ht="31.5" x14ac:dyDescent="0.25">
      <c r="A718" s="31" t="s">
        <v>220</v>
      </c>
      <c r="B718" s="42" t="s">
        <v>307</v>
      </c>
      <c r="C718" s="42" t="s">
        <v>278</v>
      </c>
      <c r="D718" s="42" t="s">
        <v>420</v>
      </c>
      <c r="E718" s="42"/>
      <c r="F718" s="7">
        <f>F719</f>
        <v>390</v>
      </c>
    </row>
    <row r="719" spans="1:7" ht="31.5" x14ac:dyDescent="0.25">
      <c r="A719" s="31" t="s">
        <v>311</v>
      </c>
      <c r="B719" s="42" t="s">
        <v>307</v>
      </c>
      <c r="C719" s="42" t="s">
        <v>278</v>
      </c>
      <c r="D719" s="42" t="s">
        <v>420</v>
      </c>
      <c r="E719" s="42" t="s">
        <v>312</v>
      </c>
      <c r="F719" s="7">
        <f>F720</f>
        <v>390</v>
      </c>
    </row>
    <row r="720" spans="1:7" ht="31.5" x14ac:dyDescent="0.25">
      <c r="A720" s="31" t="s">
        <v>411</v>
      </c>
      <c r="B720" s="42" t="s">
        <v>307</v>
      </c>
      <c r="C720" s="42" t="s">
        <v>278</v>
      </c>
      <c r="D720" s="42" t="s">
        <v>420</v>
      </c>
      <c r="E720" s="42" t="s">
        <v>412</v>
      </c>
      <c r="F720" s="7">
        <f>'Прил.№4 ведомств.'!G414</f>
        <v>390</v>
      </c>
    </row>
    <row r="721" spans="1:6" ht="15.75" x14ac:dyDescent="0.25">
      <c r="A721" s="31" t="s">
        <v>421</v>
      </c>
      <c r="B721" s="6">
        <v>10</v>
      </c>
      <c r="C721" s="42" t="s">
        <v>278</v>
      </c>
      <c r="D721" s="42" t="s">
        <v>422</v>
      </c>
      <c r="E721" s="42"/>
      <c r="F721" s="7">
        <f>F722</f>
        <v>1587.4</v>
      </c>
    </row>
    <row r="722" spans="1:6" ht="31.5" x14ac:dyDescent="0.25">
      <c r="A722" s="31" t="s">
        <v>220</v>
      </c>
      <c r="B722" s="42" t="s">
        <v>307</v>
      </c>
      <c r="C722" s="42" t="s">
        <v>278</v>
      </c>
      <c r="D722" s="42" t="s">
        <v>423</v>
      </c>
      <c r="E722" s="42"/>
      <c r="F722" s="7">
        <f>F723+F725</f>
        <v>1587.4</v>
      </c>
    </row>
    <row r="723" spans="1:6" ht="31.5" x14ac:dyDescent="0.25">
      <c r="A723" s="31" t="s">
        <v>194</v>
      </c>
      <c r="B723" s="42" t="s">
        <v>307</v>
      </c>
      <c r="C723" s="42" t="s">
        <v>278</v>
      </c>
      <c r="D723" s="42" t="s">
        <v>423</v>
      </c>
      <c r="E723" s="42" t="s">
        <v>195</v>
      </c>
      <c r="F723" s="7">
        <f>F724</f>
        <v>234.4</v>
      </c>
    </row>
    <row r="724" spans="1:6" ht="47.25" x14ac:dyDescent="0.25">
      <c r="A724" s="31" t="s">
        <v>196</v>
      </c>
      <c r="B724" s="42" t="s">
        <v>307</v>
      </c>
      <c r="C724" s="42" t="s">
        <v>278</v>
      </c>
      <c r="D724" s="42" t="s">
        <v>423</v>
      </c>
      <c r="E724" s="42" t="s">
        <v>197</v>
      </c>
      <c r="F724" s="7">
        <f>'Прил.№4 ведомств.'!G418</f>
        <v>234.4</v>
      </c>
    </row>
    <row r="725" spans="1:6" ht="31.5" x14ac:dyDescent="0.25">
      <c r="A725" s="31" t="s">
        <v>311</v>
      </c>
      <c r="B725" s="42" t="s">
        <v>307</v>
      </c>
      <c r="C725" s="42" t="s">
        <v>278</v>
      </c>
      <c r="D725" s="42" t="s">
        <v>423</v>
      </c>
      <c r="E725" s="42" t="s">
        <v>312</v>
      </c>
      <c r="F725" s="7">
        <f>F726</f>
        <v>1353</v>
      </c>
    </row>
    <row r="726" spans="1:6" ht="31.5" x14ac:dyDescent="0.25">
      <c r="A726" s="31" t="s">
        <v>411</v>
      </c>
      <c r="B726" s="42" t="s">
        <v>307</v>
      </c>
      <c r="C726" s="42" t="s">
        <v>278</v>
      </c>
      <c r="D726" s="42" t="s">
        <v>423</v>
      </c>
      <c r="E726" s="42" t="s">
        <v>412</v>
      </c>
      <c r="F726" s="7">
        <f>'Прил.№4 ведомств.'!G420</f>
        <v>1353</v>
      </c>
    </row>
    <row r="727" spans="1:6" ht="31.5" x14ac:dyDescent="0.25">
      <c r="A727" s="31" t="s">
        <v>424</v>
      </c>
      <c r="B727" s="42" t="s">
        <v>307</v>
      </c>
      <c r="C727" s="42" t="s">
        <v>278</v>
      </c>
      <c r="D727" s="42" t="s">
        <v>425</v>
      </c>
      <c r="E727" s="42"/>
      <c r="F727" s="7">
        <f>F728</f>
        <v>360.7</v>
      </c>
    </row>
    <row r="728" spans="1:6" ht="31.5" x14ac:dyDescent="0.25">
      <c r="A728" s="31" t="s">
        <v>220</v>
      </c>
      <c r="B728" s="42" t="s">
        <v>307</v>
      </c>
      <c r="C728" s="42" t="s">
        <v>278</v>
      </c>
      <c r="D728" s="42" t="s">
        <v>426</v>
      </c>
      <c r="E728" s="42"/>
      <c r="F728" s="7">
        <f>F729</f>
        <v>360.7</v>
      </c>
    </row>
    <row r="729" spans="1:6" ht="31.5" x14ac:dyDescent="0.25">
      <c r="A729" s="31" t="s">
        <v>311</v>
      </c>
      <c r="B729" s="42" t="s">
        <v>307</v>
      </c>
      <c r="C729" s="42" t="s">
        <v>278</v>
      </c>
      <c r="D729" s="42" t="s">
        <v>426</v>
      </c>
      <c r="E729" s="42" t="s">
        <v>312</v>
      </c>
      <c r="F729" s="7">
        <f>F730</f>
        <v>360.7</v>
      </c>
    </row>
    <row r="730" spans="1:6" ht="31.5" x14ac:dyDescent="0.25">
      <c r="A730" s="31" t="s">
        <v>411</v>
      </c>
      <c r="B730" s="42" t="s">
        <v>307</v>
      </c>
      <c r="C730" s="42" t="s">
        <v>278</v>
      </c>
      <c r="D730" s="42" t="s">
        <v>426</v>
      </c>
      <c r="E730" s="42" t="s">
        <v>412</v>
      </c>
      <c r="F730" s="7">
        <f>'Прил.№4 ведомств.'!G424</f>
        <v>360.7</v>
      </c>
    </row>
    <row r="731" spans="1:6" ht="47.25" x14ac:dyDescent="0.25">
      <c r="A731" s="31" t="s">
        <v>427</v>
      </c>
      <c r="B731" s="42" t="s">
        <v>307</v>
      </c>
      <c r="C731" s="42" t="s">
        <v>278</v>
      </c>
      <c r="D731" s="42" t="s">
        <v>428</v>
      </c>
      <c r="E731" s="42"/>
      <c r="F731" s="7">
        <f>F732</f>
        <v>167.9</v>
      </c>
    </row>
    <row r="732" spans="1:6" ht="31.5" x14ac:dyDescent="0.25">
      <c r="A732" s="31" t="s">
        <v>220</v>
      </c>
      <c r="B732" s="42" t="s">
        <v>307</v>
      </c>
      <c r="C732" s="42" t="s">
        <v>278</v>
      </c>
      <c r="D732" s="42" t="s">
        <v>429</v>
      </c>
      <c r="E732" s="42"/>
      <c r="F732" s="7">
        <f>F733</f>
        <v>167.9</v>
      </c>
    </row>
    <row r="733" spans="1:6" ht="31.5" x14ac:dyDescent="0.25">
      <c r="A733" s="31" t="s">
        <v>194</v>
      </c>
      <c r="B733" s="42" t="s">
        <v>307</v>
      </c>
      <c r="C733" s="42" t="s">
        <v>278</v>
      </c>
      <c r="D733" s="42" t="s">
        <v>429</v>
      </c>
      <c r="E733" s="42" t="s">
        <v>195</v>
      </c>
      <c r="F733" s="7">
        <f>F734</f>
        <v>167.9</v>
      </c>
    </row>
    <row r="734" spans="1:6" ht="47.25" x14ac:dyDescent="0.25">
      <c r="A734" s="31" t="s">
        <v>196</v>
      </c>
      <c r="B734" s="42" t="s">
        <v>307</v>
      </c>
      <c r="C734" s="42" t="s">
        <v>278</v>
      </c>
      <c r="D734" s="42" t="s">
        <v>429</v>
      </c>
      <c r="E734" s="42" t="s">
        <v>197</v>
      </c>
      <c r="F734" s="7">
        <f>'Прил.№4 ведомств.'!G428</f>
        <v>167.9</v>
      </c>
    </row>
    <row r="735" spans="1:6" ht="47.25" x14ac:dyDescent="0.25">
      <c r="A735" s="31" t="s">
        <v>430</v>
      </c>
      <c r="B735" s="42" t="s">
        <v>307</v>
      </c>
      <c r="C735" s="42" t="s">
        <v>278</v>
      </c>
      <c r="D735" s="42" t="s">
        <v>431</v>
      </c>
      <c r="E735" s="42"/>
      <c r="F735" s="7">
        <f>F736+F741+F744+F747</f>
        <v>30</v>
      </c>
    </row>
    <row r="736" spans="1:6" ht="31.5" x14ac:dyDescent="0.25">
      <c r="A736" s="31" t="s">
        <v>220</v>
      </c>
      <c r="B736" s="42" t="s">
        <v>307</v>
      </c>
      <c r="C736" s="42" t="s">
        <v>278</v>
      </c>
      <c r="D736" s="42" t="s">
        <v>433</v>
      </c>
      <c r="E736" s="42"/>
      <c r="F736" s="7">
        <f>F739+F737</f>
        <v>20</v>
      </c>
    </row>
    <row r="737" spans="1:6" ht="31.5" hidden="1" x14ac:dyDescent="0.25">
      <c r="A737" s="31" t="s">
        <v>194</v>
      </c>
      <c r="B737" s="42" t="s">
        <v>307</v>
      </c>
      <c r="C737" s="42" t="s">
        <v>278</v>
      </c>
      <c r="D737" s="42" t="s">
        <v>433</v>
      </c>
      <c r="E737" s="42" t="s">
        <v>195</v>
      </c>
      <c r="F737" s="7">
        <f>F738</f>
        <v>0</v>
      </c>
    </row>
    <row r="738" spans="1:6" ht="47.25" hidden="1" x14ac:dyDescent="0.25">
      <c r="A738" s="31" t="s">
        <v>196</v>
      </c>
      <c r="B738" s="42" t="s">
        <v>307</v>
      </c>
      <c r="C738" s="42" t="s">
        <v>278</v>
      </c>
      <c r="D738" s="42" t="s">
        <v>433</v>
      </c>
      <c r="E738" s="42" t="s">
        <v>197</v>
      </c>
      <c r="F738" s="7"/>
    </row>
    <row r="739" spans="1:6" ht="47.25" x14ac:dyDescent="0.25">
      <c r="A739" s="26" t="s">
        <v>335</v>
      </c>
      <c r="B739" s="42" t="s">
        <v>307</v>
      </c>
      <c r="C739" s="42" t="s">
        <v>278</v>
      </c>
      <c r="D739" s="42" t="s">
        <v>433</v>
      </c>
      <c r="E739" s="42" t="s">
        <v>336</v>
      </c>
      <c r="F739" s="7">
        <f>F740</f>
        <v>20</v>
      </c>
    </row>
    <row r="740" spans="1:6" ht="63" x14ac:dyDescent="0.25">
      <c r="A740" s="41" t="s">
        <v>434</v>
      </c>
      <c r="B740" s="42" t="s">
        <v>307</v>
      </c>
      <c r="C740" s="42" t="s">
        <v>278</v>
      </c>
      <c r="D740" s="42" t="s">
        <v>433</v>
      </c>
      <c r="E740" s="42" t="s">
        <v>435</v>
      </c>
      <c r="F740" s="7">
        <f>'Прил.№4 ведомств.'!G432</f>
        <v>20</v>
      </c>
    </row>
    <row r="741" spans="1:6" ht="110.25" hidden="1" x14ac:dyDescent="0.25">
      <c r="A741" s="26" t="s">
        <v>436</v>
      </c>
      <c r="B741" s="21" t="s">
        <v>307</v>
      </c>
      <c r="C741" s="21" t="s">
        <v>278</v>
      </c>
      <c r="D741" s="21" t="s">
        <v>437</v>
      </c>
      <c r="E741" s="42"/>
      <c r="F741" s="7">
        <f>F742</f>
        <v>0</v>
      </c>
    </row>
    <row r="742" spans="1:6" ht="15.75" hidden="1" x14ac:dyDescent="0.25">
      <c r="A742" s="26" t="s">
        <v>198</v>
      </c>
      <c r="B742" s="21" t="s">
        <v>307</v>
      </c>
      <c r="C742" s="21" t="s">
        <v>278</v>
      </c>
      <c r="D742" s="21" t="s">
        <v>437</v>
      </c>
      <c r="E742" s="42" t="s">
        <v>208</v>
      </c>
      <c r="F742" s="7">
        <f>F743</f>
        <v>0</v>
      </c>
    </row>
    <row r="743" spans="1:6" ht="47.25" hidden="1" x14ac:dyDescent="0.25">
      <c r="A743" s="26" t="s">
        <v>247</v>
      </c>
      <c r="B743" s="21" t="s">
        <v>307</v>
      </c>
      <c r="C743" s="21" t="s">
        <v>278</v>
      </c>
      <c r="D743" s="21" t="s">
        <v>437</v>
      </c>
      <c r="E743" s="42" t="s">
        <v>223</v>
      </c>
      <c r="F743" s="7"/>
    </row>
    <row r="744" spans="1:6" ht="47.25" x14ac:dyDescent="0.25">
      <c r="A744" s="26" t="s">
        <v>438</v>
      </c>
      <c r="B744" s="21" t="s">
        <v>307</v>
      </c>
      <c r="C744" s="21" t="s">
        <v>278</v>
      </c>
      <c r="D744" s="21" t="s">
        <v>439</v>
      </c>
      <c r="E744" s="42"/>
      <c r="F744" s="7">
        <f>F745</f>
        <v>10</v>
      </c>
    </row>
    <row r="745" spans="1:6" ht="31.5" x14ac:dyDescent="0.25">
      <c r="A745" s="26" t="s">
        <v>311</v>
      </c>
      <c r="B745" s="21" t="s">
        <v>307</v>
      </c>
      <c r="C745" s="21" t="s">
        <v>278</v>
      </c>
      <c r="D745" s="21" t="s">
        <v>439</v>
      </c>
      <c r="E745" s="42" t="s">
        <v>312</v>
      </c>
      <c r="F745" s="7">
        <f>F746</f>
        <v>10</v>
      </c>
    </row>
    <row r="746" spans="1:6" ht="31.5" x14ac:dyDescent="0.25">
      <c r="A746" s="26" t="s">
        <v>313</v>
      </c>
      <c r="B746" s="21" t="s">
        <v>307</v>
      </c>
      <c r="C746" s="21" t="s">
        <v>278</v>
      </c>
      <c r="D746" s="21" t="s">
        <v>439</v>
      </c>
      <c r="E746" s="42" t="s">
        <v>314</v>
      </c>
      <c r="F746" s="7">
        <v>10</v>
      </c>
    </row>
    <row r="747" spans="1:6" ht="31.5" hidden="1" x14ac:dyDescent="0.25">
      <c r="A747" s="31" t="s">
        <v>440</v>
      </c>
      <c r="B747" s="42" t="s">
        <v>307</v>
      </c>
      <c r="C747" s="42" t="s">
        <v>278</v>
      </c>
      <c r="D747" s="21" t="s">
        <v>441</v>
      </c>
      <c r="E747" s="42"/>
      <c r="F747" s="7">
        <f>F748</f>
        <v>0</v>
      </c>
    </row>
    <row r="748" spans="1:6" ht="31.5" hidden="1" x14ac:dyDescent="0.25">
      <c r="A748" s="31" t="s">
        <v>194</v>
      </c>
      <c r="B748" s="42" t="s">
        <v>307</v>
      </c>
      <c r="C748" s="42" t="s">
        <v>278</v>
      </c>
      <c r="D748" s="21" t="s">
        <v>441</v>
      </c>
      <c r="E748" s="42" t="s">
        <v>195</v>
      </c>
      <c r="F748" s="7">
        <f>F749</f>
        <v>0</v>
      </c>
    </row>
    <row r="749" spans="1:6" ht="47.25" hidden="1" x14ac:dyDescent="0.25">
      <c r="A749" s="31" t="s">
        <v>196</v>
      </c>
      <c r="B749" s="42" t="s">
        <v>307</v>
      </c>
      <c r="C749" s="42" t="s">
        <v>278</v>
      </c>
      <c r="D749" s="21" t="s">
        <v>441</v>
      </c>
      <c r="E749" s="42" t="s">
        <v>197</v>
      </c>
      <c r="F749" s="7">
        <f>4.5-4.5</f>
        <v>0</v>
      </c>
    </row>
    <row r="750" spans="1:6" ht="94.5" x14ac:dyDescent="0.25">
      <c r="A750" s="31" t="s">
        <v>443</v>
      </c>
      <c r="B750" s="42" t="s">
        <v>307</v>
      </c>
      <c r="C750" s="42" t="s">
        <v>278</v>
      </c>
      <c r="D750" s="42" t="s">
        <v>444</v>
      </c>
      <c r="E750" s="42"/>
      <c r="F750" s="7">
        <f>F751</f>
        <v>139.35</v>
      </c>
    </row>
    <row r="751" spans="1:6" ht="31.5" x14ac:dyDescent="0.25">
      <c r="A751" s="31" t="s">
        <v>220</v>
      </c>
      <c r="B751" s="42" t="s">
        <v>307</v>
      </c>
      <c r="C751" s="42" t="s">
        <v>278</v>
      </c>
      <c r="D751" s="42" t="s">
        <v>445</v>
      </c>
      <c r="E751" s="42"/>
      <c r="F751" s="7">
        <f>F752</f>
        <v>139.35</v>
      </c>
    </row>
    <row r="752" spans="1:6" ht="31.5" x14ac:dyDescent="0.25">
      <c r="A752" s="31" t="s">
        <v>194</v>
      </c>
      <c r="B752" s="42" t="s">
        <v>307</v>
      </c>
      <c r="C752" s="42" t="s">
        <v>278</v>
      </c>
      <c r="D752" s="42" t="s">
        <v>445</v>
      </c>
      <c r="E752" s="42" t="s">
        <v>195</v>
      </c>
      <c r="F752" s="7">
        <f>F753</f>
        <v>139.35</v>
      </c>
    </row>
    <row r="753" spans="1:6" ht="47.25" x14ac:dyDescent="0.25">
      <c r="A753" s="31" t="s">
        <v>196</v>
      </c>
      <c r="B753" s="42" t="s">
        <v>307</v>
      </c>
      <c r="C753" s="42" t="s">
        <v>278</v>
      </c>
      <c r="D753" s="42" t="s">
        <v>445</v>
      </c>
      <c r="E753" s="42" t="s">
        <v>197</v>
      </c>
      <c r="F753" s="7">
        <f>'Прил.№4 ведомств.'!G450</f>
        <v>139.35</v>
      </c>
    </row>
    <row r="754" spans="1:6" ht="78.75" x14ac:dyDescent="0.25">
      <c r="A754" s="26" t="s">
        <v>316</v>
      </c>
      <c r="B754" s="42" t="s">
        <v>307</v>
      </c>
      <c r="C754" s="42" t="s">
        <v>278</v>
      </c>
      <c r="D754" s="21" t="s">
        <v>317</v>
      </c>
      <c r="E754" s="21"/>
      <c r="F754" s="7">
        <f>F755</f>
        <v>10</v>
      </c>
    </row>
    <row r="755" spans="1:6" ht="31.5" x14ac:dyDescent="0.25">
      <c r="A755" s="26" t="s">
        <v>220</v>
      </c>
      <c r="B755" s="42" t="s">
        <v>307</v>
      </c>
      <c r="C755" s="42" t="s">
        <v>278</v>
      </c>
      <c r="D755" s="21" t="s">
        <v>318</v>
      </c>
      <c r="E755" s="21"/>
      <c r="F755" s="7">
        <f>F756</f>
        <v>10</v>
      </c>
    </row>
    <row r="756" spans="1:6" ht="31.5" x14ac:dyDescent="0.25">
      <c r="A756" s="26" t="s">
        <v>311</v>
      </c>
      <c r="B756" s="42" t="s">
        <v>307</v>
      </c>
      <c r="C756" s="42" t="s">
        <v>278</v>
      </c>
      <c r="D756" s="21" t="s">
        <v>318</v>
      </c>
      <c r="E756" s="21" t="s">
        <v>312</v>
      </c>
      <c r="F756" s="7">
        <f>F757</f>
        <v>10</v>
      </c>
    </row>
    <row r="757" spans="1:6" ht="31.5" x14ac:dyDescent="0.25">
      <c r="A757" s="26" t="s">
        <v>313</v>
      </c>
      <c r="B757" s="42" t="s">
        <v>307</v>
      </c>
      <c r="C757" s="42" t="s">
        <v>278</v>
      </c>
      <c r="D757" s="21" t="s">
        <v>318</v>
      </c>
      <c r="E757" s="21" t="s">
        <v>314</v>
      </c>
      <c r="F757" s="7">
        <v>10</v>
      </c>
    </row>
    <row r="758" spans="1:6" ht="15.75" x14ac:dyDescent="0.25">
      <c r="A758" s="31" t="s">
        <v>184</v>
      </c>
      <c r="B758" s="42" t="s">
        <v>307</v>
      </c>
      <c r="C758" s="42" t="s">
        <v>278</v>
      </c>
      <c r="D758" s="42" t="s">
        <v>185</v>
      </c>
      <c r="E758" s="42"/>
      <c r="F758" s="7">
        <f>F774+F759</f>
        <v>932</v>
      </c>
    </row>
    <row r="759" spans="1:6" ht="31.5" x14ac:dyDescent="0.25">
      <c r="A759" s="31" t="s">
        <v>248</v>
      </c>
      <c r="B759" s="42" t="s">
        <v>307</v>
      </c>
      <c r="C759" s="42" t="s">
        <v>278</v>
      </c>
      <c r="D759" s="42" t="s">
        <v>249</v>
      </c>
      <c r="E759" s="42"/>
      <c r="F759" s="7">
        <f>F763+F766+F760+F783</f>
        <v>932</v>
      </c>
    </row>
    <row r="760" spans="1:6" ht="24.75" customHeight="1" x14ac:dyDescent="0.25">
      <c r="A760" s="26" t="s">
        <v>446</v>
      </c>
      <c r="B760" s="42" t="s">
        <v>307</v>
      </c>
      <c r="C760" s="42" t="s">
        <v>278</v>
      </c>
      <c r="D760" s="42" t="s">
        <v>447</v>
      </c>
      <c r="E760" s="42"/>
      <c r="F760" s="7">
        <f>F761</f>
        <v>372.6</v>
      </c>
    </row>
    <row r="761" spans="1:6" ht="31.5" x14ac:dyDescent="0.25">
      <c r="A761" s="31" t="s">
        <v>311</v>
      </c>
      <c r="B761" s="42" t="s">
        <v>307</v>
      </c>
      <c r="C761" s="42" t="s">
        <v>278</v>
      </c>
      <c r="D761" s="42" t="s">
        <v>447</v>
      </c>
      <c r="E761" s="42" t="s">
        <v>312</v>
      </c>
      <c r="F761" s="7">
        <f>F762</f>
        <v>372.6</v>
      </c>
    </row>
    <row r="762" spans="1:6" ht="31.5" x14ac:dyDescent="0.25">
      <c r="A762" s="31" t="s">
        <v>313</v>
      </c>
      <c r="B762" s="42" t="s">
        <v>307</v>
      </c>
      <c r="C762" s="42" t="s">
        <v>278</v>
      </c>
      <c r="D762" s="42" t="s">
        <v>447</v>
      </c>
      <c r="E762" s="42" t="s">
        <v>314</v>
      </c>
      <c r="F762" s="7">
        <f>'Прил.№4 ведомств.'!G455</f>
        <v>372.6</v>
      </c>
    </row>
    <row r="763" spans="1:6" ht="47.25" hidden="1" x14ac:dyDescent="0.25">
      <c r="A763" s="26" t="s">
        <v>319</v>
      </c>
      <c r="B763" s="42" t="s">
        <v>307</v>
      </c>
      <c r="C763" s="42" t="s">
        <v>278</v>
      </c>
      <c r="D763" s="42" t="s">
        <v>320</v>
      </c>
      <c r="E763" s="42"/>
      <c r="F763" s="7">
        <f>F764</f>
        <v>0</v>
      </c>
    </row>
    <row r="764" spans="1:6" ht="31.5" hidden="1" x14ac:dyDescent="0.25">
      <c r="A764" s="31" t="s">
        <v>311</v>
      </c>
      <c r="B764" s="42" t="s">
        <v>307</v>
      </c>
      <c r="C764" s="42" t="s">
        <v>278</v>
      </c>
      <c r="D764" s="42" t="s">
        <v>320</v>
      </c>
      <c r="E764" s="42" t="s">
        <v>312</v>
      </c>
      <c r="F764" s="7">
        <f>F765</f>
        <v>0</v>
      </c>
    </row>
    <row r="765" spans="1:6" ht="31.5" hidden="1" x14ac:dyDescent="0.25">
      <c r="A765" s="31" t="s">
        <v>313</v>
      </c>
      <c r="B765" s="42" t="s">
        <v>307</v>
      </c>
      <c r="C765" s="42" t="s">
        <v>278</v>
      </c>
      <c r="D765" s="42" t="s">
        <v>320</v>
      </c>
      <c r="E765" s="42" t="s">
        <v>314</v>
      </c>
      <c r="F765" s="7">
        <f>'Прил.№4 ведомств.'!G214</f>
        <v>0</v>
      </c>
    </row>
    <row r="766" spans="1:6" ht="47.25" x14ac:dyDescent="0.25">
      <c r="A766" s="26" t="s">
        <v>438</v>
      </c>
      <c r="B766" s="42" t="s">
        <v>307</v>
      </c>
      <c r="C766" s="42" t="s">
        <v>278</v>
      </c>
      <c r="D766" s="21" t="s">
        <v>448</v>
      </c>
      <c r="E766" s="42"/>
      <c r="F766" s="7">
        <f>F767</f>
        <v>500</v>
      </c>
    </row>
    <row r="767" spans="1:6" ht="31.5" x14ac:dyDescent="0.25">
      <c r="A767" s="26" t="s">
        <v>311</v>
      </c>
      <c r="B767" s="42" t="s">
        <v>307</v>
      </c>
      <c r="C767" s="42" t="s">
        <v>278</v>
      </c>
      <c r="D767" s="21" t="s">
        <v>448</v>
      </c>
      <c r="E767" s="42" t="s">
        <v>312</v>
      </c>
      <c r="F767" s="7">
        <f>F768</f>
        <v>500</v>
      </c>
    </row>
    <row r="768" spans="1:6" ht="31.5" x14ac:dyDescent="0.25">
      <c r="A768" s="26" t="s">
        <v>313</v>
      </c>
      <c r="B768" s="42" t="s">
        <v>307</v>
      </c>
      <c r="C768" s="42" t="s">
        <v>278</v>
      </c>
      <c r="D768" s="21" t="s">
        <v>448</v>
      </c>
      <c r="E768" s="42" t="s">
        <v>314</v>
      </c>
      <c r="F768" s="7">
        <f>'Прил.№4 ведомств.'!G458</f>
        <v>500</v>
      </c>
    </row>
    <row r="769" spans="1:6" ht="15.75" hidden="1" x14ac:dyDescent="0.25">
      <c r="A769" s="26" t="s">
        <v>446</v>
      </c>
      <c r="B769" s="42" t="s">
        <v>307</v>
      </c>
      <c r="C769" s="42" t="s">
        <v>278</v>
      </c>
      <c r="D769" s="42" t="s">
        <v>447</v>
      </c>
      <c r="E769" s="42"/>
      <c r="F769" s="7">
        <f>F770</f>
        <v>0</v>
      </c>
    </row>
    <row r="770" spans="1:6" ht="31.5" hidden="1" x14ac:dyDescent="0.25">
      <c r="A770" s="31" t="s">
        <v>311</v>
      </c>
      <c r="B770" s="42" t="s">
        <v>307</v>
      </c>
      <c r="C770" s="42" t="s">
        <v>278</v>
      </c>
      <c r="D770" s="42" t="s">
        <v>447</v>
      </c>
      <c r="E770" s="42" t="s">
        <v>312</v>
      </c>
      <c r="F770" s="7">
        <f>F771+F773</f>
        <v>0</v>
      </c>
    </row>
    <row r="771" spans="1:6" ht="31.5" hidden="1" x14ac:dyDescent="0.25">
      <c r="A771" s="31" t="s">
        <v>411</v>
      </c>
      <c r="B771" s="42" t="s">
        <v>307</v>
      </c>
      <c r="C771" s="42" t="s">
        <v>278</v>
      </c>
      <c r="D771" s="42" t="s">
        <v>447</v>
      </c>
      <c r="E771" s="42" t="s">
        <v>412</v>
      </c>
      <c r="F771" s="7"/>
    </row>
    <row r="772" spans="1:6" ht="47.25" hidden="1" x14ac:dyDescent="0.25">
      <c r="A772" s="31" t="s">
        <v>707</v>
      </c>
      <c r="B772" s="42" t="s">
        <v>307</v>
      </c>
      <c r="C772" s="42" t="s">
        <v>278</v>
      </c>
      <c r="D772" s="42" t="s">
        <v>447</v>
      </c>
      <c r="E772" s="42" t="s">
        <v>708</v>
      </c>
      <c r="F772" s="7"/>
    </row>
    <row r="773" spans="1:6" ht="31.5" hidden="1" x14ac:dyDescent="0.25">
      <c r="A773" s="31" t="s">
        <v>313</v>
      </c>
      <c r="B773" s="42" t="s">
        <v>307</v>
      </c>
      <c r="C773" s="42" t="s">
        <v>278</v>
      </c>
      <c r="D773" s="42" t="s">
        <v>447</v>
      </c>
      <c r="E773" s="42" t="s">
        <v>314</v>
      </c>
      <c r="F773" s="7"/>
    </row>
    <row r="774" spans="1:6" ht="15.75" hidden="1" x14ac:dyDescent="0.25">
      <c r="A774" s="31" t="s">
        <v>204</v>
      </c>
      <c r="B774" s="42" t="s">
        <v>307</v>
      </c>
      <c r="C774" s="42" t="s">
        <v>278</v>
      </c>
      <c r="D774" s="42" t="s">
        <v>205</v>
      </c>
      <c r="E774" s="42"/>
      <c r="F774" s="7">
        <f>F775</f>
        <v>0</v>
      </c>
    </row>
    <row r="775" spans="1:6" ht="15.75" hidden="1" x14ac:dyDescent="0.25">
      <c r="A775" s="31" t="s">
        <v>264</v>
      </c>
      <c r="B775" s="42" t="s">
        <v>307</v>
      </c>
      <c r="C775" s="42" t="s">
        <v>278</v>
      </c>
      <c r="D775" s="42" t="s">
        <v>265</v>
      </c>
      <c r="E775" s="42"/>
      <c r="F775" s="7">
        <f>F776</f>
        <v>0</v>
      </c>
    </row>
    <row r="776" spans="1:6" ht="31.5" hidden="1" x14ac:dyDescent="0.25">
      <c r="A776" s="31" t="s">
        <v>311</v>
      </c>
      <c r="B776" s="42" t="s">
        <v>307</v>
      </c>
      <c r="C776" s="42" t="s">
        <v>278</v>
      </c>
      <c r="D776" s="42" t="s">
        <v>265</v>
      </c>
      <c r="E776" s="42" t="s">
        <v>312</v>
      </c>
      <c r="F776" s="7">
        <f>F777</f>
        <v>0</v>
      </c>
    </row>
    <row r="777" spans="1:6" ht="31.5" hidden="1" x14ac:dyDescent="0.25">
      <c r="A777" s="31" t="s">
        <v>411</v>
      </c>
      <c r="B777" s="42" t="s">
        <v>307</v>
      </c>
      <c r="C777" s="42" t="s">
        <v>278</v>
      </c>
      <c r="D777" s="42" t="s">
        <v>265</v>
      </c>
      <c r="E777" s="42" t="s">
        <v>412</v>
      </c>
      <c r="F777" s="7"/>
    </row>
    <row r="778" spans="1:6" ht="15.75" hidden="1" x14ac:dyDescent="0.25">
      <c r="A778" s="43" t="s">
        <v>464</v>
      </c>
      <c r="B778" s="8" t="s">
        <v>307</v>
      </c>
      <c r="C778" s="8" t="s">
        <v>213</v>
      </c>
      <c r="D778" s="8"/>
      <c r="E778" s="8"/>
      <c r="F778" s="4">
        <f>F779</f>
        <v>0</v>
      </c>
    </row>
    <row r="779" spans="1:6" ht="31.5" hidden="1" x14ac:dyDescent="0.25">
      <c r="A779" s="31" t="s">
        <v>248</v>
      </c>
      <c r="B779" s="42" t="s">
        <v>307</v>
      </c>
      <c r="C779" s="42" t="s">
        <v>213</v>
      </c>
      <c r="D779" s="42" t="s">
        <v>249</v>
      </c>
      <c r="E779" s="42"/>
      <c r="F779" s="7">
        <f>F780</f>
        <v>0</v>
      </c>
    </row>
    <row r="780" spans="1:6" ht="31.5" hidden="1" x14ac:dyDescent="0.25">
      <c r="A780" s="47" t="s">
        <v>465</v>
      </c>
      <c r="B780" s="42" t="s">
        <v>307</v>
      </c>
      <c r="C780" s="42" t="s">
        <v>213</v>
      </c>
      <c r="D780" s="21" t="s">
        <v>466</v>
      </c>
      <c r="E780" s="42"/>
      <c r="F780" s="7">
        <f>F781</f>
        <v>0</v>
      </c>
    </row>
    <row r="781" spans="1:6" ht="31.5" hidden="1" x14ac:dyDescent="0.25">
      <c r="A781" s="31" t="s">
        <v>194</v>
      </c>
      <c r="B781" s="42" t="s">
        <v>307</v>
      </c>
      <c r="C781" s="42" t="s">
        <v>213</v>
      </c>
      <c r="D781" s="21" t="s">
        <v>466</v>
      </c>
      <c r="E781" s="42" t="s">
        <v>195</v>
      </c>
      <c r="F781" s="7">
        <f>F782</f>
        <v>0</v>
      </c>
    </row>
    <row r="782" spans="1:6" ht="47.25" hidden="1" x14ac:dyDescent="0.25">
      <c r="A782" s="31" t="s">
        <v>196</v>
      </c>
      <c r="B782" s="42" t="s">
        <v>307</v>
      </c>
      <c r="C782" s="42" t="s">
        <v>213</v>
      </c>
      <c r="D782" s="21" t="s">
        <v>466</v>
      </c>
      <c r="E782" s="42" t="s">
        <v>197</v>
      </c>
      <c r="F782" s="7">
        <v>0</v>
      </c>
    </row>
    <row r="783" spans="1:6" ht="63" x14ac:dyDescent="0.25">
      <c r="A783" s="26" t="s">
        <v>449</v>
      </c>
      <c r="B783" s="21" t="s">
        <v>307</v>
      </c>
      <c r="C783" s="21" t="s">
        <v>278</v>
      </c>
      <c r="D783" s="21" t="s">
        <v>914</v>
      </c>
      <c r="E783" s="21"/>
      <c r="F783" s="7">
        <f>F784</f>
        <v>59.4</v>
      </c>
    </row>
    <row r="784" spans="1:6" ht="31.5" x14ac:dyDescent="0.25">
      <c r="A784" s="26" t="s">
        <v>311</v>
      </c>
      <c r="B784" s="21" t="s">
        <v>307</v>
      </c>
      <c r="C784" s="21" t="s">
        <v>278</v>
      </c>
      <c r="D784" s="21" t="s">
        <v>914</v>
      </c>
      <c r="E784" s="21" t="s">
        <v>312</v>
      </c>
      <c r="F784" s="7">
        <f>F785</f>
        <v>59.4</v>
      </c>
    </row>
    <row r="785" spans="1:6" ht="31.5" x14ac:dyDescent="0.25">
      <c r="A785" s="26" t="s">
        <v>411</v>
      </c>
      <c r="B785" s="21" t="s">
        <v>307</v>
      </c>
      <c r="C785" s="21" t="s">
        <v>278</v>
      </c>
      <c r="D785" s="21" t="s">
        <v>914</v>
      </c>
      <c r="E785" s="21" t="s">
        <v>412</v>
      </c>
      <c r="F785" s="7">
        <f>'Прил.№4 ведомств.'!G461</f>
        <v>59.4</v>
      </c>
    </row>
    <row r="786" spans="1:6" ht="31.5" x14ac:dyDescent="0.25">
      <c r="A786" s="43" t="s">
        <v>321</v>
      </c>
      <c r="B786" s="8" t="s">
        <v>307</v>
      </c>
      <c r="C786" s="8" t="s">
        <v>183</v>
      </c>
      <c r="D786" s="8"/>
      <c r="E786" s="8"/>
      <c r="F786" s="4">
        <f>F787</f>
        <v>3079.5000000000005</v>
      </c>
    </row>
    <row r="787" spans="1:6" ht="15.75" x14ac:dyDescent="0.25">
      <c r="A787" s="31" t="s">
        <v>184</v>
      </c>
      <c r="B787" s="42" t="s">
        <v>307</v>
      </c>
      <c r="C787" s="42" t="s">
        <v>183</v>
      </c>
      <c r="D787" s="42" t="s">
        <v>185</v>
      </c>
      <c r="E787" s="42"/>
      <c r="F787" s="7">
        <f>F788+F794</f>
        <v>3079.5000000000005</v>
      </c>
    </row>
    <row r="788" spans="1:6" ht="31.5" x14ac:dyDescent="0.25">
      <c r="A788" s="31" t="s">
        <v>248</v>
      </c>
      <c r="B788" s="42" t="s">
        <v>307</v>
      </c>
      <c r="C788" s="42" t="s">
        <v>183</v>
      </c>
      <c r="D788" s="42" t="s">
        <v>249</v>
      </c>
      <c r="E788" s="42"/>
      <c r="F788" s="7">
        <f>F789</f>
        <v>3079.5000000000005</v>
      </c>
    </row>
    <row r="789" spans="1:6" ht="47.25" x14ac:dyDescent="0.25">
      <c r="A789" s="47" t="s">
        <v>322</v>
      </c>
      <c r="B789" s="42" t="s">
        <v>307</v>
      </c>
      <c r="C789" s="42" t="s">
        <v>183</v>
      </c>
      <c r="D789" s="42" t="s">
        <v>323</v>
      </c>
      <c r="E789" s="42"/>
      <c r="F789" s="7">
        <f>F790+F792</f>
        <v>3079.5000000000005</v>
      </c>
    </row>
    <row r="790" spans="1:6" ht="78.75" x14ac:dyDescent="0.25">
      <c r="A790" s="31" t="s">
        <v>190</v>
      </c>
      <c r="B790" s="42" t="s">
        <v>307</v>
      </c>
      <c r="C790" s="42" t="s">
        <v>183</v>
      </c>
      <c r="D790" s="42" t="s">
        <v>323</v>
      </c>
      <c r="E790" s="42" t="s">
        <v>191</v>
      </c>
      <c r="F790" s="7">
        <f>F791</f>
        <v>2868.7000000000003</v>
      </c>
    </row>
    <row r="791" spans="1:6" ht="31.5" x14ac:dyDescent="0.25">
      <c r="A791" s="31" t="s">
        <v>192</v>
      </c>
      <c r="B791" s="42" t="s">
        <v>307</v>
      </c>
      <c r="C791" s="42" t="s">
        <v>183</v>
      </c>
      <c r="D791" s="42" t="s">
        <v>323</v>
      </c>
      <c r="E791" s="42" t="s">
        <v>193</v>
      </c>
      <c r="F791" s="7">
        <f>'Прил.№4 ведомств.'!G220</f>
        <v>2868.7000000000003</v>
      </c>
    </row>
    <row r="792" spans="1:6" ht="31.5" x14ac:dyDescent="0.25">
      <c r="A792" s="31" t="s">
        <v>194</v>
      </c>
      <c r="B792" s="42" t="s">
        <v>307</v>
      </c>
      <c r="C792" s="42" t="s">
        <v>183</v>
      </c>
      <c r="D792" s="42" t="s">
        <v>323</v>
      </c>
      <c r="E792" s="42" t="s">
        <v>195</v>
      </c>
      <c r="F792" s="7">
        <f>F793</f>
        <v>210.79999999999998</v>
      </c>
    </row>
    <row r="793" spans="1:6" ht="47.25" x14ac:dyDescent="0.25">
      <c r="A793" s="31" t="s">
        <v>196</v>
      </c>
      <c r="B793" s="42" t="s">
        <v>307</v>
      </c>
      <c r="C793" s="42" t="s">
        <v>183</v>
      </c>
      <c r="D793" s="42" t="s">
        <v>323</v>
      </c>
      <c r="E793" s="42" t="s">
        <v>197</v>
      </c>
      <c r="F793" s="7">
        <f>'Прил.№4 ведомств.'!G222</f>
        <v>210.79999999999998</v>
      </c>
    </row>
    <row r="794" spans="1:6" ht="15.75" hidden="1" x14ac:dyDescent="0.25">
      <c r="A794" s="31" t="s">
        <v>204</v>
      </c>
      <c r="B794" s="42" t="s">
        <v>307</v>
      </c>
      <c r="C794" s="42" t="s">
        <v>183</v>
      </c>
      <c r="D794" s="42" t="s">
        <v>205</v>
      </c>
      <c r="E794" s="42"/>
      <c r="F794" s="7">
        <f>F795</f>
        <v>0</v>
      </c>
    </row>
    <row r="795" spans="1:6" ht="15.75" hidden="1" x14ac:dyDescent="0.25">
      <c r="A795" s="31" t="s">
        <v>637</v>
      </c>
      <c r="B795" s="42" t="s">
        <v>307</v>
      </c>
      <c r="C795" s="42" t="s">
        <v>183</v>
      </c>
      <c r="D795" s="42" t="s">
        <v>709</v>
      </c>
      <c r="E795" s="42"/>
      <c r="F795" s="7">
        <f>F796</f>
        <v>0</v>
      </c>
    </row>
    <row r="796" spans="1:6" ht="15.75" hidden="1" x14ac:dyDescent="0.25">
      <c r="A796" s="31" t="s">
        <v>198</v>
      </c>
      <c r="B796" s="42" t="s">
        <v>307</v>
      </c>
      <c r="C796" s="42" t="s">
        <v>183</v>
      </c>
      <c r="D796" s="42" t="s">
        <v>709</v>
      </c>
      <c r="E796" s="42" t="s">
        <v>208</v>
      </c>
      <c r="F796" s="7">
        <f>F797</f>
        <v>0</v>
      </c>
    </row>
    <row r="797" spans="1:6" ht="47.25" hidden="1" x14ac:dyDescent="0.25">
      <c r="A797" s="31" t="s">
        <v>247</v>
      </c>
      <c r="B797" s="42" t="s">
        <v>307</v>
      </c>
      <c r="C797" s="42" t="s">
        <v>183</v>
      </c>
      <c r="D797" s="42" t="s">
        <v>709</v>
      </c>
      <c r="E797" s="42" t="s">
        <v>223</v>
      </c>
      <c r="F797" s="7">
        <f>'Прил.№4 ведомств.'!G945</f>
        <v>0</v>
      </c>
    </row>
    <row r="798" spans="1:6" ht="15.75" x14ac:dyDescent="0.25">
      <c r="A798" s="43" t="s">
        <v>554</v>
      </c>
      <c r="B798" s="8" t="s">
        <v>555</v>
      </c>
      <c r="C798" s="42"/>
      <c r="D798" s="42"/>
      <c r="E798" s="42"/>
      <c r="F798" s="4">
        <f>F799+F819</f>
        <v>34873</v>
      </c>
    </row>
    <row r="799" spans="1:6" ht="15.75" x14ac:dyDescent="0.25">
      <c r="A799" s="43" t="s">
        <v>556</v>
      </c>
      <c r="B799" s="8" t="s">
        <v>555</v>
      </c>
      <c r="C799" s="8" t="s">
        <v>181</v>
      </c>
      <c r="D799" s="42"/>
      <c r="E799" s="42"/>
      <c r="F799" s="4">
        <f>F800+F814</f>
        <v>23494.200000000004</v>
      </c>
    </row>
    <row r="800" spans="1:6" ht="47.25" x14ac:dyDescent="0.25">
      <c r="A800" s="31" t="s">
        <v>545</v>
      </c>
      <c r="B800" s="42" t="s">
        <v>555</v>
      </c>
      <c r="C800" s="42" t="s">
        <v>181</v>
      </c>
      <c r="D800" s="42" t="s">
        <v>546</v>
      </c>
      <c r="E800" s="42"/>
      <c r="F800" s="7">
        <f>F801</f>
        <v>22994.200000000004</v>
      </c>
    </row>
    <row r="801" spans="1:6" ht="47.25" x14ac:dyDescent="0.25">
      <c r="A801" s="47" t="s">
        <v>557</v>
      </c>
      <c r="B801" s="42" t="s">
        <v>555</v>
      </c>
      <c r="C801" s="42" t="s">
        <v>710</v>
      </c>
      <c r="D801" s="42" t="s">
        <v>558</v>
      </c>
      <c r="E801" s="42"/>
      <c r="F801" s="7">
        <f>F803+F806+F809+F812</f>
        <v>22994.200000000004</v>
      </c>
    </row>
    <row r="802" spans="1:6" ht="31.5" x14ac:dyDescent="0.25">
      <c r="A802" s="31" t="s">
        <v>559</v>
      </c>
      <c r="B802" s="42" t="s">
        <v>555</v>
      </c>
      <c r="C802" s="42" t="s">
        <v>181</v>
      </c>
      <c r="D802" s="42" t="s">
        <v>560</v>
      </c>
      <c r="E802" s="42"/>
      <c r="F802" s="7">
        <f>F803</f>
        <v>22696.700000000004</v>
      </c>
    </row>
    <row r="803" spans="1:6" ht="47.25" x14ac:dyDescent="0.25">
      <c r="A803" s="31" t="s">
        <v>335</v>
      </c>
      <c r="B803" s="42" t="s">
        <v>555</v>
      </c>
      <c r="C803" s="42" t="s">
        <v>181</v>
      </c>
      <c r="D803" s="42" t="s">
        <v>560</v>
      </c>
      <c r="E803" s="42" t="s">
        <v>336</v>
      </c>
      <c r="F803" s="7">
        <f>F804</f>
        <v>22696.700000000004</v>
      </c>
    </row>
    <row r="804" spans="1:6" ht="15.75" x14ac:dyDescent="0.25">
      <c r="A804" s="31" t="s">
        <v>337</v>
      </c>
      <c r="B804" s="42" t="s">
        <v>555</v>
      </c>
      <c r="C804" s="42" t="s">
        <v>181</v>
      </c>
      <c r="D804" s="42" t="s">
        <v>560</v>
      </c>
      <c r="E804" s="42" t="s">
        <v>338</v>
      </c>
      <c r="F804" s="7">
        <f>'Прил.№4 ведомств.'!G724</f>
        <v>22696.700000000004</v>
      </c>
    </row>
    <row r="805" spans="1:6" ht="31.5" x14ac:dyDescent="0.25">
      <c r="A805" s="31" t="s">
        <v>341</v>
      </c>
      <c r="B805" s="42" t="s">
        <v>555</v>
      </c>
      <c r="C805" s="42" t="s">
        <v>181</v>
      </c>
      <c r="D805" s="42" t="s">
        <v>561</v>
      </c>
      <c r="E805" s="42"/>
      <c r="F805" s="7">
        <f>F806</f>
        <v>297.5</v>
      </c>
    </row>
    <row r="806" spans="1:6" ht="47.25" x14ac:dyDescent="0.25">
      <c r="A806" s="31" t="s">
        <v>335</v>
      </c>
      <c r="B806" s="42" t="s">
        <v>555</v>
      </c>
      <c r="C806" s="42" t="s">
        <v>181</v>
      </c>
      <c r="D806" s="42" t="s">
        <v>561</v>
      </c>
      <c r="E806" s="42" t="s">
        <v>336</v>
      </c>
      <c r="F806" s="7">
        <f>F807</f>
        <v>297.5</v>
      </c>
    </row>
    <row r="807" spans="1:6" ht="15.75" x14ac:dyDescent="0.25">
      <c r="A807" s="31" t="s">
        <v>337</v>
      </c>
      <c r="B807" s="42" t="s">
        <v>555</v>
      </c>
      <c r="C807" s="42" t="s">
        <v>181</v>
      </c>
      <c r="D807" s="42" t="s">
        <v>561</v>
      </c>
      <c r="E807" s="42" t="s">
        <v>338</v>
      </c>
      <c r="F807" s="7">
        <f>'Прил.№4 ведомств.'!G727</f>
        <v>297.5</v>
      </c>
    </row>
    <row r="808" spans="1:6" ht="31.5" hidden="1" x14ac:dyDescent="0.25">
      <c r="A808" s="31" t="s">
        <v>343</v>
      </c>
      <c r="B808" s="42" t="s">
        <v>555</v>
      </c>
      <c r="C808" s="42" t="s">
        <v>181</v>
      </c>
      <c r="D808" s="42" t="s">
        <v>711</v>
      </c>
      <c r="E808" s="42"/>
      <c r="F808" s="7"/>
    </row>
    <row r="809" spans="1:6" ht="47.25" hidden="1" x14ac:dyDescent="0.25">
      <c r="A809" s="31" t="s">
        <v>335</v>
      </c>
      <c r="B809" s="42" t="s">
        <v>555</v>
      </c>
      <c r="C809" s="42" t="s">
        <v>181</v>
      </c>
      <c r="D809" s="42" t="s">
        <v>711</v>
      </c>
      <c r="E809" s="42" t="s">
        <v>336</v>
      </c>
      <c r="F809" s="7"/>
    </row>
    <row r="810" spans="1:6" ht="15.75" hidden="1" x14ac:dyDescent="0.25">
      <c r="A810" s="31" t="s">
        <v>337</v>
      </c>
      <c r="B810" s="42" t="s">
        <v>555</v>
      </c>
      <c r="C810" s="42" t="s">
        <v>181</v>
      </c>
      <c r="D810" s="42" t="s">
        <v>711</v>
      </c>
      <c r="E810" s="42" t="s">
        <v>338</v>
      </c>
      <c r="F810" s="7"/>
    </row>
    <row r="811" spans="1:6" ht="31.5" hidden="1" x14ac:dyDescent="0.25">
      <c r="A811" s="31" t="s">
        <v>347</v>
      </c>
      <c r="B811" s="42" t="s">
        <v>555</v>
      </c>
      <c r="C811" s="42" t="s">
        <v>181</v>
      </c>
      <c r="D811" s="42" t="s">
        <v>712</v>
      </c>
      <c r="E811" s="42"/>
      <c r="F811" s="7"/>
    </row>
    <row r="812" spans="1:6" ht="47.25" hidden="1" x14ac:dyDescent="0.25">
      <c r="A812" s="31" t="s">
        <v>335</v>
      </c>
      <c r="B812" s="42" t="s">
        <v>555</v>
      </c>
      <c r="C812" s="42" t="s">
        <v>181</v>
      </c>
      <c r="D812" s="42" t="s">
        <v>712</v>
      </c>
      <c r="E812" s="42" t="s">
        <v>336</v>
      </c>
      <c r="F812" s="7"/>
    </row>
    <row r="813" spans="1:6" ht="15.75" hidden="1" x14ac:dyDescent="0.25">
      <c r="A813" s="31" t="s">
        <v>337</v>
      </c>
      <c r="B813" s="42" t="s">
        <v>555</v>
      </c>
      <c r="C813" s="42" t="s">
        <v>181</v>
      </c>
      <c r="D813" s="42" t="s">
        <v>712</v>
      </c>
      <c r="E813" s="42" t="s">
        <v>338</v>
      </c>
      <c r="F813" s="7"/>
    </row>
    <row r="814" spans="1:6" ht="15.75" x14ac:dyDescent="0.25">
      <c r="A814" s="26" t="s">
        <v>184</v>
      </c>
      <c r="B814" s="21" t="s">
        <v>555</v>
      </c>
      <c r="C814" s="21" t="s">
        <v>181</v>
      </c>
      <c r="D814" s="21" t="s">
        <v>185</v>
      </c>
      <c r="E814" s="21"/>
      <c r="F814" s="7">
        <f>F815</f>
        <v>500</v>
      </c>
    </row>
    <row r="815" spans="1:6" ht="31.5" x14ac:dyDescent="0.25">
      <c r="A815" s="26" t="s">
        <v>248</v>
      </c>
      <c r="B815" s="21" t="s">
        <v>555</v>
      </c>
      <c r="C815" s="21" t="s">
        <v>181</v>
      </c>
      <c r="D815" s="21" t="s">
        <v>249</v>
      </c>
      <c r="E815" s="21"/>
      <c r="F815" s="7">
        <f>F816</f>
        <v>500</v>
      </c>
    </row>
    <row r="816" spans="1:6" ht="31.5" x14ac:dyDescent="0.25">
      <c r="A816" s="26" t="s">
        <v>876</v>
      </c>
      <c r="B816" s="21" t="s">
        <v>555</v>
      </c>
      <c r="C816" s="21" t="s">
        <v>181</v>
      </c>
      <c r="D816" s="21" t="s">
        <v>873</v>
      </c>
      <c r="E816" s="21"/>
      <c r="F816" s="7">
        <f>F817</f>
        <v>500</v>
      </c>
    </row>
    <row r="817" spans="1:6" ht="47.25" x14ac:dyDescent="0.25">
      <c r="A817" s="26" t="s">
        <v>335</v>
      </c>
      <c r="B817" s="21" t="s">
        <v>555</v>
      </c>
      <c r="C817" s="21" t="s">
        <v>181</v>
      </c>
      <c r="D817" s="21" t="s">
        <v>873</v>
      </c>
      <c r="E817" s="21" t="s">
        <v>336</v>
      </c>
      <c r="F817" s="7">
        <f>F818</f>
        <v>500</v>
      </c>
    </row>
    <row r="818" spans="1:6" ht="15.75" x14ac:dyDescent="0.25">
      <c r="A818" s="26" t="s">
        <v>337</v>
      </c>
      <c r="B818" s="21" t="s">
        <v>555</v>
      </c>
      <c r="C818" s="21" t="s">
        <v>181</v>
      </c>
      <c r="D818" s="21" t="s">
        <v>873</v>
      </c>
      <c r="E818" s="21" t="s">
        <v>338</v>
      </c>
      <c r="F818" s="7">
        <f>'Прил.№4 ведомств.'!G738</f>
        <v>500</v>
      </c>
    </row>
    <row r="819" spans="1:6" ht="31.5" x14ac:dyDescent="0.25">
      <c r="A819" s="43" t="s">
        <v>564</v>
      </c>
      <c r="B819" s="8" t="s">
        <v>555</v>
      </c>
      <c r="C819" s="8" t="s">
        <v>297</v>
      </c>
      <c r="D819" s="8"/>
      <c r="E819" s="8"/>
      <c r="F819" s="4">
        <f>F827+F820</f>
        <v>11378.8</v>
      </c>
    </row>
    <row r="820" spans="1:6" ht="47.25" x14ac:dyDescent="0.25">
      <c r="A820" s="31" t="s">
        <v>545</v>
      </c>
      <c r="B820" s="42" t="s">
        <v>555</v>
      </c>
      <c r="C820" s="42" t="s">
        <v>297</v>
      </c>
      <c r="D820" s="42" t="s">
        <v>546</v>
      </c>
      <c r="E820" s="42"/>
      <c r="F820" s="7">
        <f>F821</f>
        <v>2797</v>
      </c>
    </row>
    <row r="821" spans="1:6" ht="47.25" x14ac:dyDescent="0.25">
      <c r="A821" s="47" t="s">
        <v>565</v>
      </c>
      <c r="B821" s="42" t="s">
        <v>555</v>
      </c>
      <c r="C821" s="42" t="s">
        <v>297</v>
      </c>
      <c r="D821" s="42" t="s">
        <v>566</v>
      </c>
      <c r="E821" s="8"/>
      <c r="F821" s="7">
        <f>F822</f>
        <v>2797</v>
      </c>
    </row>
    <row r="822" spans="1:6" ht="31.5" x14ac:dyDescent="0.25">
      <c r="A822" s="31" t="s">
        <v>220</v>
      </c>
      <c r="B822" s="42" t="s">
        <v>555</v>
      </c>
      <c r="C822" s="42" t="s">
        <v>297</v>
      </c>
      <c r="D822" s="42" t="s">
        <v>567</v>
      </c>
      <c r="E822" s="8"/>
      <c r="F822" s="7">
        <f>F825+F823</f>
        <v>2797</v>
      </c>
    </row>
    <row r="823" spans="1:6" ht="78.75" x14ac:dyDescent="0.25">
      <c r="A823" s="26" t="s">
        <v>190</v>
      </c>
      <c r="B823" s="42" t="s">
        <v>555</v>
      </c>
      <c r="C823" s="42" t="s">
        <v>297</v>
      </c>
      <c r="D823" s="42" t="s">
        <v>567</v>
      </c>
      <c r="E823" s="42" t="s">
        <v>191</v>
      </c>
      <c r="F823" s="7">
        <f>F824</f>
        <v>1805</v>
      </c>
    </row>
    <row r="824" spans="1:6" ht="31.5" x14ac:dyDescent="0.25">
      <c r="A824" s="26" t="s">
        <v>192</v>
      </c>
      <c r="B824" s="42" t="s">
        <v>555</v>
      </c>
      <c r="C824" s="42" t="s">
        <v>297</v>
      </c>
      <c r="D824" s="42" t="s">
        <v>567</v>
      </c>
      <c r="E824" s="42" t="s">
        <v>193</v>
      </c>
      <c r="F824" s="7">
        <f>'Прил.№4 ведомств.'!G744</f>
        <v>1805</v>
      </c>
    </row>
    <row r="825" spans="1:6" ht="31.5" x14ac:dyDescent="0.25">
      <c r="A825" s="31" t="s">
        <v>194</v>
      </c>
      <c r="B825" s="42" t="s">
        <v>555</v>
      </c>
      <c r="C825" s="42" t="s">
        <v>297</v>
      </c>
      <c r="D825" s="42" t="s">
        <v>567</v>
      </c>
      <c r="E825" s="42" t="s">
        <v>195</v>
      </c>
      <c r="F825" s="7">
        <f>F826</f>
        <v>992</v>
      </c>
    </row>
    <row r="826" spans="1:6" ht="47.25" x14ac:dyDescent="0.25">
      <c r="A826" s="31" t="s">
        <v>196</v>
      </c>
      <c r="B826" s="42" t="s">
        <v>555</v>
      </c>
      <c r="C826" s="42" t="s">
        <v>297</v>
      </c>
      <c r="D826" s="42" t="s">
        <v>567</v>
      </c>
      <c r="E826" s="42" t="s">
        <v>197</v>
      </c>
      <c r="F826" s="7">
        <f>'Прил.№4 ведомств.'!G746</f>
        <v>992</v>
      </c>
    </row>
    <row r="827" spans="1:6" ht="15.75" x14ac:dyDescent="0.25">
      <c r="A827" s="31" t="s">
        <v>184</v>
      </c>
      <c r="B827" s="42" t="s">
        <v>555</v>
      </c>
      <c r="C827" s="42" t="s">
        <v>297</v>
      </c>
      <c r="D827" s="42" t="s">
        <v>185</v>
      </c>
      <c r="E827" s="42"/>
      <c r="F827" s="7">
        <f>F834+F828</f>
        <v>8581.7999999999993</v>
      </c>
    </row>
    <row r="828" spans="1:6" ht="31.5" x14ac:dyDescent="0.25">
      <c r="A828" s="31" t="s">
        <v>186</v>
      </c>
      <c r="B828" s="42" t="s">
        <v>555</v>
      </c>
      <c r="C828" s="42" t="s">
        <v>297</v>
      </c>
      <c r="D828" s="42" t="s">
        <v>187</v>
      </c>
      <c r="E828" s="42"/>
      <c r="F828" s="7">
        <f>F829</f>
        <v>3634.4</v>
      </c>
    </row>
    <row r="829" spans="1:6" ht="33.75" customHeight="1" x14ac:dyDescent="0.25">
      <c r="A829" s="31" t="s">
        <v>188</v>
      </c>
      <c r="B829" s="42" t="s">
        <v>555</v>
      </c>
      <c r="C829" s="42" t="s">
        <v>297</v>
      </c>
      <c r="D829" s="42" t="s">
        <v>189</v>
      </c>
      <c r="E829" s="42"/>
      <c r="F829" s="7">
        <f>F830+F832</f>
        <v>3634.4</v>
      </c>
    </row>
    <row r="830" spans="1:6" ht="78.75" x14ac:dyDescent="0.25">
      <c r="A830" s="31" t="s">
        <v>190</v>
      </c>
      <c r="B830" s="42" t="s">
        <v>555</v>
      </c>
      <c r="C830" s="42" t="s">
        <v>297</v>
      </c>
      <c r="D830" s="42" t="s">
        <v>189</v>
      </c>
      <c r="E830" s="42" t="s">
        <v>191</v>
      </c>
      <c r="F830" s="63">
        <f>F831</f>
        <v>3634.4</v>
      </c>
    </row>
    <row r="831" spans="1:6" ht="31.5" x14ac:dyDescent="0.25">
      <c r="A831" s="31" t="s">
        <v>192</v>
      </c>
      <c r="B831" s="42" t="s">
        <v>555</v>
      </c>
      <c r="C831" s="42" t="s">
        <v>297</v>
      </c>
      <c r="D831" s="42" t="s">
        <v>189</v>
      </c>
      <c r="E831" s="42" t="s">
        <v>193</v>
      </c>
      <c r="F831" s="63">
        <f>'Прил.№4 ведомств.'!G751</f>
        <v>3634.4</v>
      </c>
    </row>
    <row r="832" spans="1:6" ht="31.5" hidden="1" x14ac:dyDescent="0.25">
      <c r="A832" s="31" t="s">
        <v>194</v>
      </c>
      <c r="B832" s="42" t="s">
        <v>555</v>
      </c>
      <c r="C832" s="42" t="s">
        <v>297</v>
      </c>
      <c r="D832" s="42" t="s">
        <v>189</v>
      </c>
      <c r="E832" s="42" t="s">
        <v>195</v>
      </c>
      <c r="F832" s="63">
        <f>F833</f>
        <v>0</v>
      </c>
    </row>
    <row r="833" spans="1:6" ht="47.25" hidden="1" x14ac:dyDescent="0.25">
      <c r="A833" s="31" t="s">
        <v>196</v>
      </c>
      <c r="B833" s="42" t="s">
        <v>555</v>
      </c>
      <c r="C833" s="42" t="s">
        <v>297</v>
      </c>
      <c r="D833" s="42" t="s">
        <v>189</v>
      </c>
      <c r="E833" s="42" t="s">
        <v>197</v>
      </c>
      <c r="F833" s="63"/>
    </row>
    <row r="834" spans="1:6" ht="15.75" x14ac:dyDescent="0.25">
      <c r="A834" s="31" t="s">
        <v>204</v>
      </c>
      <c r="B834" s="42" t="s">
        <v>555</v>
      </c>
      <c r="C834" s="42" t="s">
        <v>297</v>
      </c>
      <c r="D834" s="42" t="s">
        <v>205</v>
      </c>
      <c r="E834" s="42"/>
      <c r="F834" s="7">
        <f>F835</f>
        <v>4947.3999999999996</v>
      </c>
    </row>
    <row r="835" spans="1:6" ht="31.5" x14ac:dyDescent="0.25">
      <c r="A835" s="26" t="s">
        <v>403</v>
      </c>
      <c r="B835" s="42" t="s">
        <v>555</v>
      </c>
      <c r="C835" s="42" t="s">
        <v>297</v>
      </c>
      <c r="D835" s="42" t="s">
        <v>404</v>
      </c>
      <c r="E835" s="42"/>
      <c r="F835" s="7">
        <f>F836+F838+F840</f>
        <v>4947.3999999999996</v>
      </c>
    </row>
    <row r="836" spans="1:6" ht="78.75" x14ac:dyDescent="0.25">
      <c r="A836" s="31" t="s">
        <v>190</v>
      </c>
      <c r="B836" s="42" t="s">
        <v>555</v>
      </c>
      <c r="C836" s="42" t="s">
        <v>297</v>
      </c>
      <c r="D836" s="42" t="s">
        <v>404</v>
      </c>
      <c r="E836" s="42" t="s">
        <v>191</v>
      </c>
      <c r="F836" s="63">
        <f>F837</f>
        <v>3891.7999999999997</v>
      </c>
    </row>
    <row r="837" spans="1:6" ht="31.5" x14ac:dyDescent="0.25">
      <c r="A837" s="31" t="s">
        <v>405</v>
      </c>
      <c r="B837" s="42" t="s">
        <v>555</v>
      </c>
      <c r="C837" s="42" t="s">
        <v>297</v>
      </c>
      <c r="D837" s="42" t="s">
        <v>404</v>
      </c>
      <c r="E837" s="42" t="s">
        <v>272</v>
      </c>
      <c r="F837" s="63">
        <f>'Прил.№4 ведомств.'!G757</f>
        <v>3891.7999999999997</v>
      </c>
    </row>
    <row r="838" spans="1:6" ht="31.5" x14ac:dyDescent="0.25">
      <c r="A838" s="31" t="s">
        <v>194</v>
      </c>
      <c r="B838" s="42" t="s">
        <v>555</v>
      </c>
      <c r="C838" s="42" t="s">
        <v>297</v>
      </c>
      <c r="D838" s="42" t="s">
        <v>404</v>
      </c>
      <c r="E838" s="42" t="s">
        <v>195</v>
      </c>
      <c r="F838" s="63">
        <f>F839</f>
        <v>1028.4999999999998</v>
      </c>
    </row>
    <row r="839" spans="1:6" ht="47.25" x14ac:dyDescent="0.25">
      <c r="A839" s="31" t="s">
        <v>196</v>
      </c>
      <c r="B839" s="42" t="s">
        <v>555</v>
      </c>
      <c r="C839" s="42" t="s">
        <v>297</v>
      </c>
      <c r="D839" s="42" t="s">
        <v>404</v>
      </c>
      <c r="E839" s="42" t="s">
        <v>197</v>
      </c>
      <c r="F839" s="63">
        <f>'Прил.№4 ведомств.'!G759</f>
        <v>1028.4999999999998</v>
      </c>
    </row>
    <row r="840" spans="1:6" ht="15.75" x14ac:dyDescent="0.25">
      <c r="A840" s="31" t="s">
        <v>198</v>
      </c>
      <c r="B840" s="42" t="s">
        <v>555</v>
      </c>
      <c r="C840" s="42" t="s">
        <v>297</v>
      </c>
      <c r="D840" s="42" t="s">
        <v>404</v>
      </c>
      <c r="E840" s="42" t="s">
        <v>208</v>
      </c>
      <c r="F840" s="7">
        <f>F841</f>
        <v>27.1</v>
      </c>
    </row>
    <row r="841" spans="1:6" ht="15.75" x14ac:dyDescent="0.25">
      <c r="A841" s="31" t="s">
        <v>200</v>
      </c>
      <c r="B841" s="42" t="s">
        <v>555</v>
      </c>
      <c r="C841" s="42" t="s">
        <v>297</v>
      </c>
      <c r="D841" s="42" t="s">
        <v>404</v>
      </c>
      <c r="E841" s="42" t="s">
        <v>201</v>
      </c>
      <c r="F841" s="7">
        <f>'Прил.№4 ведомств.'!G761</f>
        <v>27.1</v>
      </c>
    </row>
    <row r="842" spans="1:6" ht="15.75" x14ac:dyDescent="0.25">
      <c r="A842" s="43" t="s">
        <v>647</v>
      </c>
      <c r="B842" s="8" t="s">
        <v>301</v>
      </c>
      <c r="C842" s="42"/>
      <c r="D842" s="42"/>
      <c r="E842" s="42"/>
      <c r="F842" s="4">
        <f>F843</f>
        <v>6584.5999999999995</v>
      </c>
    </row>
    <row r="843" spans="1:6" ht="15.75" x14ac:dyDescent="0.25">
      <c r="A843" s="43" t="s">
        <v>648</v>
      </c>
      <c r="B843" s="8" t="s">
        <v>301</v>
      </c>
      <c r="C843" s="8" t="s">
        <v>276</v>
      </c>
      <c r="D843" s="8"/>
      <c r="E843" s="8"/>
      <c r="F843" s="4">
        <f>F844</f>
        <v>6584.5999999999995</v>
      </c>
    </row>
    <row r="844" spans="1:6" ht="15.75" x14ac:dyDescent="0.25">
      <c r="A844" s="31" t="s">
        <v>184</v>
      </c>
      <c r="B844" s="42" t="s">
        <v>301</v>
      </c>
      <c r="C844" s="42" t="s">
        <v>276</v>
      </c>
      <c r="D844" s="42" t="s">
        <v>185</v>
      </c>
      <c r="E844" s="42"/>
      <c r="F844" s="7">
        <f>F845</f>
        <v>6584.5999999999995</v>
      </c>
    </row>
    <row r="845" spans="1:6" ht="31.5" x14ac:dyDescent="0.25">
      <c r="A845" s="31" t="s">
        <v>649</v>
      </c>
      <c r="B845" s="42" t="s">
        <v>301</v>
      </c>
      <c r="C845" s="42" t="s">
        <v>276</v>
      </c>
      <c r="D845" s="42" t="s">
        <v>650</v>
      </c>
      <c r="E845" s="42"/>
      <c r="F845" s="7">
        <f>F846</f>
        <v>6584.5999999999995</v>
      </c>
    </row>
    <row r="846" spans="1:6" ht="31.5" x14ac:dyDescent="0.25">
      <c r="A846" s="31" t="s">
        <v>713</v>
      </c>
      <c r="B846" s="42" t="s">
        <v>301</v>
      </c>
      <c r="C846" s="42" t="s">
        <v>276</v>
      </c>
      <c r="D846" s="42" t="s">
        <v>651</v>
      </c>
      <c r="E846" s="42"/>
      <c r="F846" s="7">
        <f>F847+F849+F851</f>
        <v>6584.5999999999995</v>
      </c>
    </row>
    <row r="847" spans="1:6" ht="78.75" x14ac:dyDescent="0.25">
      <c r="A847" s="31" t="s">
        <v>190</v>
      </c>
      <c r="B847" s="42" t="s">
        <v>301</v>
      </c>
      <c r="C847" s="42" t="s">
        <v>276</v>
      </c>
      <c r="D847" s="42" t="s">
        <v>651</v>
      </c>
      <c r="E847" s="42" t="s">
        <v>191</v>
      </c>
      <c r="F847" s="63">
        <f>F848</f>
        <v>5412.7</v>
      </c>
    </row>
    <row r="848" spans="1:6" ht="31.5" x14ac:dyDescent="0.25">
      <c r="A848" s="31" t="s">
        <v>271</v>
      </c>
      <c r="B848" s="42" t="s">
        <v>301</v>
      </c>
      <c r="C848" s="42" t="s">
        <v>276</v>
      </c>
      <c r="D848" s="42" t="s">
        <v>651</v>
      </c>
      <c r="E848" s="42" t="s">
        <v>272</v>
      </c>
      <c r="F848" s="63">
        <f>'Прил.№4 ведомств.'!G991</f>
        <v>5412.7</v>
      </c>
    </row>
    <row r="849" spans="1:8" ht="31.5" x14ac:dyDescent="0.25">
      <c r="A849" s="31" t="s">
        <v>194</v>
      </c>
      <c r="B849" s="42" t="s">
        <v>301</v>
      </c>
      <c r="C849" s="42" t="s">
        <v>276</v>
      </c>
      <c r="D849" s="42" t="s">
        <v>651</v>
      </c>
      <c r="E849" s="42" t="s">
        <v>195</v>
      </c>
      <c r="F849" s="7">
        <f>F850</f>
        <v>1159.2</v>
      </c>
    </row>
    <row r="850" spans="1:8" ht="47.25" x14ac:dyDescent="0.25">
      <c r="A850" s="31" t="s">
        <v>196</v>
      </c>
      <c r="B850" s="42" t="s">
        <v>301</v>
      </c>
      <c r="C850" s="42" t="s">
        <v>276</v>
      </c>
      <c r="D850" s="42" t="s">
        <v>651</v>
      </c>
      <c r="E850" s="42" t="s">
        <v>197</v>
      </c>
      <c r="F850" s="7">
        <f>'Прил.№4 ведомств.'!G993</f>
        <v>1159.2</v>
      </c>
    </row>
    <row r="851" spans="1:8" ht="15.75" x14ac:dyDescent="0.25">
      <c r="A851" s="31" t="s">
        <v>198</v>
      </c>
      <c r="B851" s="42" t="s">
        <v>301</v>
      </c>
      <c r="C851" s="42" t="s">
        <v>276</v>
      </c>
      <c r="D851" s="42" t="s">
        <v>651</v>
      </c>
      <c r="E851" s="42" t="s">
        <v>208</v>
      </c>
      <c r="F851" s="7">
        <f>F852</f>
        <v>12.7</v>
      </c>
    </row>
    <row r="852" spans="1:8" ht="15.75" x14ac:dyDescent="0.25">
      <c r="A852" s="31" t="s">
        <v>200</v>
      </c>
      <c r="B852" s="42" t="s">
        <v>301</v>
      </c>
      <c r="C852" s="42" t="s">
        <v>276</v>
      </c>
      <c r="D852" s="42" t="s">
        <v>651</v>
      </c>
      <c r="E852" s="42" t="s">
        <v>201</v>
      </c>
      <c r="F852" s="7">
        <f>'Прил.№4 ведомств.'!G995</f>
        <v>12.7</v>
      </c>
    </row>
    <row r="853" spans="1:8" ht="15.75" x14ac:dyDescent="0.25">
      <c r="A853" s="71" t="s">
        <v>652</v>
      </c>
      <c r="B853" s="8"/>
      <c r="C853" s="8"/>
      <c r="D853" s="8"/>
      <c r="E853" s="8"/>
      <c r="F853" s="72">
        <f>F10+F169+F190+F221+F366+F585+F694+F798+F842</f>
        <v>633371.18999999994</v>
      </c>
      <c r="H853" s="23"/>
    </row>
  </sheetData>
  <mergeCells count="7">
    <mergeCell ref="A5:F5"/>
    <mergeCell ref="A7:A8"/>
    <mergeCell ref="B7:B8"/>
    <mergeCell ref="C7:C8"/>
    <mergeCell ref="D7:D8"/>
    <mergeCell ref="E7:E8"/>
    <mergeCell ref="F7:F8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1"/>
  <sheetViews>
    <sheetView view="pageBreakPreview" zoomScale="90" zoomScaleNormal="100" zoomScaleSheetLayoutView="90" workbookViewId="0">
      <selection activeCell="F3" sqref="F3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5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91" t="s">
        <v>656</v>
      </c>
      <c r="G1" s="74"/>
      <c r="H1" s="221"/>
    </row>
    <row r="2" spans="1:9" ht="18.75" x14ac:dyDescent="0.3">
      <c r="A2" s="74"/>
      <c r="B2" s="74"/>
      <c r="C2" s="74"/>
      <c r="D2" s="74"/>
      <c r="E2" s="73"/>
      <c r="F2" s="191" t="s">
        <v>0</v>
      </c>
      <c r="G2" s="74"/>
      <c r="H2" s="221"/>
    </row>
    <row r="3" spans="1:9" ht="18.75" x14ac:dyDescent="0.3">
      <c r="A3" s="74"/>
      <c r="B3" s="74"/>
      <c r="C3" s="74"/>
      <c r="D3" s="74"/>
      <c r="E3" s="73"/>
      <c r="F3" s="191" t="s">
        <v>1032</v>
      </c>
      <c r="G3" s="74"/>
      <c r="H3" s="221"/>
    </row>
    <row r="4" spans="1:9" ht="15.75" x14ac:dyDescent="0.25">
      <c r="A4" s="279"/>
      <c r="B4" s="279"/>
      <c r="C4" s="279"/>
      <c r="D4" s="279"/>
      <c r="E4" s="279"/>
      <c r="F4" s="279"/>
      <c r="G4" s="279"/>
      <c r="H4" s="221"/>
    </row>
    <row r="5" spans="1:9" ht="15.75" x14ac:dyDescent="0.25">
      <c r="A5" s="271" t="s">
        <v>172</v>
      </c>
      <c r="B5" s="271"/>
      <c r="C5" s="271"/>
      <c r="D5" s="271"/>
      <c r="E5" s="271"/>
      <c r="F5" s="271"/>
      <c r="G5" s="271"/>
      <c r="H5" s="221"/>
    </row>
    <row r="6" spans="1:9" ht="15.75" x14ac:dyDescent="0.25">
      <c r="A6" s="225"/>
      <c r="B6" s="217"/>
      <c r="C6" s="217"/>
      <c r="D6" s="217"/>
      <c r="E6" s="217"/>
      <c r="F6" s="217"/>
      <c r="G6" s="258"/>
      <c r="H6" s="221"/>
    </row>
    <row r="7" spans="1:9" ht="15.75" x14ac:dyDescent="0.25">
      <c r="A7" s="14"/>
      <c r="B7" s="14"/>
      <c r="C7" s="14"/>
      <c r="D7" s="14"/>
      <c r="E7" s="14"/>
      <c r="F7" s="14"/>
      <c r="G7" s="127" t="s">
        <v>4</v>
      </c>
      <c r="H7" s="221"/>
    </row>
    <row r="8" spans="1:9" ht="47.25" x14ac:dyDescent="0.25">
      <c r="A8" s="15" t="s">
        <v>173</v>
      </c>
      <c r="B8" s="15" t="s">
        <v>174</v>
      </c>
      <c r="C8" s="16" t="s">
        <v>175</v>
      </c>
      <c r="D8" s="16" t="s">
        <v>176</v>
      </c>
      <c r="E8" s="16" t="s">
        <v>177</v>
      </c>
      <c r="F8" s="16" t="s">
        <v>178</v>
      </c>
      <c r="G8" s="15" t="s">
        <v>7</v>
      </c>
      <c r="H8" s="221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21"/>
    </row>
    <row r="10" spans="1:9" ht="31.5" x14ac:dyDescent="0.25">
      <c r="A10" s="20" t="s">
        <v>179</v>
      </c>
      <c r="B10" s="20">
        <v>901</v>
      </c>
      <c r="C10" s="21"/>
      <c r="D10" s="21"/>
      <c r="E10" s="21"/>
      <c r="F10" s="21"/>
      <c r="G10" s="22">
        <f>G11</f>
        <v>11499.460000000001</v>
      </c>
      <c r="H10" s="221"/>
      <c r="I10" s="140"/>
    </row>
    <row r="11" spans="1:9" ht="15.75" x14ac:dyDescent="0.25">
      <c r="A11" s="24" t="s">
        <v>180</v>
      </c>
      <c r="B11" s="20">
        <v>901</v>
      </c>
      <c r="C11" s="25" t="s">
        <v>181</v>
      </c>
      <c r="D11" s="21"/>
      <c r="E11" s="21"/>
      <c r="F11" s="21"/>
      <c r="G11" s="22">
        <f>G12+G22</f>
        <v>11499.460000000001</v>
      </c>
      <c r="H11" s="221"/>
    </row>
    <row r="12" spans="1:9" ht="63" x14ac:dyDescent="0.25">
      <c r="A12" s="24" t="s">
        <v>182</v>
      </c>
      <c r="B12" s="20">
        <v>901</v>
      </c>
      <c r="C12" s="25" t="s">
        <v>181</v>
      </c>
      <c r="D12" s="25" t="s">
        <v>183</v>
      </c>
      <c r="E12" s="25"/>
      <c r="F12" s="25"/>
      <c r="G12" s="22">
        <f>G13</f>
        <v>11449.460000000001</v>
      </c>
      <c r="H12" s="221"/>
    </row>
    <row r="13" spans="1:9" ht="15.75" x14ac:dyDescent="0.25">
      <c r="A13" s="26" t="s">
        <v>184</v>
      </c>
      <c r="B13" s="17">
        <v>901</v>
      </c>
      <c r="C13" s="21" t="s">
        <v>181</v>
      </c>
      <c r="D13" s="21" t="s">
        <v>183</v>
      </c>
      <c r="E13" s="21" t="s">
        <v>185</v>
      </c>
      <c r="F13" s="21"/>
      <c r="G13" s="27">
        <f>G14</f>
        <v>11449.460000000001</v>
      </c>
      <c r="H13" s="221"/>
    </row>
    <row r="14" spans="1:9" ht="31.5" x14ac:dyDescent="0.25">
      <c r="A14" s="26" t="s">
        <v>186</v>
      </c>
      <c r="B14" s="17">
        <v>901</v>
      </c>
      <c r="C14" s="21" t="s">
        <v>181</v>
      </c>
      <c r="D14" s="21" t="s">
        <v>183</v>
      </c>
      <c r="E14" s="21" t="s">
        <v>187</v>
      </c>
      <c r="F14" s="21"/>
      <c r="G14" s="27">
        <f>G15</f>
        <v>11449.460000000001</v>
      </c>
      <c r="H14" s="221"/>
    </row>
    <row r="15" spans="1:9" ht="47.25" x14ac:dyDescent="0.25">
      <c r="A15" s="26" t="s">
        <v>188</v>
      </c>
      <c r="B15" s="17">
        <v>901</v>
      </c>
      <c r="C15" s="21" t="s">
        <v>181</v>
      </c>
      <c r="D15" s="21" t="s">
        <v>183</v>
      </c>
      <c r="E15" s="21" t="s">
        <v>189</v>
      </c>
      <c r="F15" s="21"/>
      <c r="G15" s="27">
        <f>G16+G18+G20</f>
        <v>11449.460000000001</v>
      </c>
      <c r="H15" s="221"/>
    </row>
    <row r="16" spans="1:9" ht="94.5" x14ac:dyDescent="0.25">
      <c r="A16" s="26" t="s">
        <v>190</v>
      </c>
      <c r="B16" s="17">
        <v>901</v>
      </c>
      <c r="C16" s="21" t="s">
        <v>181</v>
      </c>
      <c r="D16" s="21" t="s">
        <v>183</v>
      </c>
      <c r="E16" s="21" t="s">
        <v>189</v>
      </c>
      <c r="F16" s="21" t="s">
        <v>191</v>
      </c>
      <c r="G16" s="27">
        <f>G17</f>
        <v>10223.6</v>
      </c>
      <c r="H16" s="221"/>
    </row>
    <row r="17" spans="1:8" ht="31.5" x14ac:dyDescent="0.25">
      <c r="A17" s="26" t="s">
        <v>192</v>
      </c>
      <c r="B17" s="17">
        <v>901</v>
      </c>
      <c r="C17" s="21" t="s">
        <v>181</v>
      </c>
      <c r="D17" s="21" t="s">
        <v>183</v>
      </c>
      <c r="E17" s="21" t="s">
        <v>189</v>
      </c>
      <c r="F17" s="21" t="s">
        <v>193</v>
      </c>
      <c r="G17" s="28">
        <f>12784.1-74.75-70.75-1400-1015</f>
        <v>10223.6</v>
      </c>
      <c r="H17" s="221" t="s">
        <v>1013</v>
      </c>
    </row>
    <row r="18" spans="1:8" ht="31.5" x14ac:dyDescent="0.25">
      <c r="A18" s="26" t="s">
        <v>194</v>
      </c>
      <c r="B18" s="17">
        <v>901</v>
      </c>
      <c r="C18" s="21" t="s">
        <v>181</v>
      </c>
      <c r="D18" s="21" t="s">
        <v>183</v>
      </c>
      <c r="E18" s="21" t="s">
        <v>189</v>
      </c>
      <c r="F18" s="21" t="s">
        <v>195</v>
      </c>
      <c r="G18" s="27">
        <f>G19</f>
        <v>1186.8599999999999</v>
      </c>
      <c r="H18" s="221"/>
    </row>
    <row r="19" spans="1:8" ht="47.25" x14ac:dyDescent="0.25">
      <c r="A19" s="26" t="s">
        <v>196</v>
      </c>
      <c r="B19" s="17">
        <v>901</v>
      </c>
      <c r="C19" s="21" t="s">
        <v>181</v>
      </c>
      <c r="D19" s="21" t="s">
        <v>183</v>
      </c>
      <c r="E19" s="21" t="s">
        <v>189</v>
      </c>
      <c r="F19" s="21" t="s">
        <v>197</v>
      </c>
      <c r="G19" s="28">
        <f>1302.36+63.75+70.75-100-150</f>
        <v>1186.8599999999999</v>
      </c>
      <c r="H19" s="221" t="s">
        <v>1014</v>
      </c>
    </row>
    <row r="20" spans="1:8" ht="15.75" x14ac:dyDescent="0.25">
      <c r="A20" s="26" t="s">
        <v>198</v>
      </c>
      <c r="B20" s="17">
        <v>901</v>
      </c>
      <c r="C20" s="21" t="s">
        <v>181</v>
      </c>
      <c r="D20" s="21" t="s">
        <v>183</v>
      </c>
      <c r="E20" s="21" t="s">
        <v>189</v>
      </c>
      <c r="F20" s="21" t="s">
        <v>199</v>
      </c>
      <c r="G20" s="27">
        <f>G21</f>
        <v>39</v>
      </c>
      <c r="H20" s="221"/>
    </row>
    <row r="21" spans="1:8" ht="15.75" x14ac:dyDescent="0.25">
      <c r="A21" s="26" t="s">
        <v>633</v>
      </c>
      <c r="B21" s="17">
        <v>901</v>
      </c>
      <c r="C21" s="21" t="s">
        <v>181</v>
      </c>
      <c r="D21" s="21" t="s">
        <v>183</v>
      </c>
      <c r="E21" s="21" t="s">
        <v>189</v>
      </c>
      <c r="F21" s="21" t="s">
        <v>201</v>
      </c>
      <c r="G21" s="27">
        <f>28+11</f>
        <v>39</v>
      </c>
      <c r="H21" s="221"/>
    </row>
    <row r="22" spans="1:8" ht="31.5" customHeight="1" x14ac:dyDescent="0.25">
      <c r="A22" s="24" t="s">
        <v>202</v>
      </c>
      <c r="B22" s="20">
        <v>901</v>
      </c>
      <c r="C22" s="25" t="s">
        <v>181</v>
      </c>
      <c r="D22" s="25" t="s">
        <v>203</v>
      </c>
      <c r="E22" s="25"/>
      <c r="F22" s="25"/>
      <c r="G22" s="22">
        <f>G23</f>
        <v>50</v>
      </c>
      <c r="H22" s="221"/>
    </row>
    <row r="23" spans="1:8" ht="15.75" x14ac:dyDescent="0.25">
      <c r="A23" s="26" t="s">
        <v>204</v>
      </c>
      <c r="B23" s="17">
        <v>901</v>
      </c>
      <c r="C23" s="21" t="s">
        <v>181</v>
      </c>
      <c r="D23" s="21" t="s">
        <v>203</v>
      </c>
      <c r="E23" s="21" t="s">
        <v>205</v>
      </c>
      <c r="F23" s="21"/>
      <c r="G23" s="27">
        <f>G24</f>
        <v>50</v>
      </c>
      <c r="H23" s="221"/>
    </row>
    <row r="24" spans="1:8" ht="15.75" x14ac:dyDescent="0.25">
      <c r="A24" s="26" t="s">
        <v>206</v>
      </c>
      <c r="B24" s="17">
        <v>901</v>
      </c>
      <c r="C24" s="21" t="s">
        <v>181</v>
      </c>
      <c r="D24" s="21" t="s">
        <v>203</v>
      </c>
      <c r="E24" s="21" t="s">
        <v>207</v>
      </c>
      <c r="F24" s="21"/>
      <c r="G24" s="27">
        <f>G25</f>
        <v>50</v>
      </c>
      <c r="H24" s="221"/>
    </row>
    <row r="25" spans="1:8" ht="15.75" x14ac:dyDescent="0.25">
      <c r="A25" s="26" t="s">
        <v>198</v>
      </c>
      <c r="B25" s="17">
        <v>901</v>
      </c>
      <c r="C25" s="21" t="s">
        <v>181</v>
      </c>
      <c r="D25" s="21" t="s">
        <v>203</v>
      </c>
      <c r="E25" s="21" t="s">
        <v>207</v>
      </c>
      <c r="F25" s="21" t="s">
        <v>208</v>
      </c>
      <c r="G25" s="27">
        <f>G26</f>
        <v>50</v>
      </c>
      <c r="H25" s="221"/>
    </row>
    <row r="26" spans="1:8" ht="15.75" x14ac:dyDescent="0.25">
      <c r="A26" s="26" t="s">
        <v>209</v>
      </c>
      <c r="B26" s="17">
        <v>901</v>
      </c>
      <c r="C26" s="21" t="s">
        <v>181</v>
      </c>
      <c r="D26" s="21" t="s">
        <v>203</v>
      </c>
      <c r="E26" s="21" t="s">
        <v>207</v>
      </c>
      <c r="F26" s="21" t="s">
        <v>210</v>
      </c>
      <c r="G26" s="27">
        <v>50</v>
      </c>
      <c r="H26" s="221"/>
    </row>
    <row r="27" spans="1:8" ht="31.5" x14ac:dyDescent="0.25">
      <c r="A27" s="20" t="s">
        <v>211</v>
      </c>
      <c r="B27" s="20">
        <v>902</v>
      </c>
      <c r="C27" s="21"/>
      <c r="D27" s="21"/>
      <c r="E27" s="21"/>
      <c r="F27" s="21"/>
      <c r="G27" s="22">
        <f>G28+G161+G179+G197</f>
        <v>87279.799999999988</v>
      </c>
      <c r="H27" s="221"/>
    </row>
    <row r="28" spans="1:8" ht="15.75" x14ac:dyDescent="0.25">
      <c r="A28" s="24" t="s">
        <v>180</v>
      </c>
      <c r="B28" s="20">
        <v>902</v>
      </c>
      <c r="C28" s="25" t="s">
        <v>181</v>
      </c>
      <c r="D28" s="21"/>
      <c r="E28" s="21"/>
      <c r="F28" s="21"/>
      <c r="G28" s="22">
        <f>G29+G48+G56</f>
        <v>67599.299999999988</v>
      </c>
      <c r="H28" s="221"/>
    </row>
    <row r="29" spans="1:8" ht="78.75" x14ac:dyDescent="0.25">
      <c r="A29" s="24" t="s">
        <v>212</v>
      </c>
      <c r="B29" s="20">
        <v>902</v>
      </c>
      <c r="C29" s="25" t="s">
        <v>181</v>
      </c>
      <c r="D29" s="25" t="s">
        <v>213</v>
      </c>
      <c r="E29" s="25"/>
      <c r="F29" s="25"/>
      <c r="G29" s="22">
        <f>G30</f>
        <v>50851.499999999993</v>
      </c>
      <c r="H29" s="221"/>
    </row>
    <row r="30" spans="1:8" ht="15.75" x14ac:dyDescent="0.25">
      <c r="A30" s="26" t="s">
        <v>184</v>
      </c>
      <c r="B30" s="17">
        <v>902</v>
      </c>
      <c r="C30" s="21" t="s">
        <v>181</v>
      </c>
      <c r="D30" s="21" t="s">
        <v>213</v>
      </c>
      <c r="E30" s="21" t="s">
        <v>185</v>
      </c>
      <c r="F30" s="21"/>
      <c r="G30" s="28">
        <f>G31+G42</f>
        <v>50851.499999999993</v>
      </c>
      <c r="H30" s="221"/>
    </row>
    <row r="31" spans="1:8" ht="31.5" x14ac:dyDescent="0.25">
      <c r="A31" s="26" t="s">
        <v>186</v>
      </c>
      <c r="B31" s="17">
        <v>902</v>
      </c>
      <c r="C31" s="21" t="s">
        <v>181</v>
      </c>
      <c r="D31" s="21" t="s">
        <v>213</v>
      </c>
      <c r="E31" s="21" t="s">
        <v>187</v>
      </c>
      <c r="F31" s="21"/>
      <c r="G31" s="28">
        <f>G32+G39</f>
        <v>42716.399999999994</v>
      </c>
      <c r="H31" s="221"/>
    </row>
    <row r="32" spans="1:8" ht="47.25" x14ac:dyDescent="0.25">
      <c r="A32" s="26" t="s">
        <v>188</v>
      </c>
      <c r="B32" s="17">
        <v>902</v>
      </c>
      <c r="C32" s="21" t="s">
        <v>181</v>
      </c>
      <c r="D32" s="21" t="s">
        <v>213</v>
      </c>
      <c r="E32" s="21" t="s">
        <v>189</v>
      </c>
      <c r="F32" s="21"/>
      <c r="G32" s="27">
        <f>G33+G35+G37</f>
        <v>38430.299999999996</v>
      </c>
      <c r="H32" s="221"/>
    </row>
    <row r="33" spans="1:12" ht="94.5" x14ac:dyDescent="0.25">
      <c r="A33" s="26" t="s">
        <v>190</v>
      </c>
      <c r="B33" s="17">
        <v>902</v>
      </c>
      <c r="C33" s="21" t="s">
        <v>181</v>
      </c>
      <c r="D33" s="21" t="s">
        <v>213</v>
      </c>
      <c r="E33" s="21" t="s">
        <v>189</v>
      </c>
      <c r="F33" s="21" t="s">
        <v>191</v>
      </c>
      <c r="G33" s="27">
        <f>G34</f>
        <v>32986.699999999997</v>
      </c>
      <c r="H33" s="221"/>
    </row>
    <row r="34" spans="1:12" ht="31.5" x14ac:dyDescent="0.25">
      <c r="A34" s="26" t="s">
        <v>192</v>
      </c>
      <c r="B34" s="17">
        <v>902</v>
      </c>
      <c r="C34" s="21" t="s">
        <v>181</v>
      </c>
      <c r="D34" s="21" t="s">
        <v>213</v>
      </c>
      <c r="E34" s="21" t="s">
        <v>189</v>
      </c>
      <c r="F34" s="21" t="s">
        <v>193</v>
      </c>
      <c r="G34" s="28">
        <f>36517.7-553.5-1733.7-60-148.3-201.5-834</f>
        <v>32986.699999999997</v>
      </c>
      <c r="H34" s="193"/>
      <c r="J34" s="132"/>
      <c r="K34" s="232"/>
      <c r="L34" s="240"/>
    </row>
    <row r="35" spans="1:12" ht="31.5" x14ac:dyDescent="0.25">
      <c r="A35" s="26" t="s">
        <v>194</v>
      </c>
      <c r="B35" s="17">
        <v>902</v>
      </c>
      <c r="C35" s="21" t="s">
        <v>181</v>
      </c>
      <c r="D35" s="21" t="s">
        <v>213</v>
      </c>
      <c r="E35" s="21" t="s">
        <v>189</v>
      </c>
      <c r="F35" s="21" t="s">
        <v>195</v>
      </c>
      <c r="G35" s="27">
        <f>G36</f>
        <v>5174.5999999999995</v>
      </c>
      <c r="H35" s="221"/>
    </row>
    <row r="36" spans="1:12" ht="47.25" x14ac:dyDescent="0.25">
      <c r="A36" s="26" t="s">
        <v>196</v>
      </c>
      <c r="B36" s="17">
        <v>902</v>
      </c>
      <c r="C36" s="21" t="s">
        <v>181</v>
      </c>
      <c r="D36" s="21" t="s">
        <v>213</v>
      </c>
      <c r="E36" s="21" t="s">
        <v>189</v>
      </c>
      <c r="F36" s="21" t="s">
        <v>197</v>
      </c>
      <c r="G36" s="28">
        <f>3962.7+1800-140.3-30-393.5+190-214.3</f>
        <v>5174.5999999999995</v>
      </c>
      <c r="H36" s="132"/>
      <c r="I36" s="153"/>
      <c r="J36" s="240"/>
      <c r="K36" s="240"/>
      <c r="L36" s="240"/>
    </row>
    <row r="37" spans="1:12" ht="15.75" x14ac:dyDescent="0.25">
      <c r="A37" s="26" t="s">
        <v>198</v>
      </c>
      <c r="B37" s="17">
        <v>902</v>
      </c>
      <c r="C37" s="21" t="s">
        <v>181</v>
      </c>
      <c r="D37" s="21" t="s">
        <v>213</v>
      </c>
      <c r="E37" s="21" t="s">
        <v>189</v>
      </c>
      <c r="F37" s="21" t="s">
        <v>208</v>
      </c>
      <c r="G37" s="27">
        <f>G38</f>
        <v>269</v>
      </c>
      <c r="H37" s="221"/>
    </row>
    <row r="38" spans="1:12" ht="15.75" x14ac:dyDescent="0.25">
      <c r="A38" s="26" t="s">
        <v>633</v>
      </c>
      <c r="B38" s="17">
        <v>902</v>
      </c>
      <c r="C38" s="21" t="s">
        <v>181</v>
      </c>
      <c r="D38" s="21" t="s">
        <v>213</v>
      </c>
      <c r="E38" s="21" t="s">
        <v>189</v>
      </c>
      <c r="F38" s="21" t="s">
        <v>201</v>
      </c>
      <c r="G38" s="28">
        <f>90.7+30+148.3</f>
        <v>269</v>
      </c>
      <c r="H38" s="132"/>
      <c r="I38" s="152"/>
    </row>
    <row r="39" spans="1:12" ht="31.5" x14ac:dyDescent="0.25">
      <c r="A39" s="26" t="s">
        <v>214</v>
      </c>
      <c r="B39" s="17">
        <v>902</v>
      </c>
      <c r="C39" s="21" t="s">
        <v>181</v>
      </c>
      <c r="D39" s="21" t="s">
        <v>213</v>
      </c>
      <c r="E39" s="21" t="s">
        <v>215</v>
      </c>
      <c r="F39" s="21"/>
      <c r="G39" s="27">
        <f t="shared" ref="G39" si="0">G40</f>
        <v>4286.1000000000004</v>
      </c>
      <c r="H39" s="221"/>
    </row>
    <row r="40" spans="1:12" ht="94.5" x14ac:dyDescent="0.25">
      <c r="A40" s="26" t="s">
        <v>190</v>
      </c>
      <c r="B40" s="17">
        <v>902</v>
      </c>
      <c r="C40" s="21" t="s">
        <v>181</v>
      </c>
      <c r="D40" s="21" t="s">
        <v>213</v>
      </c>
      <c r="E40" s="21" t="s">
        <v>215</v>
      </c>
      <c r="F40" s="21" t="s">
        <v>191</v>
      </c>
      <c r="G40" s="27">
        <f>G41</f>
        <v>4286.1000000000004</v>
      </c>
      <c r="H40" s="221"/>
    </row>
    <row r="41" spans="1:12" ht="31.5" x14ac:dyDescent="0.25">
      <c r="A41" s="26" t="s">
        <v>192</v>
      </c>
      <c r="B41" s="17">
        <v>902</v>
      </c>
      <c r="C41" s="21" t="s">
        <v>181</v>
      </c>
      <c r="D41" s="21" t="s">
        <v>213</v>
      </c>
      <c r="E41" s="21" t="s">
        <v>215</v>
      </c>
      <c r="F41" s="21" t="s">
        <v>193</v>
      </c>
      <c r="G41" s="28">
        <f>3545.6+648.9+79.5+12.1</f>
        <v>4286.1000000000004</v>
      </c>
      <c r="H41" s="221" t="s">
        <v>988</v>
      </c>
    </row>
    <row r="42" spans="1:12" ht="15.75" x14ac:dyDescent="0.25">
      <c r="A42" s="26" t="s">
        <v>204</v>
      </c>
      <c r="B42" s="17">
        <v>902</v>
      </c>
      <c r="C42" s="21" t="s">
        <v>181</v>
      </c>
      <c r="D42" s="21" t="s">
        <v>213</v>
      </c>
      <c r="E42" s="21" t="s">
        <v>205</v>
      </c>
      <c r="F42" s="21"/>
      <c r="G42" s="30">
        <f>G43</f>
        <v>8135.0999999999995</v>
      </c>
      <c r="H42" s="221"/>
    </row>
    <row r="43" spans="1:12" ht="31.5" x14ac:dyDescent="0.25">
      <c r="A43" s="26" t="s">
        <v>216</v>
      </c>
      <c r="B43" s="17">
        <v>902</v>
      </c>
      <c r="C43" s="21" t="s">
        <v>181</v>
      </c>
      <c r="D43" s="21" t="s">
        <v>213</v>
      </c>
      <c r="E43" s="21" t="s">
        <v>217</v>
      </c>
      <c r="F43" s="21"/>
      <c r="G43" s="27">
        <f>G44+G46</f>
        <v>8135.0999999999995</v>
      </c>
      <c r="H43" s="221"/>
    </row>
    <row r="44" spans="1:12" ht="94.5" x14ac:dyDescent="0.25">
      <c r="A44" s="26" t="s">
        <v>190</v>
      </c>
      <c r="B44" s="17">
        <v>902</v>
      </c>
      <c r="C44" s="21" t="s">
        <v>181</v>
      </c>
      <c r="D44" s="21" t="s">
        <v>213</v>
      </c>
      <c r="E44" s="21" t="s">
        <v>217</v>
      </c>
      <c r="F44" s="21" t="s">
        <v>191</v>
      </c>
      <c r="G44" s="27">
        <f>G45</f>
        <v>5718.5999999999995</v>
      </c>
      <c r="H44" s="221"/>
    </row>
    <row r="45" spans="1:12" ht="31.5" x14ac:dyDescent="0.25">
      <c r="A45" s="26" t="s">
        <v>192</v>
      </c>
      <c r="B45" s="17">
        <v>902</v>
      </c>
      <c r="C45" s="21" t="s">
        <v>181</v>
      </c>
      <c r="D45" s="21" t="s">
        <v>213</v>
      </c>
      <c r="E45" s="21" t="s">
        <v>217</v>
      </c>
      <c r="F45" s="21" t="s">
        <v>193</v>
      </c>
      <c r="G45" s="28">
        <f>6958.6+88.4-2398.3+1112.5+60-4-98.6</f>
        <v>5718.5999999999995</v>
      </c>
      <c r="H45" s="132"/>
      <c r="I45" s="152"/>
      <c r="J45" s="214"/>
    </row>
    <row r="46" spans="1:12" ht="31.5" x14ac:dyDescent="0.25">
      <c r="A46" s="26" t="s">
        <v>194</v>
      </c>
      <c r="B46" s="17">
        <v>902</v>
      </c>
      <c r="C46" s="21" t="s">
        <v>181</v>
      </c>
      <c r="D46" s="21" t="s">
        <v>213</v>
      </c>
      <c r="E46" s="21" t="s">
        <v>217</v>
      </c>
      <c r="F46" s="21" t="s">
        <v>195</v>
      </c>
      <c r="G46" s="27">
        <f>G47</f>
        <v>2416.5</v>
      </c>
      <c r="H46" s="221"/>
    </row>
    <row r="47" spans="1:12" ht="47.25" x14ac:dyDescent="0.25">
      <c r="A47" s="26" t="s">
        <v>196</v>
      </c>
      <c r="B47" s="17">
        <v>902</v>
      </c>
      <c r="C47" s="21" t="s">
        <v>181</v>
      </c>
      <c r="D47" s="21" t="s">
        <v>213</v>
      </c>
      <c r="E47" s="21" t="s">
        <v>217</v>
      </c>
      <c r="F47" s="21" t="s">
        <v>197</v>
      </c>
      <c r="G47" s="28">
        <f>2109.3+129.9+835.5-1438.1+621.2+4-43.4+198.1</f>
        <v>2416.5</v>
      </c>
      <c r="H47" s="132"/>
      <c r="I47" s="153"/>
      <c r="J47" s="134"/>
      <c r="K47" s="232"/>
      <c r="L47" s="232"/>
    </row>
    <row r="48" spans="1:12" ht="63" x14ac:dyDescent="0.25">
      <c r="A48" s="24" t="s">
        <v>182</v>
      </c>
      <c r="B48" s="20">
        <v>902</v>
      </c>
      <c r="C48" s="25" t="s">
        <v>181</v>
      </c>
      <c r="D48" s="25" t="s">
        <v>183</v>
      </c>
      <c r="E48" s="25"/>
      <c r="F48" s="21"/>
      <c r="G48" s="22">
        <f>G49</f>
        <v>1193</v>
      </c>
      <c r="H48" s="221"/>
    </row>
    <row r="49" spans="1:11" ht="21" customHeight="1" x14ac:dyDescent="0.25">
      <c r="A49" s="26" t="s">
        <v>184</v>
      </c>
      <c r="B49" s="17">
        <v>902</v>
      </c>
      <c r="C49" s="21" t="s">
        <v>181</v>
      </c>
      <c r="D49" s="21" t="s">
        <v>183</v>
      </c>
      <c r="E49" s="21" t="s">
        <v>185</v>
      </c>
      <c r="F49" s="21"/>
      <c r="G49" s="27">
        <f t="shared" ref="G49" si="1">G50</f>
        <v>1193</v>
      </c>
      <c r="H49" s="221"/>
    </row>
    <row r="50" spans="1:11" ht="31.5" x14ac:dyDescent="0.25">
      <c r="A50" s="26" t="s">
        <v>186</v>
      </c>
      <c r="B50" s="17">
        <v>902</v>
      </c>
      <c r="C50" s="21" t="s">
        <v>181</v>
      </c>
      <c r="D50" s="21" t="s">
        <v>183</v>
      </c>
      <c r="E50" s="21" t="s">
        <v>187</v>
      </c>
      <c r="F50" s="21"/>
      <c r="G50" s="27">
        <f>G51</f>
        <v>1193</v>
      </c>
      <c r="H50" s="221"/>
      <c r="K50" s="27"/>
    </row>
    <row r="51" spans="1:11" ht="47.25" x14ac:dyDescent="0.25">
      <c r="A51" s="26" t="s">
        <v>188</v>
      </c>
      <c r="B51" s="17">
        <v>902</v>
      </c>
      <c r="C51" s="21" t="s">
        <v>181</v>
      </c>
      <c r="D51" s="21" t="s">
        <v>183</v>
      </c>
      <c r="E51" s="21" t="s">
        <v>189</v>
      </c>
      <c r="F51" s="21"/>
      <c r="G51" s="27">
        <f>G52+G54</f>
        <v>1193</v>
      </c>
      <c r="H51" s="221"/>
      <c r="K51" s="27"/>
    </row>
    <row r="52" spans="1:11" ht="94.5" x14ac:dyDescent="0.25">
      <c r="A52" s="26" t="s">
        <v>190</v>
      </c>
      <c r="B52" s="17">
        <v>902</v>
      </c>
      <c r="C52" s="21" t="s">
        <v>181</v>
      </c>
      <c r="D52" s="21" t="s">
        <v>183</v>
      </c>
      <c r="E52" s="21" t="s">
        <v>189</v>
      </c>
      <c r="F52" s="21" t="s">
        <v>191</v>
      </c>
      <c r="G52" s="27">
        <f>G53</f>
        <v>1193</v>
      </c>
      <c r="H52" s="221"/>
      <c r="K52" s="28"/>
    </row>
    <row r="53" spans="1:11" ht="31.5" x14ac:dyDescent="0.25">
      <c r="A53" s="26" t="s">
        <v>192</v>
      </c>
      <c r="B53" s="17">
        <v>902</v>
      </c>
      <c r="C53" s="21" t="s">
        <v>181</v>
      </c>
      <c r="D53" s="21" t="s">
        <v>183</v>
      </c>
      <c r="E53" s="21" t="s">
        <v>189</v>
      </c>
      <c r="F53" s="21" t="s">
        <v>193</v>
      </c>
      <c r="G53" s="28">
        <f>1081.7+61.1+43.5+6.7</f>
        <v>1193</v>
      </c>
      <c r="H53" s="221" t="s">
        <v>989</v>
      </c>
      <c r="I53" s="141"/>
      <c r="K53" s="27"/>
    </row>
    <row r="54" spans="1:11" ht="31.5" hidden="1" x14ac:dyDescent="0.25">
      <c r="A54" s="26" t="s">
        <v>194</v>
      </c>
      <c r="B54" s="17">
        <v>902</v>
      </c>
      <c r="C54" s="21" t="s">
        <v>181</v>
      </c>
      <c r="D54" s="21" t="s">
        <v>183</v>
      </c>
      <c r="E54" s="21" t="s">
        <v>189</v>
      </c>
      <c r="F54" s="21" t="s">
        <v>195</v>
      </c>
      <c r="G54" s="28">
        <f>G55</f>
        <v>0</v>
      </c>
      <c r="H54" s="221"/>
      <c r="K54" s="27"/>
    </row>
    <row r="55" spans="1:11" ht="47.25" hidden="1" x14ac:dyDescent="0.25">
      <c r="A55" s="26" t="s">
        <v>196</v>
      </c>
      <c r="B55" s="17">
        <v>902</v>
      </c>
      <c r="C55" s="21" t="s">
        <v>181</v>
      </c>
      <c r="D55" s="21" t="s">
        <v>183</v>
      </c>
      <c r="E55" s="21" t="s">
        <v>189</v>
      </c>
      <c r="F55" s="21" t="s">
        <v>197</v>
      </c>
      <c r="G55" s="28"/>
      <c r="H55" s="221"/>
      <c r="I55" s="141"/>
      <c r="K55" s="27"/>
    </row>
    <row r="56" spans="1:11" ht="15.75" x14ac:dyDescent="0.25">
      <c r="A56" s="24" t="s">
        <v>202</v>
      </c>
      <c r="B56" s="20">
        <v>902</v>
      </c>
      <c r="C56" s="25" t="s">
        <v>181</v>
      </c>
      <c r="D56" s="25" t="s">
        <v>203</v>
      </c>
      <c r="E56" s="25"/>
      <c r="F56" s="25"/>
      <c r="G56" s="22">
        <f>G57+G61+G73+G86+G97+G90</f>
        <v>15554.8</v>
      </c>
      <c r="H56" s="221"/>
      <c r="I56" s="140"/>
      <c r="K56" s="27"/>
    </row>
    <row r="57" spans="1:11" ht="63" x14ac:dyDescent="0.25">
      <c r="A57" s="26" t="s">
        <v>218</v>
      </c>
      <c r="B57" s="17">
        <v>902</v>
      </c>
      <c r="C57" s="21" t="s">
        <v>181</v>
      </c>
      <c r="D57" s="21" t="s">
        <v>203</v>
      </c>
      <c r="E57" s="21" t="s">
        <v>219</v>
      </c>
      <c r="F57" s="21"/>
      <c r="G57" s="27">
        <f>G58</f>
        <v>250</v>
      </c>
      <c r="H57" s="221"/>
    </row>
    <row r="58" spans="1:11" ht="31.5" x14ac:dyDescent="0.25">
      <c r="A58" s="26" t="s">
        <v>220</v>
      </c>
      <c r="B58" s="17">
        <v>902</v>
      </c>
      <c r="C58" s="21" t="s">
        <v>181</v>
      </c>
      <c r="D58" s="21" t="s">
        <v>203</v>
      </c>
      <c r="E58" s="21" t="s">
        <v>221</v>
      </c>
      <c r="F58" s="21"/>
      <c r="G58" s="27">
        <f>G59</f>
        <v>250</v>
      </c>
      <c r="H58" s="221"/>
    </row>
    <row r="59" spans="1:11" ht="15.75" x14ac:dyDescent="0.25">
      <c r="A59" s="26" t="s">
        <v>198</v>
      </c>
      <c r="B59" s="17">
        <v>902</v>
      </c>
      <c r="C59" s="21" t="s">
        <v>181</v>
      </c>
      <c r="D59" s="21" t="s">
        <v>203</v>
      </c>
      <c r="E59" s="21" t="s">
        <v>221</v>
      </c>
      <c r="F59" s="21" t="s">
        <v>208</v>
      </c>
      <c r="G59" s="27">
        <f>G60</f>
        <v>250</v>
      </c>
      <c r="H59" s="221"/>
    </row>
    <row r="60" spans="1:11" ht="78.75" x14ac:dyDescent="0.25">
      <c r="A60" s="26" t="s">
        <v>222</v>
      </c>
      <c r="B60" s="17">
        <v>902</v>
      </c>
      <c r="C60" s="21" t="s">
        <v>181</v>
      </c>
      <c r="D60" s="21" t="s">
        <v>203</v>
      </c>
      <c r="E60" s="21" t="s">
        <v>221</v>
      </c>
      <c r="F60" s="21" t="s">
        <v>223</v>
      </c>
      <c r="G60" s="27">
        <f>100+150</f>
        <v>250</v>
      </c>
      <c r="H60" s="221"/>
      <c r="I60" s="141"/>
    </row>
    <row r="61" spans="1:11" ht="47.25" x14ac:dyDescent="0.25">
      <c r="A61" s="26" t="s">
        <v>224</v>
      </c>
      <c r="B61" s="17">
        <v>902</v>
      </c>
      <c r="C61" s="21" t="s">
        <v>181</v>
      </c>
      <c r="D61" s="21" t="s">
        <v>203</v>
      </c>
      <c r="E61" s="21" t="s">
        <v>225</v>
      </c>
      <c r="F61" s="21"/>
      <c r="G61" s="27">
        <f>G62+G65+G70</f>
        <v>653.5</v>
      </c>
      <c r="H61" s="221"/>
    </row>
    <row r="62" spans="1:11" ht="31.5" x14ac:dyDescent="0.25">
      <c r="A62" s="31" t="s">
        <v>226</v>
      </c>
      <c r="B62" s="17">
        <v>902</v>
      </c>
      <c r="C62" s="21" t="s">
        <v>181</v>
      </c>
      <c r="D62" s="21" t="s">
        <v>203</v>
      </c>
      <c r="E62" s="42" t="s">
        <v>227</v>
      </c>
      <c r="F62" s="21"/>
      <c r="G62" s="27">
        <f>G63</f>
        <v>428.1</v>
      </c>
      <c r="H62" s="221"/>
    </row>
    <row r="63" spans="1:11" ht="31.5" x14ac:dyDescent="0.25">
      <c r="A63" s="26" t="s">
        <v>194</v>
      </c>
      <c r="B63" s="17">
        <v>902</v>
      </c>
      <c r="C63" s="21" t="s">
        <v>181</v>
      </c>
      <c r="D63" s="21" t="s">
        <v>203</v>
      </c>
      <c r="E63" s="42" t="s">
        <v>227</v>
      </c>
      <c r="F63" s="21" t="s">
        <v>195</v>
      </c>
      <c r="G63" s="27">
        <f>G64</f>
        <v>428.1</v>
      </c>
      <c r="H63" s="221"/>
    </row>
    <row r="64" spans="1:11" ht="47.25" x14ac:dyDescent="0.25">
      <c r="A64" s="26" t="s">
        <v>196</v>
      </c>
      <c r="B64" s="17">
        <v>902</v>
      </c>
      <c r="C64" s="21" t="s">
        <v>181</v>
      </c>
      <c r="D64" s="21" t="s">
        <v>203</v>
      </c>
      <c r="E64" s="42" t="s">
        <v>227</v>
      </c>
      <c r="F64" s="21" t="s">
        <v>197</v>
      </c>
      <c r="G64" s="27">
        <f>494.3-66.2</f>
        <v>428.1</v>
      </c>
      <c r="H64" s="221"/>
    </row>
    <row r="65" spans="1:8" ht="63" x14ac:dyDescent="0.25">
      <c r="A65" s="222" t="s">
        <v>228</v>
      </c>
      <c r="B65" s="17">
        <v>902</v>
      </c>
      <c r="C65" s="21" t="s">
        <v>181</v>
      </c>
      <c r="D65" s="21" t="s">
        <v>203</v>
      </c>
      <c r="E65" s="42" t="s">
        <v>229</v>
      </c>
      <c r="F65" s="21"/>
      <c r="G65" s="27">
        <f>G66+G68</f>
        <v>224.89999999999998</v>
      </c>
      <c r="H65" s="221"/>
    </row>
    <row r="66" spans="1:8" ht="94.5" x14ac:dyDescent="0.25">
      <c r="A66" s="26" t="s">
        <v>190</v>
      </c>
      <c r="B66" s="17">
        <v>902</v>
      </c>
      <c r="C66" s="21" t="s">
        <v>181</v>
      </c>
      <c r="D66" s="21" t="s">
        <v>203</v>
      </c>
      <c r="E66" s="42" t="s">
        <v>229</v>
      </c>
      <c r="F66" s="21" t="s">
        <v>191</v>
      </c>
      <c r="G66" s="27">
        <f>G67</f>
        <v>159.69999999999999</v>
      </c>
      <c r="H66" s="221"/>
    </row>
    <row r="67" spans="1:8" ht="31.5" x14ac:dyDescent="0.25">
      <c r="A67" s="26" t="s">
        <v>192</v>
      </c>
      <c r="B67" s="17">
        <v>902</v>
      </c>
      <c r="C67" s="21" t="s">
        <v>181</v>
      </c>
      <c r="D67" s="21" t="s">
        <v>203</v>
      </c>
      <c r="E67" s="42" t="s">
        <v>229</v>
      </c>
      <c r="F67" s="21" t="s">
        <v>193</v>
      </c>
      <c r="G67" s="27">
        <v>159.69999999999999</v>
      </c>
      <c r="H67" s="221"/>
    </row>
    <row r="68" spans="1:8" ht="31.5" x14ac:dyDescent="0.25">
      <c r="A68" s="26" t="s">
        <v>194</v>
      </c>
      <c r="B68" s="17">
        <v>902</v>
      </c>
      <c r="C68" s="21" t="s">
        <v>181</v>
      </c>
      <c r="D68" s="21" t="s">
        <v>203</v>
      </c>
      <c r="E68" s="42" t="s">
        <v>229</v>
      </c>
      <c r="F68" s="21" t="s">
        <v>195</v>
      </c>
      <c r="G68" s="27">
        <f>G69</f>
        <v>65.2</v>
      </c>
      <c r="H68" s="221"/>
    </row>
    <row r="69" spans="1:8" ht="47.25" x14ac:dyDescent="0.25">
      <c r="A69" s="26" t="s">
        <v>196</v>
      </c>
      <c r="B69" s="17">
        <v>902</v>
      </c>
      <c r="C69" s="21" t="s">
        <v>181</v>
      </c>
      <c r="D69" s="21" t="s">
        <v>203</v>
      </c>
      <c r="E69" s="42" t="s">
        <v>229</v>
      </c>
      <c r="F69" s="21" t="s">
        <v>197</v>
      </c>
      <c r="G69" s="27">
        <f>66.2-0.5-0.5</f>
        <v>65.2</v>
      </c>
      <c r="H69" s="132"/>
    </row>
    <row r="70" spans="1:8" ht="47.25" x14ac:dyDescent="0.25">
      <c r="A70" s="35" t="s">
        <v>254</v>
      </c>
      <c r="B70" s="17">
        <v>902</v>
      </c>
      <c r="C70" s="21" t="s">
        <v>181</v>
      </c>
      <c r="D70" s="21" t="s">
        <v>203</v>
      </c>
      <c r="E70" s="42" t="s">
        <v>789</v>
      </c>
      <c r="F70" s="21"/>
      <c r="G70" s="27">
        <f>G71</f>
        <v>0.5</v>
      </c>
      <c r="H70" s="134"/>
    </row>
    <row r="71" spans="1:8" ht="31.5" x14ac:dyDescent="0.25">
      <c r="A71" s="26" t="s">
        <v>194</v>
      </c>
      <c r="B71" s="17">
        <v>902</v>
      </c>
      <c r="C71" s="21" t="s">
        <v>181</v>
      </c>
      <c r="D71" s="21" t="s">
        <v>203</v>
      </c>
      <c r="E71" s="42" t="s">
        <v>789</v>
      </c>
      <c r="F71" s="21" t="s">
        <v>195</v>
      </c>
      <c r="G71" s="27">
        <f>G72</f>
        <v>0.5</v>
      </c>
      <c r="H71" s="221"/>
    </row>
    <row r="72" spans="1:8" ht="47.25" x14ac:dyDescent="0.25">
      <c r="A72" s="26" t="s">
        <v>196</v>
      </c>
      <c r="B72" s="17">
        <v>902</v>
      </c>
      <c r="C72" s="21" t="s">
        <v>181</v>
      </c>
      <c r="D72" s="21" t="s">
        <v>203</v>
      </c>
      <c r="E72" s="42" t="s">
        <v>789</v>
      </c>
      <c r="F72" s="21" t="s">
        <v>197</v>
      </c>
      <c r="G72" s="27">
        <v>0.5</v>
      </c>
      <c r="H72" s="132"/>
    </row>
    <row r="73" spans="1:8" ht="94.5" x14ac:dyDescent="0.25">
      <c r="A73" s="31" t="s">
        <v>230</v>
      </c>
      <c r="B73" s="17">
        <v>902</v>
      </c>
      <c r="C73" s="10" t="s">
        <v>181</v>
      </c>
      <c r="D73" s="10" t="s">
        <v>203</v>
      </c>
      <c r="E73" s="6" t="s">
        <v>231</v>
      </c>
      <c r="F73" s="10"/>
      <c r="G73" s="27">
        <f>G74+G78+G82</f>
        <v>80</v>
      </c>
      <c r="H73" s="221"/>
    </row>
    <row r="74" spans="1:8" ht="78.75" x14ac:dyDescent="0.25">
      <c r="A74" s="31" t="s">
        <v>232</v>
      </c>
      <c r="B74" s="17">
        <v>902</v>
      </c>
      <c r="C74" s="10" t="s">
        <v>181</v>
      </c>
      <c r="D74" s="10" t="s">
        <v>203</v>
      </c>
      <c r="E74" s="32" t="s">
        <v>233</v>
      </c>
      <c r="F74" s="10"/>
      <c r="G74" s="27">
        <f>G75</f>
        <v>15</v>
      </c>
      <c r="H74" s="221"/>
    </row>
    <row r="75" spans="1:8" ht="31.5" x14ac:dyDescent="0.25">
      <c r="A75" s="222" t="s">
        <v>234</v>
      </c>
      <c r="B75" s="17">
        <v>902</v>
      </c>
      <c r="C75" s="10" t="s">
        <v>181</v>
      </c>
      <c r="D75" s="10" t="s">
        <v>203</v>
      </c>
      <c r="E75" s="6" t="s">
        <v>235</v>
      </c>
      <c r="F75" s="10"/>
      <c r="G75" s="27">
        <f>G76</f>
        <v>15</v>
      </c>
      <c r="H75" s="221"/>
    </row>
    <row r="76" spans="1:8" ht="31.5" x14ac:dyDescent="0.25">
      <c r="A76" s="26" t="s">
        <v>194</v>
      </c>
      <c r="B76" s="17">
        <v>902</v>
      </c>
      <c r="C76" s="10" t="s">
        <v>181</v>
      </c>
      <c r="D76" s="10" t="s">
        <v>203</v>
      </c>
      <c r="E76" s="6" t="s">
        <v>235</v>
      </c>
      <c r="F76" s="10" t="s">
        <v>195</v>
      </c>
      <c r="G76" s="27">
        <f>G77</f>
        <v>15</v>
      </c>
      <c r="H76" s="221"/>
    </row>
    <row r="77" spans="1:8" ht="47.25" x14ac:dyDescent="0.25">
      <c r="A77" s="26" t="s">
        <v>196</v>
      </c>
      <c r="B77" s="17">
        <v>902</v>
      </c>
      <c r="C77" s="10" t="s">
        <v>181</v>
      </c>
      <c r="D77" s="10" t="s">
        <v>203</v>
      </c>
      <c r="E77" s="6" t="s">
        <v>235</v>
      </c>
      <c r="F77" s="10" t="s">
        <v>197</v>
      </c>
      <c r="G77" s="27">
        <v>15</v>
      </c>
      <c r="H77" s="221"/>
    </row>
    <row r="78" spans="1:8" ht="63" x14ac:dyDescent="0.25">
      <c r="A78" s="31" t="s">
        <v>236</v>
      </c>
      <c r="B78" s="17">
        <v>902</v>
      </c>
      <c r="C78" s="10" t="s">
        <v>181</v>
      </c>
      <c r="D78" s="10" t="s">
        <v>203</v>
      </c>
      <c r="E78" s="32" t="s">
        <v>237</v>
      </c>
      <c r="F78" s="10"/>
      <c r="G78" s="27">
        <f>G79</f>
        <v>50</v>
      </c>
      <c r="H78" s="221"/>
    </row>
    <row r="79" spans="1:8" ht="31.5" x14ac:dyDescent="0.25">
      <c r="A79" s="47" t="s">
        <v>238</v>
      </c>
      <c r="B79" s="17">
        <v>902</v>
      </c>
      <c r="C79" s="10" t="s">
        <v>181</v>
      </c>
      <c r="D79" s="10" t="s">
        <v>203</v>
      </c>
      <c r="E79" s="6" t="s">
        <v>239</v>
      </c>
      <c r="F79" s="10"/>
      <c r="G79" s="27">
        <f>G80</f>
        <v>50</v>
      </c>
      <c r="H79" s="221"/>
    </row>
    <row r="80" spans="1:8" ht="31.5" x14ac:dyDescent="0.25">
      <c r="A80" s="26" t="s">
        <v>194</v>
      </c>
      <c r="B80" s="17">
        <v>902</v>
      </c>
      <c r="C80" s="10" t="s">
        <v>181</v>
      </c>
      <c r="D80" s="10" t="s">
        <v>203</v>
      </c>
      <c r="E80" s="6" t="s">
        <v>239</v>
      </c>
      <c r="F80" s="10" t="s">
        <v>195</v>
      </c>
      <c r="G80" s="27">
        <f>G81</f>
        <v>50</v>
      </c>
      <c r="H80" s="221"/>
    </row>
    <row r="81" spans="1:9" ht="47.25" x14ac:dyDescent="0.25">
      <c r="A81" s="26" t="s">
        <v>196</v>
      </c>
      <c r="B81" s="17">
        <v>902</v>
      </c>
      <c r="C81" s="10" t="s">
        <v>181</v>
      </c>
      <c r="D81" s="10" t="s">
        <v>203</v>
      </c>
      <c r="E81" s="6" t="s">
        <v>239</v>
      </c>
      <c r="F81" s="10" t="s">
        <v>197</v>
      </c>
      <c r="G81" s="27">
        <v>50</v>
      </c>
      <c r="H81" s="221"/>
    </row>
    <row r="82" spans="1:9" ht="47.25" x14ac:dyDescent="0.25">
      <c r="A82" s="26" t="s">
        <v>240</v>
      </c>
      <c r="B82" s="17">
        <v>902</v>
      </c>
      <c r="C82" s="10" t="s">
        <v>181</v>
      </c>
      <c r="D82" s="10" t="s">
        <v>203</v>
      </c>
      <c r="E82" s="6" t="s">
        <v>241</v>
      </c>
      <c r="F82" s="10"/>
      <c r="G82" s="27">
        <f>G83</f>
        <v>15</v>
      </c>
      <c r="H82" s="221"/>
    </row>
    <row r="83" spans="1:9" ht="15.75" x14ac:dyDescent="0.25">
      <c r="A83" s="47" t="s">
        <v>242</v>
      </c>
      <c r="B83" s="17">
        <v>902</v>
      </c>
      <c r="C83" s="10" t="s">
        <v>181</v>
      </c>
      <c r="D83" s="10" t="s">
        <v>203</v>
      </c>
      <c r="E83" s="6" t="s">
        <v>243</v>
      </c>
      <c r="F83" s="10"/>
      <c r="G83" s="27">
        <f>G84</f>
        <v>15</v>
      </c>
      <c r="H83" s="221"/>
    </row>
    <row r="84" spans="1:9" ht="31.5" x14ac:dyDescent="0.25">
      <c r="A84" s="26" t="s">
        <v>194</v>
      </c>
      <c r="B84" s="17">
        <v>902</v>
      </c>
      <c r="C84" s="10" t="s">
        <v>181</v>
      </c>
      <c r="D84" s="10" t="s">
        <v>203</v>
      </c>
      <c r="E84" s="6" t="s">
        <v>243</v>
      </c>
      <c r="F84" s="10" t="s">
        <v>195</v>
      </c>
      <c r="G84" s="27">
        <f>G85</f>
        <v>15</v>
      </c>
      <c r="H84" s="221"/>
    </row>
    <row r="85" spans="1:9" ht="47.25" x14ac:dyDescent="0.25">
      <c r="A85" s="26" t="s">
        <v>196</v>
      </c>
      <c r="B85" s="17">
        <v>902</v>
      </c>
      <c r="C85" s="10" t="s">
        <v>181</v>
      </c>
      <c r="D85" s="10" t="s">
        <v>203</v>
      </c>
      <c r="E85" s="6" t="s">
        <v>243</v>
      </c>
      <c r="F85" s="10" t="s">
        <v>197</v>
      </c>
      <c r="G85" s="27">
        <v>15</v>
      </c>
      <c r="H85" s="221"/>
    </row>
    <row r="86" spans="1:9" ht="47.25" x14ac:dyDescent="0.25">
      <c r="A86" s="33" t="s">
        <v>244</v>
      </c>
      <c r="B86" s="17">
        <v>902</v>
      </c>
      <c r="C86" s="21" t="s">
        <v>181</v>
      </c>
      <c r="D86" s="21" t="s">
        <v>203</v>
      </c>
      <c r="E86" s="32" t="s">
        <v>245</v>
      </c>
      <c r="F86" s="34"/>
      <c r="G86" s="27">
        <f>G87</f>
        <v>50</v>
      </c>
      <c r="H86" s="221"/>
    </row>
    <row r="87" spans="1:9" ht="31.5" x14ac:dyDescent="0.25">
      <c r="A87" s="26" t="s">
        <v>220</v>
      </c>
      <c r="B87" s="17">
        <v>902</v>
      </c>
      <c r="C87" s="21" t="s">
        <v>181</v>
      </c>
      <c r="D87" s="21" t="s">
        <v>203</v>
      </c>
      <c r="E87" s="21" t="s">
        <v>246</v>
      </c>
      <c r="F87" s="34"/>
      <c r="G87" s="27">
        <f>G88</f>
        <v>50</v>
      </c>
      <c r="H87" s="221"/>
    </row>
    <row r="88" spans="1:9" ht="15.75" x14ac:dyDescent="0.25">
      <c r="A88" s="31" t="s">
        <v>198</v>
      </c>
      <c r="B88" s="17">
        <v>902</v>
      </c>
      <c r="C88" s="21" t="s">
        <v>181</v>
      </c>
      <c r="D88" s="21" t="s">
        <v>203</v>
      </c>
      <c r="E88" s="21" t="s">
        <v>246</v>
      </c>
      <c r="F88" s="34" t="s">
        <v>208</v>
      </c>
      <c r="G88" s="27">
        <f>G89</f>
        <v>50</v>
      </c>
      <c r="H88" s="221"/>
    </row>
    <row r="89" spans="1:9" ht="63" x14ac:dyDescent="0.25">
      <c r="A89" s="31" t="s">
        <v>247</v>
      </c>
      <c r="B89" s="17">
        <v>902</v>
      </c>
      <c r="C89" s="21" t="s">
        <v>181</v>
      </c>
      <c r="D89" s="21" t="s">
        <v>203</v>
      </c>
      <c r="E89" s="21" t="s">
        <v>246</v>
      </c>
      <c r="F89" s="34" t="s">
        <v>223</v>
      </c>
      <c r="G89" s="27">
        <f>100+20-70</f>
        <v>50</v>
      </c>
      <c r="H89" s="132" t="s">
        <v>927</v>
      </c>
      <c r="I89" s="154"/>
    </row>
    <row r="90" spans="1:9" ht="63" x14ac:dyDescent="0.25">
      <c r="A90" s="31" t="s">
        <v>843</v>
      </c>
      <c r="B90" s="17">
        <v>902</v>
      </c>
      <c r="C90" s="21" t="s">
        <v>181</v>
      </c>
      <c r="D90" s="21" t="s">
        <v>203</v>
      </c>
      <c r="E90" s="21" t="s">
        <v>841</v>
      </c>
      <c r="F90" s="34"/>
      <c r="G90" s="27">
        <f>G91</f>
        <v>29</v>
      </c>
      <c r="H90" s="134"/>
    </row>
    <row r="91" spans="1:9" ht="31.5" x14ac:dyDescent="0.25">
      <c r="A91" s="33" t="s">
        <v>220</v>
      </c>
      <c r="B91" s="17">
        <v>902</v>
      </c>
      <c r="C91" s="21" t="s">
        <v>181</v>
      </c>
      <c r="D91" s="21" t="s">
        <v>203</v>
      </c>
      <c r="E91" s="21" t="s">
        <v>849</v>
      </c>
      <c r="F91" s="34"/>
      <c r="G91" s="27">
        <f>G92</f>
        <v>29</v>
      </c>
      <c r="H91" s="134"/>
    </row>
    <row r="92" spans="1:9" ht="31.5" x14ac:dyDescent="0.25">
      <c r="A92" s="26" t="s">
        <v>194</v>
      </c>
      <c r="B92" s="17">
        <v>902</v>
      </c>
      <c r="C92" s="21" t="s">
        <v>181</v>
      </c>
      <c r="D92" s="21" t="s">
        <v>203</v>
      </c>
      <c r="E92" s="21" t="s">
        <v>849</v>
      </c>
      <c r="F92" s="34" t="s">
        <v>195</v>
      </c>
      <c r="G92" s="27">
        <f>G93</f>
        <v>29</v>
      </c>
      <c r="H92" s="134"/>
    </row>
    <row r="93" spans="1:9" ht="47.25" x14ac:dyDescent="0.25">
      <c r="A93" s="26" t="s">
        <v>196</v>
      </c>
      <c r="B93" s="17">
        <v>902</v>
      </c>
      <c r="C93" s="21" t="s">
        <v>181</v>
      </c>
      <c r="D93" s="21" t="s">
        <v>203</v>
      </c>
      <c r="E93" s="21" t="s">
        <v>849</v>
      </c>
      <c r="F93" s="34" t="s">
        <v>197</v>
      </c>
      <c r="G93" s="27">
        <v>29</v>
      </c>
      <c r="H93" s="134"/>
      <c r="I93" s="152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4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4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4"/>
      <c r="I96" s="152"/>
    </row>
    <row r="97" spans="1:9" ht="15.75" x14ac:dyDescent="0.25">
      <c r="A97" s="26" t="s">
        <v>184</v>
      </c>
      <c r="B97" s="17">
        <v>902</v>
      </c>
      <c r="C97" s="21" t="s">
        <v>181</v>
      </c>
      <c r="D97" s="21" t="s">
        <v>203</v>
      </c>
      <c r="E97" s="21" t="s">
        <v>185</v>
      </c>
      <c r="F97" s="21"/>
      <c r="G97" s="27">
        <f>G98+G123</f>
        <v>14492.3</v>
      </c>
      <c r="H97" s="221"/>
    </row>
    <row r="98" spans="1:9" ht="31.5" x14ac:dyDescent="0.25">
      <c r="A98" s="26" t="s">
        <v>248</v>
      </c>
      <c r="B98" s="17">
        <v>902</v>
      </c>
      <c r="C98" s="21" t="s">
        <v>181</v>
      </c>
      <c r="D98" s="21" t="s">
        <v>203</v>
      </c>
      <c r="E98" s="21" t="s">
        <v>249</v>
      </c>
      <c r="F98" s="21"/>
      <c r="G98" s="27">
        <f>G104+G109+G115+G118</f>
        <v>3543.7999999999997</v>
      </c>
      <c r="H98" s="221"/>
    </row>
    <row r="99" spans="1:9" ht="47.25" hidden="1" x14ac:dyDescent="0.25">
      <c r="A99" s="26" t="s">
        <v>250</v>
      </c>
      <c r="B99" s="17">
        <v>902</v>
      </c>
      <c r="C99" s="21" t="s">
        <v>181</v>
      </c>
      <c r="D99" s="21" t="s">
        <v>203</v>
      </c>
      <c r="E99" s="21" t="s">
        <v>251</v>
      </c>
      <c r="F99" s="25"/>
      <c r="G99" s="27">
        <f t="shared" ref="G99" si="2">G100+G102</f>
        <v>0</v>
      </c>
      <c r="H99" s="221"/>
    </row>
    <row r="100" spans="1:9" ht="94.5" hidden="1" x14ac:dyDescent="0.25">
      <c r="A100" s="26" t="s">
        <v>190</v>
      </c>
      <c r="B100" s="17">
        <v>902</v>
      </c>
      <c r="C100" s="21" t="s">
        <v>181</v>
      </c>
      <c r="D100" s="21" t="s">
        <v>203</v>
      </c>
      <c r="E100" s="21" t="s">
        <v>251</v>
      </c>
      <c r="F100" s="21" t="s">
        <v>191</v>
      </c>
      <c r="G100" s="27">
        <f>G101</f>
        <v>0</v>
      </c>
      <c r="H100" s="221"/>
    </row>
    <row r="101" spans="1:9" ht="31.5" hidden="1" x14ac:dyDescent="0.25">
      <c r="A101" s="26" t="s">
        <v>192</v>
      </c>
      <c r="B101" s="17">
        <v>902</v>
      </c>
      <c r="C101" s="21" t="s">
        <v>181</v>
      </c>
      <c r="D101" s="21" t="s">
        <v>203</v>
      </c>
      <c r="E101" s="21" t="s">
        <v>251</v>
      </c>
      <c r="F101" s="21" t="s">
        <v>193</v>
      </c>
      <c r="G101" s="27">
        <v>0</v>
      </c>
      <c r="H101" s="221"/>
    </row>
    <row r="102" spans="1:9" ht="31.5" hidden="1" x14ac:dyDescent="0.25">
      <c r="A102" s="26" t="s">
        <v>194</v>
      </c>
      <c r="B102" s="17">
        <v>902</v>
      </c>
      <c r="C102" s="21" t="s">
        <v>181</v>
      </c>
      <c r="D102" s="21" t="s">
        <v>203</v>
      </c>
      <c r="E102" s="21" t="s">
        <v>251</v>
      </c>
      <c r="F102" s="21" t="s">
        <v>195</v>
      </c>
      <c r="G102" s="27">
        <f t="shared" ref="G102" si="3">G103</f>
        <v>0</v>
      </c>
      <c r="H102" s="221"/>
    </row>
    <row r="103" spans="1:9" ht="47.25" hidden="1" x14ac:dyDescent="0.25">
      <c r="A103" s="26" t="s">
        <v>196</v>
      </c>
      <c r="B103" s="17">
        <v>902</v>
      </c>
      <c r="C103" s="21" t="s">
        <v>181</v>
      </c>
      <c r="D103" s="21" t="s">
        <v>203</v>
      </c>
      <c r="E103" s="21" t="s">
        <v>251</v>
      </c>
      <c r="F103" s="21" t="s">
        <v>197</v>
      </c>
      <c r="G103" s="27">
        <v>0</v>
      </c>
      <c r="H103" s="221"/>
    </row>
    <row r="104" spans="1:9" ht="47.25" x14ac:dyDescent="0.25">
      <c r="A104" s="33" t="s">
        <v>252</v>
      </c>
      <c r="B104" s="17">
        <v>902</v>
      </c>
      <c r="C104" s="21" t="s">
        <v>181</v>
      </c>
      <c r="D104" s="21" t="s">
        <v>203</v>
      </c>
      <c r="E104" s="21" t="s">
        <v>253</v>
      </c>
      <c r="F104" s="21"/>
      <c r="G104" s="27">
        <f>G105+G107</f>
        <v>701.8</v>
      </c>
      <c r="H104" s="221"/>
    </row>
    <row r="105" spans="1:9" ht="94.5" x14ac:dyDescent="0.25">
      <c r="A105" s="26" t="s">
        <v>190</v>
      </c>
      <c r="B105" s="17">
        <v>902</v>
      </c>
      <c r="C105" s="21" t="s">
        <v>181</v>
      </c>
      <c r="D105" s="21" t="s">
        <v>203</v>
      </c>
      <c r="E105" s="21" t="s">
        <v>253</v>
      </c>
      <c r="F105" s="21" t="s">
        <v>191</v>
      </c>
      <c r="G105" s="27">
        <f>G106</f>
        <v>643.29999999999995</v>
      </c>
      <c r="H105" s="221"/>
    </row>
    <row r="106" spans="1:9" ht="31.5" x14ac:dyDescent="0.25">
      <c r="A106" s="26" t="s">
        <v>192</v>
      </c>
      <c r="B106" s="17">
        <v>902</v>
      </c>
      <c r="C106" s="21" t="s">
        <v>181</v>
      </c>
      <c r="D106" s="21" t="s">
        <v>203</v>
      </c>
      <c r="E106" s="21" t="s">
        <v>253</v>
      </c>
      <c r="F106" s="21" t="s">
        <v>193</v>
      </c>
      <c r="G106" s="27">
        <f>701.8-15-4.5-30-9</f>
        <v>643.29999999999995</v>
      </c>
      <c r="H106" s="221" t="s">
        <v>990</v>
      </c>
      <c r="I106" s="141"/>
    </row>
    <row r="107" spans="1:9" ht="31.5" x14ac:dyDescent="0.25">
      <c r="A107" s="26" t="s">
        <v>194</v>
      </c>
      <c r="B107" s="17">
        <v>902</v>
      </c>
      <c r="C107" s="21" t="s">
        <v>181</v>
      </c>
      <c r="D107" s="21" t="s">
        <v>203</v>
      </c>
      <c r="E107" s="21" t="s">
        <v>253</v>
      </c>
      <c r="F107" s="21" t="s">
        <v>195</v>
      </c>
      <c r="G107" s="27">
        <f>G108</f>
        <v>58.5</v>
      </c>
      <c r="H107" s="221"/>
      <c r="I107" s="141"/>
    </row>
    <row r="108" spans="1:9" ht="47.25" x14ac:dyDescent="0.25">
      <c r="A108" s="26" t="s">
        <v>196</v>
      </c>
      <c r="B108" s="17">
        <v>902</v>
      </c>
      <c r="C108" s="21" t="s">
        <v>181</v>
      </c>
      <c r="D108" s="21" t="s">
        <v>203</v>
      </c>
      <c r="E108" s="21" t="s">
        <v>253</v>
      </c>
      <c r="F108" s="21" t="s">
        <v>197</v>
      </c>
      <c r="G108" s="27">
        <f>19.5+39</f>
        <v>58.5</v>
      </c>
      <c r="H108" s="221" t="s">
        <v>991</v>
      </c>
      <c r="I108" s="141"/>
    </row>
    <row r="109" spans="1:9" ht="47.25" x14ac:dyDescent="0.25">
      <c r="A109" s="35" t="s">
        <v>254</v>
      </c>
      <c r="B109" s="17">
        <v>902</v>
      </c>
      <c r="C109" s="21" t="s">
        <v>181</v>
      </c>
      <c r="D109" s="21" t="s">
        <v>203</v>
      </c>
      <c r="E109" s="21" t="s">
        <v>255</v>
      </c>
      <c r="F109" s="21"/>
      <c r="G109" s="27">
        <f>G110</f>
        <v>20</v>
      </c>
      <c r="H109" s="221"/>
    </row>
    <row r="110" spans="1:9" ht="31.5" x14ac:dyDescent="0.25">
      <c r="A110" s="26" t="s">
        <v>194</v>
      </c>
      <c r="B110" s="17">
        <v>902</v>
      </c>
      <c r="C110" s="21" t="s">
        <v>181</v>
      </c>
      <c r="D110" s="21" t="s">
        <v>203</v>
      </c>
      <c r="E110" s="21" t="s">
        <v>255</v>
      </c>
      <c r="F110" s="21" t="s">
        <v>195</v>
      </c>
      <c r="G110" s="27">
        <f>G111</f>
        <v>20</v>
      </c>
      <c r="H110" s="221"/>
    </row>
    <row r="111" spans="1:9" ht="47.25" x14ac:dyDescent="0.25">
      <c r="A111" s="26" t="s">
        <v>196</v>
      </c>
      <c r="B111" s="17">
        <v>902</v>
      </c>
      <c r="C111" s="21" t="s">
        <v>181</v>
      </c>
      <c r="D111" s="21" t="s">
        <v>203</v>
      </c>
      <c r="E111" s="21" t="s">
        <v>255</v>
      </c>
      <c r="F111" s="21" t="s">
        <v>197</v>
      </c>
      <c r="G111" s="27">
        <f>36+4-20</f>
        <v>20</v>
      </c>
      <c r="H111" s="221" t="s">
        <v>951</v>
      </c>
      <c r="I111" s="141"/>
    </row>
    <row r="112" spans="1:9" ht="31.5" hidden="1" x14ac:dyDescent="0.25">
      <c r="A112" s="33" t="s">
        <v>256</v>
      </c>
      <c r="B112" s="17">
        <v>902</v>
      </c>
      <c r="C112" s="21" t="s">
        <v>181</v>
      </c>
      <c r="D112" s="21" t="s">
        <v>203</v>
      </c>
      <c r="E112" s="21" t="s">
        <v>255</v>
      </c>
      <c r="F112" s="21"/>
      <c r="G112" s="27">
        <f t="shared" ref="G112:G113" si="4">G113</f>
        <v>0</v>
      </c>
      <c r="H112" s="221"/>
    </row>
    <row r="113" spans="1:9" ht="31.5" hidden="1" x14ac:dyDescent="0.25">
      <c r="A113" s="26" t="s">
        <v>194</v>
      </c>
      <c r="B113" s="17">
        <v>902</v>
      </c>
      <c r="C113" s="21" t="s">
        <v>181</v>
      </c>
      <c r="D113" s="21" t="s">
        <v>203</v>
      </c>
      <c r="E113" s="21" t="s">
        <v>255</v>
      </c>
      <c r="F113" s="21" t="s">
        <v>195</v>
      </c>
      <c r="G113" s="27">
        <f t="shared" si="4"/>
        <v>0</v>
      </c>
      <c r="H113" s="221"/>
    </row>
    <row r="114" spans="1:9" ht="47.25" hidden="1" x14ac:dyDescent="0.25">
      <c r="A114" s="26" t="s">
        <v>196</v>
      </c>
      <c r="B114" s="17">
        <v>902</v>
      </c>
      <c r="C114" s="21" t="s">
        <v>181</v>
      </c>
      <c r="D114" s="21" t="s">
        <v>203</v>
      </c>
      <c r="E114" s="21" t="s">
        <v>255</v>
      </c>
      <c r="F114" s="21" t="s">
        <v>197</v>
      </c>
      <c r="G114" s="27"/>
      <c r="H114" s="221"/>
    </row>
    <row r="115" spans="1:9" ht="63" x14ac:dyDescent="0.25">
      <c r="A115" s="33" t="s">
        <v>257</v>
      </c>
      <c r="B115" s="17">
        <v>902</v>
      </c>
      <c r="C115" s="21" t="s">
        <v>181</v>
      </c>
      <c r="D115" s="21" t="s">
        <v>203</v>
      </c>
      <c r="E115" s="21" t="s">
        <v>258</v>
      </c>
      <c r="F115" s="21"/>
      <c r="G115" s="27">
        <f>G116</f>
        <v>1752.9</v>
      </c>
      <c r="H115" s="221"/>
    </row>
    <row r="116" spans="1:9" ht="94.5" x14ac:dyDescent="0.25">
      <c r="A116" s="26" t="s">
        <v>190</v>
      </c>
      <c r="B116" s="17">
        <v>902</v>
      </c>
      <c r="C116" s="21" t="s">
        <v>181</v>
      </c>
      <c r="D116" s="21" t="s">
        <v>203</v>
      </c>
      <c r="E116" s="21" t="s">
        <v>258</v>
      </c>
      <c r="F116" s="21" t="s">
        <v>191</v>
      </c>
      <c r="G116" s="27">
        <f>G117</f>
        <v>1752.9</v>
      </c>
      <c r="H116" s="249"/>
    </row>
    <row r="117" spans="1:9" ht="31.5" x14ac:dyDescent="0.25">
      <c r="A117" s="26" t="s">
        <v>192</v>
      </c>
      <c r="B117" s="17">
        <v>902</v>
      </c>
      <c r="C117" s="21" t="s">
        <v>181</v>
      </c>
      <c r="D117" s="21" t="s">
        <v>203</v>
      </c>
      <c r="E117" s="21" t="s">
        <v>258</v>
      </c>
      <c r="F117" s="21" t="s">
        <v>193</v>
      </c>
      <c r="G117" s="27">
        <v>1752.9</v>
      </c>
      <c r="H117" s="221"/>
    </row>
    <row r="118" spans="1:9" ht="47.25" x14ac:dyDescent="0.25">
      <c r="A118" s="33" t="s">
        <v>259</v>
      </c>
      <c r="B118" s="17">
        <v>902</v>
      </c>
      <c r="C118" s="21" t="s">
        <v>181</v>
      </c>
      <c r="D118" s="21" t="s">
        <v>203</v>
      </c>
      <c r="E118" s="21" t="s">
        <v>260</v>
      </c>
      <c r="F118" s="21"/>
      <c r="G118" s="27">
        <f>G119+G121</f>
        <v>1069.0999999999999</v>
      </c>
      <c r="H118" s="221"/>
    </row>
    <row r="119" spans="1:9" ht="94.5" x14ac:dyDescent="0.25">
      <c r="A119" s="26" t="s">
        <v>190</v>
      </c>
      <c r="B119" s="17">
        <v>902</v>
      </c>
      <c r="C119" s="21" t="s">
        <v>181</v>
      </c>
      <c r="D119" s="21" t="s">
        <v>203</v>
      </c>
      <c r="E119" s="21" t="s">
        <v>260</v>
      </c>
      <c r="F119" s="21" t="s">
        <v>191</v>
      </c>
      <c r="G119" s="27">
        <f>G120</f>
        <v>1047.6999999999998</v>
      </c>
      <c r="H119" s="221"/>
    </row>
    <row r="120" spans="1:9" ht="31.5" x14ac:dyDescent="0.25">
      <c r="A120" s="26" t="s">
        <v>192</v>
      </c>
      <c r="B120" s="17">
        <v>902</v>
      </c>
      <c r="C120" s="21" t="s">
        <v>181</v>
      </c>
      <c r="D120" s="21" t="s">
        <v>203</v>
      </c>
      <c r="E120" s="21" t="s">
        <v>260</v>
      </c>
      <c r="F120" s="21" t="s">
        <v>193</v>
      </c>
      <c r="G120" s="27">
        <f>1537-463.9-25.4</f>
        <v>1047.6999999999998</v>
      </c>
      <c r="H120" s="221" t="s">
        <v>952</v>
      </c>
      <c r="I120" s="141"/>
    </row>
    <row r="121" spans="1:9" ht="47.25" x14ac:dyDescent="0.25">
      <c r="A121" s="26" t="s">
        <v>261</v>
      </c>
      <c r="B121" s="17">
        <v>902</v>
      </c>
      <c r="C121" s="21" t="s">
        <v>181</v>
      </c>
      <c r="D121" s="21" t="s">
        <v>203</v>
      </c>
      <c r="E121" s="21" t="s">
        <v>260</v>
      </c>
      <c r="F121" s="21" t="s">
        <v>195</v>
      </c>
      <c r="G121" s="27">
        <f>G122</f>
        <v>21.400000000000002</v>
      </c>
      <c r="H121" s="221"/>
    </row>
    <row r="122" spans="1:9" ht="47.25" x14ac:dyDescent="0.25">
      <c r="A122" s="26" t="s">
        <v>196</v>
      </c>
      <c r="B122" s="17">
        <v>902</v>
      </c>
      <c r="C122" s="21" t="s">
        <v>181</v>
      </c>
      <c r="D122" s="21" t="s">
        <v>203</v>
      </c>
      <c r="E122" s="21" t="s">
        <v>260</v>
      </c>
      <c r="F122" s="21" t="s">
        <v>197</v>
      </c>
      <c r="G122" s="27">
        <f>33.1-11.7</f>
        <v>21.400000000000002</v>
      </c>
      <c r="H122" s="221" t="s">
        <v>953</v>
      </c>
    </row>
    <row r="123" spans="1:9" ht="15.75" x14ac:dyDescent="0.25">
      <c r="A123" s="26" t="s">
        <v>204</v>
      </c>
      <c r="B123" s="17">
        <v>902</v>
      </c>
      <c r="C123" s="21" t="s">
        <v>181</v>
      </c>
      <c r="D123" s="21" t="s">
        <v>203</v>
      </c>
      <c r="E123" s="21" t="s">
        <v>205</v>
      </c>
      <c r="F123" s="21"/>
      <c r="G123" s="27">
        <f>G136+G141+G146</f>
        <v>10948.5</v>
      </c>
      <c r="H123" s="221"/>
    </row>
    <row r="124" spans="1:9" ht="15.75" hidden="1" x14ac:dyDescent="0.25">
      <c r="A124" s="26" t="s">
        <v>262</v>
      </c>
      <c r="B124" s="17">
        <v>902</v>
      </c>
      <c r="C124" s="21" t="s">
        <v>181</v>
      </c>
      <c r="D124" s="21" t="s">
        <v>203</v>
      </c>
      <c r="E124" s="21" t="s">
        <v>263</v>
      </c>
      <c r="F124" s="21"/>
      <c r="G124" s="27">
        <f t="shared" ref="G124:G125" si="5">G125</f>
        <v>0</v>
      </c>
      <c r="H124" s="221"/>
    </row>
    <row r="125" spans="1:9" ht="33" hidden="1" customHeight="1" x14ac:dyDescent="0.25">
      <c r="A125" s="26" t="s">
        <v>261</v>
      </c>
      <c r="B125" s="17">
        <v>902</v>
      </c>
      <c r="C125" s="21" t="s">
        <v>181</v>
      </c>
      <c r="D125" s="21" t="s">
        <v>203</v>
      </c>
      <c r="E125" s="21" t="s">
        <v>263</v>
      </c>
      <c r="F125" s="21" t="s">
        <v>195</v>
      </c>
      <c r="G125" s="27">
        <f t="shared" si="5"/>
        <v>0</v>
      </c>
      <c r="H125" s="221"/>
    </row>
    <row r="126" spans="1:9" ht="47.25" hidden="1" x14ac:dyDescent="0.25">
      <c r="A126" s="26" t="s">
        <v>196</v>
      </c>
      <c r="B126" s="17">
        <v>902</v>
      </c>
      <c r="C126" s="21" t="s">
        <v>181</v>
      </c>
      <c r="D126" s="21" t="s">
        <v>203</v>
      </c>
      <c r="E126" s="21" t="s">
        <v>263</v>
      </c>
      <c r="F126" s="21" t="s">
        <v>197</v>
      </c>
      <c r="G126" s="27">
        <v>0</v>
      </c>
      <c r="H126" s="221"/>
    </row>
    <row r="127" spans="1:9" ht="15.75" hidden="1" x14ac:dyDescent="0.25">
      <c r="A127" s="26" t="s">
        <v>264</v>
      </c>
      <c r="B127" s="17">
        <v>902</v>
      </c>
      <c r="C127" s="21" t="s">
        <v>181</v>
      </c>
      <c r="D127" s="21" t="s">
        <v>203</v>
      </c>
      <c r="E127" s="21" t="s">
        <v>265</v>
      </c>
      <c r="F127" s="25"/>
      <c r="G127" s="27">
        <f t="shared" ref="G127:G128" si="6">G128</f>
        <v>0</v>
      </c>
      <c r="H127" s="221"/>
    </row>
    <row r="128" spans="1:9" ht="47.25" hidden="1" x14ac:dyDescent="0.25">
      <c r="A128" s="26" t="s">
        <v>261</v>
      </c>
      <c r="B128" s="17">
        <v>902</v>
      </c>
      <c r="C128" s="21" t="s">
        <v>181</v>
      </c>
      <c r="D128" s="21" t="s">
        <v>203</v>
      </c>
      <c r="E128" s="21" t="s">
        <v>265</v>
      </c>
      <c r="F128" s="21" t="s">
        <v>195</v>
      </c>
      <c r="G128" s="27">
        <f t="shared" si="6"/>
        <v>0</v>
      </c>
      <c r="H128" s="221"/>
    </row>
    <row r="129" spans="1:13" ht="47.25" hidden="1" x14ac:dyDescent="0.25">
      <c r="A129" s="26" t="s">
        <v>196</v>
      </c>
      <c r="B129" s="17">
        <v>902</v>
      </c>
      <c r="C129" s="21" t="s">
        <v>181</v>
      </c>
      <c r="D129" s="21" t="s">
        <v>203</v>
      </c>
      <c r="E129" s="21" t="s">
        <v>265</v>
      </c>
      <c r="F129" s="21" t="s">
        <v>197</v>
      </c>
      <c r="G129" s="27">
        <v>0</v>
      </c>
      <c r="H129" s="221"/>
    </row>
    <row r="130" spans="1:13" ht="31.5" hidden="1" x14ac:dyDescent="0.25">
      <c r="A130" s="26" t="s">
        <v>266</v>
      </c>
      <c r="B130" s="17">
        <v>902</v>
      </c>
      <c r="C130" s="21" t="s">
        <v>181</v>
      </c>
      <c r="D130" s="21" t="s">
        <v>203</v>
      </c>
      <c r="E130" s="21" t="s">
        <v>267</v>
      </c>
      <c r="F130" s="21"/>
      <c r="G130" s="27">
        <f t="shared" ref="G130:G131" si="7">G131</f>
        <v>0</v>
      </c>
      <c r="H130" s="221"/>
    </row>
    <row r="131" spans="1:13" ht="47.25" hidden="1" x14ac:dyDescent="0.25">
      <c r="A131" s="26" t="s">
        <v>261</v>
      </c>
      <c r="B131" s="17">
        <v>902</v>
      </c>
      <c r="C131" s="21" t="s">
        <v>181</v>
      </c>
      <c r="D131" s="21" t="s">
        <v>203</v>
      </c>
      <c r="E131" s="21" t="s">
        <v>267</v>
      </c>
      <c r="F131" s="21" t="s">
        <v>195</v>
      </c>
      <c r="G131" s="27">
        <f t="shared" si="7"/>
        <v>0</v>
      </c>
      <c r="H131" s="221"/>
    </row>
    <row r="132" spans="1:13" ht="47.25" hidden="1" x14ac:dyDescent="0.25">
      <c r="A132" s="26" t="s">
        <v>196</v>
      </c>
      <c r="B132" s="17">
        <v>902</v>
      </c>
      <c r="C132" s="21" t="s">
        <v>181</v>
      </c>
      <c r="D132" s="21" t="s">
        <v>203</v>
      </c>
      <c r="E132" s="21" t="s">
        <v>267</v>
      </c>
      <c r="F132" s="21" t="s">
        <v>197</v>
      </c>
      <c r="G132" s="27">
        <v>0</v>
      </c>
      <c r="H132" s="221"/>
    </row>
    <row r="133" spans="1:13" ht="15.75" hidden="1" x14ac:dyDescent="0.25">
      <c r="A133" s="26" t="s">
        <v>242</v>
      </c>
      <c r="B133" s="17">
        <v>902</v>
      </c>
      <c r="C133" s="21" t="s">
        <v>181</v>
      </c>
      <c r="D133" s="21" t="s">
        <v>203</v>
      </c>
      <c r="E133" s="21" t="s">
        <v>268</v>
      </c>
      <c r="F133" s="21"/>
      <c r="G133" s="27">
        <f t="shared" ref="G133:G134" si="8">G134</f>
        <v>0</v>
      </c>
      <c r="H133" s="221"/>
    </row>
    <row r="134" spans="1:13" ht="47.25" hidden="1" x14ac:dyDescent="0.25">
      <c r="A134" s="26" t="s">
        <v>261</v>
      </c>
      <c r="B134" s="17">
        <v>902</v>
      </c>
      <c r="C134" s="21" t="s">
        <v>181</v>
      </c>
      <c r="D134" s="21" t="s">
        <v>203</v>
      </c>
      <c r="E134" s="21" t="s">
        <v>268</v>
      </c>
      <c r="F134" s="21" t="s">
        <v>195</v>
      </c>
      <c r="G134" s="27">
        <f t="shared" si="8"/>
        <v>0</v>
      </c>
      <c r="H134" s="221"/>
    </row>
    <row r="135" spans="1:13" ht="47.25" hidden="1" x14ac:dyDescent="0.25">
      <c r="A135" s="26" t="s">
        <v>196</v>
      </c>
      <c r="B135" s="17">
        <v>902</v>
      </c>
      <c r="C135" s="21" t="s">
        <v>181</v>
      </c>
      <c r="D135" s="21" t="s">
        <v>203</v>
      </c>
      <c r="E135" s="21" t="s">
        <v>268</v>
      </c>
      <c r="F135" s="21" t="s">
        <v>197</v>
      </c>
      <c r="G135" s="27">
        <v>0</v>
      </c>
      <c r="H135" s="221"/>
    </row>
    <row r="136" spans="1:13" ht="31.5" x14ac:dyDescent="0.25">
      <c r="A136" s="26" t="s">
        <v>269</v>
      </c>
      <c r="B136" s="17">
        <v>902</v>
      </c>
      <c r="C136" s="21" t="s">
        <v>181</v>
      </c>
      <c r="D136" s="21" t="s">
        <v>203</v>
      </c>
      <c r="E136" s="21" t="s">
        <v>270</v>
      </c>
      <c r="F136" s="21"/>
      <c r="G136" s="27">
        <f>G137+G139</f>
        <v>5986.2</v>
      </c>
      <c r="H136" s="221"/>
    </row>
    <row r="137" spans="1:13" ht="94.5" x14ac:dyDescent="0.25">
      <c r="A137" s="26" t="s">
        <v>190</v>
      </c>
      <c r="B137" s="17">
        <v>902</v>
      </c>
      <c r="C137" s="21" t="s">
        <v>181</v>
      </c>
      <c r="D137" s="21" t="s">
        <v>203</v>
      </c>
      <c r="E137" s="21" t="s">
        <v>270</v>
      </c>
      <c r="F137" s="21" t="s">
        <v>191</v>
      </c>
      <c r="G137" s="27">
        <f>G138</f>
        <v>4848.5</v>
      </c>
      <c r="H137" s="221"/>
    </row>
    <row r="138" spans="1:13" ht="31.5" x14ac:dyDescent="0.25">
      <c r="A138" s="26" t="s">
        <v>271</v>
      </c>
      <c r="B138" s="17">
        <v>902</v>
      </c>
      <c r="C138" s="21" t="s">
        <v>181</v>
      </c>
      <c r="D138" s="21" t="s">
        <v>203</v>
      </c>
      <c r="E138" s="21" t="s">
        <v>270</v>
      </c>
      <c r="F138" s="21" t="s">
        <v>272</v>
      </c>
      <c r="G138" s="28">
        <f>5174.7-222.7-10.6+33.5-102.5-23.9</f>
        <v>4848.5</v>
      </c>
      <c r="H138" s="221" t="s">
        <v>992</v>
      </c>
    </row>
    <row r="139" spans="1:13" ht="47.25" x14ac:dyDescent="0.25">
      <c r="A139" s="26" t="s">
        <v>261</v>
      </c>
      <c r="B139" s="17">
        <v>902</v>
      </c>
      <c r="C139" s="21" t="s">
        <v>181</v>
      </c>
      <c r="D139" s="21" t="s">
        <v>203</v>
      </c>
      <c r="E139" s="21" t="s">
        <v>270</v>
      </c>
      <c r="F139" s="21" t="s">
        <v>195</v>
      </c>
      <c r="G139" s="27">
        <f>G140</f>
        <v>1137.7</v>
      </c>
      <c r="H139" s="221"/>
    </row>
    <row r="140" spans="1:13" ht="47.25" x14ac:dyDescent="0.25">
      <c r="A140" s="26" t="s">
        <v>196</v>
      </c>
      <c r="B140" s="17">
        <v>902</v>
      </c>
      <c r="C140" s="21" t="s">
        <v>181</v>
      </c>
      <c r="D140" s="21" t="s">
        <v>203</v>
      </c>
      <c r="E140" s="21" t="s">
        <v>270</v>
      </c>
      <c r="F140" s="21" t="s">
        <v>197</v>
      </c>
      <c r="G140" s="28">
        <f>724.7+450-50.4+13.4</f>
        <v>1137.7</v>
      </c>
      <c r="H140" s="241"/>
      <c r="I140" s="141"/>
    </row>
    <row r="141" spans="1:13" ht="47.25" x14ac:dyDescent="0.25">
      <c r="A141" s="26" t="s">
        <v>273</v>
      </c>
      <c r="B141" s="17">
        <v>902</v>
      </c>
      <c r="C141" s="21" t="s">
        <v>181</v>
      </c>
      <c r="D141" s="21" t="s">
        <v>203</v>
      </c>
      <c r="E141" s="21" t="s">
        <v>274</v>
      </c>
      <c r="F141" s="21"/>
      <c r="G141" s="27">
        <f>G142+G144</f>
        <v>2867.2</v>
      </c>
      <c r="H141" s="221"/>
    </row>
    <row r="142" spans="1:13" ht="94.5" x14ac:dyDescent="0.25">
      <c r="A142" s="26" t="s">
        <v>190</v>
      </c>
      <c r="B142" s="17">
        <v>902</v>
      </c>
      <c r="C142" s="21" t="s">
        <v>181</v>
      </c>
      <c r="D142" s="21" t="s">
        <v>203</v>
      </c>
      <c r="E142" s="21" t="s">
        <v>274</v>
      </c>
      <c r="F142" s="21" t="s">
        <v>191</v>
      </c>
      <c r="G142" s="27">
        <f>G143</f>
        <v>2345.9</v>
      </c>
      <c r="H142" s="221"/>
    </row>
    <row r="143" spans="1:13" ht="31.5" x14ac:dyDescent="0.25">
      <c r="A143" s="26" t="s">
        <v>192</v>
      </c>
      <c r="B143" s="17">
        <v>902</v>
      </c>
      <c r="C143" s="21" t="s">
        <v>181</v>
      </c>
      <c r="D143" s="21" t="s">
        <v>203</v>
      </c>
      <c r="E143" s="21" t="s">
        <v>274</v>
      </c>
      <c r="F143" s="21" t="s">
        <v>193</v>
      </c>
      <c r="G143" s="28">
        <f>1952.2-57.2+11.5+222.6+79+85.4+12+12+28.4</f>
        <v>2345.9</v>
      </c>
      <c r="H143" s="221" t="s">
        <v>1015</v>
      </c>
      <c r="I143" s="141"/>
      <c r="M143" s="135"/>
    </row>
    <row r="144" spans="1:13" ht="47.25" x14ac:dyDescent="0.25">
      <c r="A144" s="26" t="s">
        <v>261</v>
      </c>
      <c r="B144" s="17">
        <v>902</v>
      </c>
      <c r="C144" s="21" t="s">
        <v>181</v>
      </c>
      <c r="D144" s="21" t="s">
        <v>203</v>
      </c>
      <c r="E144" s="21" t="s">
        <v>274</v>
      </c>
      <c r="F144" s="21" t="s">
        <v>195</v>
      </c>
      <c r="G144" s="27">
        <f>G145</f>
        <v>521.29999999999995</v>
      </c>
      <c r="H144" s="221"/>
    </row>
    <row r="145" spans="1:8" ht="47.25" x14ac:dyDescent="0.25">
      <c r="A145" s="26" t="s">
        <v>196</v>
      </c>
      <c r="B145" s="17">
        <v>902</v>
      </c>
      <c r="C145" s="21" t="s">
        <v>181</v>
      </c>
      <c r="D145" s="21" t="s">
        <v>203</v>
      </c>
      <c r="E145" s="21" t="s">
        <v>274</v>
      </c>
      <c r="F145" s="21" t="s">
        <v>197</v>
      </c>
      <c r="G145" s="27">
        <f>821.9-196.5-27.9+2.8-79</f>
        <v>521.29999999999995</v>
      </c>
      <c r="H145" s="221" t="s">
        <v>922</v>
      </c>
    </row>
    <row r="146" spans="1:8" ht="15.75" x14ac:dyDescent="0.25">
      <c r="A146" s="47" t="s">
        <v>206</v>
      </c>
      <c r="B146" s="17">
        <v>902</v>
      </c>
      <c r="C146" s="21" t="s">
        <v>181</v>
      </c>
      <c r="D146" s="21" t="s">
        <v>203</v>
      </c>
      <c r="E146" s="21" t="s">
        <v>207</v>
      </c>
      <c r="F146" s="21"/>
      <c r="G146" s="27">
        <f>G147</f>
        <v>2095.1</v>
      </c>
      <c r="H146" s="221"/>
    </row>
    <row r="147" spans="1:8" ht="15.75" x14ac:dyDescent="0.25">
      <c r="A147" s="26" t="s">
        <v>198</v>
      </c>
      <c r="B147" s="17">
        <v>902</v>
      </c>
      <c r="C147" s="21" t="s">
        <v>181</v>
      </c>
      <c r="D147" s="21" t="s">
        <v>203</v>
      </c>
      <c r="E147" s="21" t="s">
        <v>207</v>
      </c>
      <c r="F147" s="21" t="s">
        <v>208</v>
      </c>
      <c r="G147" s="27">
        <f>G148</f>
        <v>2095.1</v>
      </c>
      <c r="H147" s="221"/>
    </row>
    <row r="148" spans="1:8" ht="15.75" x14ac:dyDescent="0.25">
      <c r="A148" s="26" t="s">
        <v>209</v>
      </c>
      <c r="B148" s="17">
        <v>902</v>
      </c>
      <c r="C148" s="21" t="s">
        <v>181</v>
      </c>
      <c r="D148" s="21" t="s">
        <v>203</v>
      </c>
      <c r="E148" s="21" t="s">
        <v>207</v>
      </c>
      <c r="F148" s="21" t="s">
        <v>210</v>
      </c>
      <c r="G148" s="27">
        <f>92.3+2002.8</f>
        <v>2095.1</v>
      </c>
      <c r="H148" s="132"/>
    </row>
    <row r="149" spans="1:8" ht="15.75" hidden="1" x14ac:dyDescent="0.25">
      <c r="A149" s="24" t="s">
        <v>275</v>
      </c>
      <c r="B149" s="20">
        <v>902</v>
      </c>
      <c r="C149" s="25" t="s">
        <v>276</v>
      </c>
      <c r="D149" s="25"/>
      <c r="E149" s="25"/>
      <c r="F149" s="25"/>
      <c r="G149" s="22">
        <f t="shared" ref="G149" si="9">G150+G156</f>
        <v>0</v>
      </c>
      <c r="H149" s="221"/>
    </row>
    <row r="150" spans="1:8" ht="31.5" hidden="1" x14ac:dyDescent="0.25">
      <c r="A150" s="24" t="s">
        <v>277</v>
      </c>
      <c r="B150" s="20">
        <v>902</v>
      </c>
      <c r="C150" s="25" t="s">
        <v>276</v>
      </c>
      <c r="D150" s="25" t="s">
        <v>278</v>
      </c>
      <c r="E150" s="25"/>
      <c r="F150" s="25"/>
      <c r="G150" s="22">
        <f t="shared" ref="G150:G154" si="10">G151</f>
        <v>0</v>
      </c>
      <c r="H150" s="221"/>
    </row>
    <row r="151" spans="1:8" ht="15.75" hidden="1" x14ac:dyDescent="0.25">
      <c r="A151" s="26" t="s">
        <v>184</v>
      </c>
      <c r="B151" s="17">
        <v>902</v>
      </c>
      <c r="C151" s="21" t="s">
        <v>276</v>
      </c>
      <c r="D151" s="21" t="s">
        <v>278</v>
      </c>
      <c r="E151" s="21" t="s">
        <v>185</v>
      </c>
      <c r="F151" s="21"/>
      <c r="G151" s="27">
        <f t="shared" si="10"/>
        <v>0</v>
      </c>
      <c r="H151" s="221"/>
    </row>
    <row r="152" spans="1:8" ht="31.5" hidden="1" x14ac:dyDescent="0.25">
      <c r="A152" s="26" t="s">
        <v>248</v>
      </c>
      <c r="B152" s="17">
        <v>902</v>
      </c>
      <c r="C152" s="21" t="s">
        <v>276</v>
      </c>
      <c r="D152" s="21" t="s">
        <v>278</v>
      </c>
      <c r="E152" s="21" t="s">
        <v>249</v>
      </c>
      <c r="F152" s="21"/>
      <c r="G152" s="27">
        <f t="shared" si="10"/>
        <v>0</v>
      </c>
      <c r="H152" s="221"/>
    </row>
    <row r="153" spans="1:8" ht="47.25" hidden="1" x14ac:dyDescent="0.25">
      <c r="A153" s="26" t="s">
        <v>279</v>
      </c>
      <c r="B153" s="17">
        <v>902</v>
      </c>
      <c r="C153" s="21" t="s">
        <v>276</v>
      </c>
      <c r="D153" s="21" t="s">
        <v>278</v>
      </c>
      <c r="E153" s="21" t="s">
        <v>280</v>
      </c>
      <c r="F153" s="21"/>
      <c r="G153" s="27">
        <f t="shared" si="10"/>
        <v>0</v>
      </c>
      <c r="H153" s="221"/>
    </row>
    <row r="154" spans="1:8" ht="94.5" hidden="1" x14ac:dyDescent="0.25">
      <c r="A154" s="26" t="s">
        <v>190</v>
      </c>
      <c r="B154" s="17">
        <v>902</v>
      </c>
      <c r="C154" s="21" t="s">
        <v>276</v>
      </c>
      <c r="D154" s="21" t="s">
        <v>278</v>
      </c>
      <c r="E154" s="21" t="s">
        <v>280</v>
      </c>
      <c r="F154" s="21" t="s">
        <v>191</v>
      </c>
      <c r="G154" s="27">
        <f t="shared" si="10"/>
        <v>0</v>
      </c>
      <c r="H154" s="221"/>
    </row>
    <row r="155" spans="1:8" ht="31.5" hidden="1" x14ac:dyDescent="0.25">
      <c r="A155" s="26" t="s">
        <v>192</v>
      </c>
      <c r="B155" s="17">
        <v>902</v>
      </c>
      <c r="C155" s="21" t="s">
        <v>276</v>
      </c>
      <c r="D155" s="21" t="s">
        <v>278</v>
      </c>
      <c r="E155" s="21" t="s">
        <v>280</v>
      </c>
      <c r="F155" s="21" t="s">
        <v>193</v>
      </c>
      <c r="G155" s="28"/>
      <c r="H155" s="221"/>
    </row>
    <row r="156" spans="1:8" ht="31.5" hidden="1" x14ac:dyDescent="0.25">
      <c r="A156" s="24" t="s">
        <v>281</v>
      </c>
      <c r="B156" s="20">
        <v>902</v>
      </c>
      <c r="C156" s="25" t="s">
        <v>276</v>
      </c>
      <c r="D156" s="25" t="s">
        <v>282</v>
      </c>
      <c r="E156" s="25"/>
      <c r="F156" s="25"/>
      <c r="G156" s="27">
        <f t="shared" ref="G156:G159" si="11">G157</f>
        <v>0</v>
      </c>
      <c r="H156" s="221"/>
    </row>
    <row r="157" spans="1:8" ht="15.75" hidden="1" x14ac:dyDescent="0.25">
      <c r="A157" s="26" t="s">
        <v>184</v>
      </c>
      <c r="B157" s="17">
        <v>902</v>
      </c>
      <c r="C157" s="21" t="s">
        <v>276</v>
      </c>
      <c r="D157" s="21" t="s">
        <v>282</v>
      </c>
      <c r="E157" s="21" t="s">
        <v>185</v>
      </c>
      <c r="F157" s="21"/>
      <c r="G157" s="27">
        <f t="shared" si="11"/>
        <v>0</v>
      </c>
      <c r="H157" s="221"/>
    </row>
    <row r="158" spans="1:8" ht="31.5" hidden="1" x14ac:dyDescent="0.25">
      <c r="A158" s="26" t="s">
        <v>283</v>
      </c>
      <c r="B158" s="17">
        <v>902</v>
      </c>
      <c r="C158" s="21" t="s">
        <v>276</v>
      </c>
      <c r="D158" s="21" t="s">
        <v>282</v>
      </c>
      <c r="E158" s="21" t="s">
        <v>284</v>
      </c>
      <c r="F158" s="21"/>
      <c r="G158" s="27">
        <f t="shared" si="11"/>
        <v>0</v>
      </c>
      <c r="H158" s="221"/>
    </row>
    <row r="159" spans="1:8" ht="47.25" hidden="1" x14ac:dyDescent="0.25">
      <c r="A159" s="26" t="s">
        <v>261</v>
      </c>
      <c r="B159" s="17">
        <v>902</v>
      </c>
      <c r="C159" s="21" t="s">
        <v>276</v>
      </c>
      <c r="D159" s="21" t="s">
        <v>282</v>
      </c>
      <c r="E159" s="21" t="s">
        <v>284</v>
      </c>
      <c r="F159" s="21" t="s">
        <v>195</v>
      </c>
      <c r="G159" s="27">
        <f t="shared" si="11"/>
        <v>0</v>
      </c>
      <c r="H159" s="221"/>
    </row>
    <row r="160" spans="1:8" ht="47.25" hidden="1" x14ac:dyDescent="0.25">
      <c r="A160" s="26" t="s">
        <v>196</v>
      </c>
      <c r="B160" s="17">
        <v>902</v>
      </c>
      <c r="C160" s="21" t="s">
        <v>276</v>
      </c>
      <c r="D160" s="21" t="s">
        <v>282</v>
      </c>
      <c r="E160" s="21" t="s">
        <v>284</v>
      </c>
      <c r="F160" s="21" t="s">
        <v>197</v>
      </c>
      <c r="G160" s="27">
        <v>0</v>
      </c>
      <c r="H160" s="221"/>
    </row>
    <row r="161" spans="1:14" ht="31.5" x14ac:dyDescent="0.25">
      <c r="A161" s="24" t="s">
        <v>285</v>
      </c>
      <c r="B161" s="20">
        <v>902</v>
      </c>
      <c r="C161" s="25" t="s">
        <v>278</v>
      </c>
      <c r="D161" s="25"/>
      <c r="E161" s="25"/>
      <c r="F161" s="25"/>
      <c r="G161" s="22">
        <f>G162</f>
        <v>5864.8</v>
      </c>
      <c r="H161" s="221"/>
    </row>
    <row r="162" spans="1:14" ht="63" x14ac:dyDescent="0.25">
      <c r="A162" s="24" t="s">
        <v>286</v>
      </c>
      <c r="B162" s="20">
        <v>902</v>
      </c>
      <c r="C162" s="25" t="s">
        <v>278</v>
      </c>
      <c r="D162" s="25" t="s">
        <v>282</v>
      </c>
      <c r="E162" s="21"/>
      <c r="F162" s="21"/>
      <c r="G162" s="22">
        <f>G163</f>
        <v>5864.8</v>
      </c>
      <c r="H162" s="221"/>
    </row>
    <row r="163" spans="1:14" ht="15.75" x14ac:dyDescent="0.25">
      <c r="A163" s="26" t="s">
        <v>184</v>
      </c>
      <c r="B163" s="17">
        <v>902</v>
      </c>
      <c r="C163" s="21" t="s">
        <v>278</v>
      </c>
      <c r="D163" s="21" t="s">
        <v>282</v>
      </c>
      <c r="E163" s="21" t="s">
        <v>185</v>
      </c>
      <c r="F163" s="21"/>
      <c r="G163" s="27">
        <f>G164</f>
        <v>5864.8</v>
      </c>
      <c r="H163" s="221"/>
    </row>
    <row r="164" spans="1:14" ht="15.75" x14ac:dyDescent="0.25">
      <c r="A164" s="26" t="s">
        <v>204</v>
      </c>
      <c r="B164" s="17">
        <v>902</v>
      </c>
      <c r="C164" s="21" t="s">
        <v>278</v>
      </c>
      <c r="D164" s="21" t="s">
        <v>282</v>
      </c>
      <c r="E164" s="21" t="s">
        <v>205</v>
      </c>
      <c r="F164" s="21"/>
      <c r="G164" s="27">
        <f>G165+G171+G176</f>
        <v>5864.8</v>
      </c>
      <c r="H164" s="221"/>
    </row>
    <row r="165" spans="1:14" ht="47.25" x14ac:dyDescent="0.25">
      <c r="A165" s="26" t="s">
        <v>287</v>
      </c>
      <c r="B165" s="17">
        <v>902</v>
      </c>
      <c r="C165" s="21" t="s">
        <v>278</v>
      </c>
      <c r="D165" s="21" t="s">
        <v>282</v>
      </c>
      <c r="E165" s="21" t="s">
        <v>288</v>
      </c>
      <c r="F165" s="21"/>
      <c r="G165" s="27">
        <f>G166</f>
        <v>617.30000000000007</v>
      </c>
      <c r="H165" s="221"/>
    </row>
    <row r="166" spans="1:14" ht="47.25" x14ac:dyDescent="0.25">
      <c r="A166" s="26" t="s">
        <v>261</v>
      </c>
      <c r="B166" s="17">
        <v>902</v>
      </c>
      <c r="C166" s="21" t="s">
        <v>278</v>
      </c>
      <c r="D166" s="21" t="s">
        <v>282</v>
      </c>
      <c r="E166" s="21" t="s">
        <v>288</v>
      </c>
      <c r="F166" s="21" t="s">
        <v>195</v>
      </c>
      <c r="G166" s="27">
        <f>G167</f>
        <v>617.30000000000007</v>
      </c>
      <c r="H166" s="221"/>
    </row>
    <row r="167" spans="1:14" ht="47.25" x14ac:dyDescent="0.25">
      <c r="A167" s="26" t="s">
        <v>196</v>
      </c>
      <c r="B167" s="17">
        <v>902</v>
      </c>
      <c r="C167" s="21" t="s">
        <v>278</v>
      </c>
      <c r="D167" s="21" t="s">
        <v>282</v>
      </c>
      <c r="E167" s="21" t="s">
        <v>288</v>
      </c>
      <c r="F167" s="21" t="s">
        <v>197</v>
      </c>
      <c r="G167" s="260">
        <f>1908.4+354-98.3-100-1620.1+600-398.3-28.4</f>
        <v>617.30000000000007</v>
      </c>
      <c r="H167" s="132" t="s">
        <v>1016</v>
      </c>
      <c r="I167" s="153"/>
      <c r="J167" s="134"/>
      <c r="K167" s="253"/>
      <c r="L167" s="231"/>
      <c r="M167" s="231"/>
      <c r="N167" s="231"/>
    </row>
    <row r="168" spans="1:14" ht="15.75" hidden="1" x14ac:dyDescent="0.25">
      <c r="A168" s="26" t="s">
        <v>289</v>
      </c>
      <c r="B168" s="17">
        <v>902</v>
      </c>
      <c r="C168" s="21" t="s">
        <v>278</v>
      </c>
      <c r="D168" s="21" t="s">
        <v>282</v>
      </c>
      <c r="E168" s="21" t="s">
        <v>290</v>
      </c>
      <c r="F168" s="21"/>
      <c r="G168" s="27">
        <f>G169</f>
        <v>0</v>
      </c>
      <c r="H168" s="221"/>
    </row>
    <row r="169" spans="1:14" ht="47.25" hidden="1" x14ac:dyDescent="0.25">
      <c r="A169" s="26" t="s">
        <v>261</v>
      </c>
      <c r="B169" s="17">
        <v>902</v>
      </c>
      <c r="C169" s="21" t="s">
        <v>278</v>
      </c>
      <c r="D169" s="21" t="s">
        <v>282</v>
      </c>
      <c r="E169" s="21" t="s">
        <v>290</v>
      </c>
      <c r="F169" s="21" t="s">
        <v>195</v>
      </c>
      <c r="G169" s="27">
        <f>G170</f>
        <v>0</v>
      </c>
      <c r="H169" s="221"/>
    </row>
    <row r="170" spans="1:14" ht="47.25" hidden="1" x14ac:dyDescent="0.25">
      <c r="A170" s="26" t="s">
        <v>196</v>
      </c>
      <c r="B170" s="17">
        <v>902</v>
      </c>
      <c r="C170" s="21" t="s">
        <v>278</v>
      </c>
      <c r="D170" s="21" t="s">
        <v>282</v>
      </c>
      <c r="E170" s="21" t="s">
        <v>290</v>
      </c>
      <c r="F170" s="21" t="s">
        <v>197</v>
      </c>
      <c r="G170" s="27">
        <v>0</v>
      </c>
      <c r="H170" s="221"/>
    </row>
    <row r="171" spans="1:14" ht="31.5" x14ac:dyDescent="0.25">
      <c r="A171" s="26" t="s">
        <v>291</v>
      </c>
      <c r="B171" s="17">
        <v>902</v>
      </c>
      <c r="C171" s="21" t="s">
        <v>278</v>
      </c>
      <c r="D171" s="21" t="s">
        <v>282</v>
      </c>
      <c r="E171" s="21" t="s">
        <v>292</v>
      </c>
      <c r="F171" s="21"/>
      <c r="G171" s="27">
        <f>G172+G174</f>
        <v>5247.5</v>
      </c>
      <c r="H171" s="221"/>
    </row>
    <row r="172" spans="1:14" ht="94.5" x14ac:dyDescent="0.25">
      <c r="A172" s="26" t="s">
        <v>190</v>
      </c>
      <c r="B172" s="17">
        <v>902</v>
      </c>
      <c r="C172" s="21" t="s">
        <v>278</v>
      </c>
      <c r="D172" s="21" t="s">
        <v>282</v>
      </c>
      <c r="E172" s="21" t="s">
        <v>292</v>
      </c>
      <c r="F172" s="21" t="s">
        <v>191</v>
      </c>
      <c r="G172" s="27">
        <f>G173</f>
        <v>4942.8</v>
      </c>
      <c r="H172" s="221"/>
    </row>
    <row r="173" spans="1:14" ht="31.5" x14ac:dyDescent="0.25">
      <c r="A173" s="26" t="s">
        <v>271</v>
      </c>
      <c r="B173" s="17">
        <v>902</v>
      </c>
      <c r="C173" s="21" t="s">
        <v>278</v>
      </c>
      <c r="D173" s="21" t="s">
        <v>282</v>
      </c>
      <c r="E173" s="21" t="s">
        <v>292</v>
      </c>
      <c r="F173" s="21" t="s">
        <v>272</v>
      </c>
      <c r="G173" s="28">
        <f>4586.3+106-0.1+10.6+189.2+50.8</f>
        <v>4942.8</v>
      </c>
      <c r="H173" s="221" t="s">
        <v>993</v>
      </c>
    </row>
    <row r="174" spans="1:14" ht="47.25" x14ac:dyDescent="0.25">
      <c r="A174" s="26" t="s">
        <v>261</v>
      </c>
      <c r="B174" s="17">
        <v>902</v>
      </c>
      <c r="C174" s="21" t="s">
        <v>278</v>
      </c>
      <c r="D174" s="21" t="s">
        <v>282</v>
      </c>
      <c r="E174" s="21" t="s">
        <v>292</v>
      </c>
      <c r="F174" s="21" t="s">
        <v>195</v>
      </c>
      <c r="G174" s="27">
        <f>G175</f>
        <v>304.7</v>
      </c>
      <c r="H174" s="221"/>
    </row>
    <row r="175" spans="1:14" ht="47.25" x14ac:dyDescent="0.25">
      <c r="A175" s="26" t="s">
        <v>196</v>
      </c>
      <c r="B175" s="17">
        <v>902</v>
      </c>
      <c r="C175" s="21" t="s">
        <v>278</v>
      </c>
      <c r="D175" s="21" t="s">
        <v>282</v>
      </c>
      <c r="E175" s="21" t="s">
        <v>292</v>
      </c>
      <c r="F175" s="21" t="s">
        <v>197</v>
      </c>
      <c r="G175" s="28">
        <f>204.7+100</f>
        <v>304.7</v>
      </c>
      <c r="H175" s="193"/>
    </row>
    <row r="176" spans="1:14" ht="15.75" hidden="1" x14ac:dyDescent="0.25">
      <c r="A176" s="26" t="s">
        <v>293</v>
      </c>
      <c r="B176" s="17">
        <v>902</v>
      </c>
      <c r="C176" s="21" t="s">
        <v>278</v>
      </c>
      <c r="D176" s="21" t="s">
        <v>282</v>
      </c>
      <c r="E176" s="21" t="s">
        <v>294</v>
      </c>
      <c r="F176" s="21"/>
      <c r="G176" s="28">
        <f t="shared" ref="G176:G177" si="12">G177</f>
        <v>0</v>
      </c>
      <c r="H176" s="221"/>
    </row>
    <row r="177" spans="1:9" ht="47.25" hidden="1" x14ac:dyDescent="0.25">
      <c r="A177" s="26" t="s">
        <v>261</v>
      </c>
      <c r="B177" s="17">
        <v>902</v>
      </c>
      <c r="C177" s="21" t="s">
        <v>278</v>
      </c>
      <c r="D177" s="21" t="s">
        <v>282</v>
      </c>
      <c r="E177" s="21" t="s">
        <v>294</v>
      </c>
      <c r="F177" s="21" t="s">
        <v>195</v>
      </c>
      <c r="G177" s="28">
        <f t="shared" si="12"/>
        <v>0</v>
      </c>
      <c r="H177" s="221"/>
    </row>
    <row r="178" spans="1:9" ht="47.25" hidden="1" x14ac:dyDescent="0.25">
      <c r="A178" s="26" t="s">
        <v>196</v>
      </c>
      <c r="B178" s="17">
        <v>902</v>
      </c>
      <c r="C178" s="21" t="s">
        <v>278</v>
      </c>
      <c r="D178" s="21" t="s">
        <v>282</v>
      </c>
      <c r="E178" s="21" t="s">
        <v>294</v>
      </c>
      <c r="F178" s="21" t="s">
        <v>197</v>
      </c>
      <c r="G178" s="28">
        <f>98.3-98.3</f>
        <v>0</v>
      </c>
      <c r="H178" s="132" t="s">
        <v>934</v>
      </c>
      <c r="I178" s="152"/>
    </row>
    <row r="179" spans="1:9" ht="15.75" x14ac:dyDescent="0.25">
      <c r="A179" s="24" t="s">
        <v>295</v>
      </c>
      <c r="B179" s="20">
        <v>902</v>
      </c>
      <c r="C179" s="25" t="s">
        <v>213</v>
      </c>
      <c r="D179" s="25"/>
      <c r="E179" s="25"/>
      <c r="F179" s="21"/>
      <c r="G179" s="22">
        <f t="shared" ref="G179" si="13">G186+G180</f>
        <v>1659.6999999999998</v>
      </c>
      <c r="H179" s="221"/>
    </row>
    <row r="180" spans="1:9" ht="15.75" x14ac:dyDescent="0.25">
      <c r="A180" s="24" t="s">
        <v>296</v>
      </c>
      <c r="B180" s="20">
        <v>902</v>
      </c>
      <c r="C180" s="25" t="s">
        <v>213</v>
      </c>
      <c r="D180" s="25" t="s">
        <v>297</v>
      </c>
      <c r="E180" s="25"/>
      <c r="F180" s="21"/>
      <c r="G180" s="22">
        <f>G181</f>
        <v>450</v>
      </c>
      <c r="H180" s="221"/>
    </row>
    <row r="181" spans="1:9" ht="15.75" x14ac:dyDescent="0.25">
      <c r="A181" s="26" t="s">
        <v>184</v>
      </c>
      <c r="B181" s="17">
        <v>902</v>
      </c>
      <c r="C181" s="21" t="s">
        <v>213</v>
      </c>
      <c r="D181" s="21" t="s">
        <v>297</v>
      </c>
      <c r="E181" s="21" t="s">
        <v>185</v>
      </c>
      <c r="F181" s="21"/>
      <c r="G181" s="27">
        <f t="shared" ref="G181:G183" si="14">G182</f>
        <v>450</v>
      </c>
      <c r="H181" s="221"/>
    </row>
    <row r="182" spans="1:9" ht="31.5" x14ac:dyDescent="0.25">
      <c r="A182" s="26" t="s">
        <v>248</v>
      </c>
      <c r="B182" s="17">
        <v>902</v>
      </c>
      <c r="C182" s="21" t="s">
        <v>213</v>
      </c>
      <c r="D182" s="21" t="s">
        <v>297</v>
      </c>
      <c r="E182" s="21" t="s">
        <v>249</v>
      </c>
      <c r="F182" s="21"/>
      <c r="G182" s="27">
        <f>G183</f>
        <v>450</v>
      </c>
      <c r="H182" s="221"/>
    </row>
    <row r="183" spans="1:9" ht="31.5" x14ac:dyDescent="0.25">
      <c r="A183" s="26" t="s">
        <v>298</v>
      </c>
      <c r="B183" s="17">
        <v>902</v>
      </c>
      <c r="C183" s="21" t="s">
        <v>213</v>
      </c>
      <c r="D183" s="21" t="s">
        <v>297</v>
      </c>
      <c r="E183" s="21" t="s">
        <v>299</v>
      </c>
      <c r="F183" s="21"/>
      <c r="G183" s="27">
        <f t="shared" si="14"/>
        <v>450</v>
      </c>
      <c r="H183" s="221"/>
    </row>
    <row r="184" spans="1:9" ht="15.75" x14ac:dyDescent="0.25">
      <c r="A184" s="26" t="s">
        <v>198</v>
      </c>
      <c r="B184" s="17">
        <v>902</v>
      </c>
      <c r="C184" s="21" t="s">
        <v>213</v>
      </c>
      <c r="D184" s="21" t="s">
        <v>297</v>
      </c>
      <c r="E184" s="21" t="s">
        <v>299</v>
      </c>
      <c r="F184" s="21" t="s">
        <v>208</v>
      </c>
      <c r="G184" s="27">
        <f>G185</f>
        <v>450</v>
      </c>
      <c r="H184" s="221"/>
    </row>
    <row r="185" spans="1:9" ht="63" x14ac:dyDescent="0.25">
      <c r="A185" s="26" t="s">
        <v>247</v>
      </c>
      <c r="B185" s="17">
        <v>902</v>
      </c>
      <c r="C185" s="21" t="s">
        <v>213</v>
      </c>
      <c r="D185" s="21" t="s">
        <v>297</v>
      </c>
      <c r="E185" s="21" t="s">
        <v>299</v>
      </c>
      <c r="F185" s="21" t="s">
        <v>223</v>
      </c>
      <c r="G185" s="27">
        <f>310+140</f>
        <v>450</v>
      </c>
      <c r="H185" s="193"/>
      <c r="I185" s="141"/>
    </row>
    <row r="186" spans="1:9" ht="31.5" x14ac:dyDescent="0.25">
      <c r="A186" s="24" t="s">
        <v>300</v>
      </c>
      <c r="B186" s="20">
        <v>902</v>
      </c>
      <c r="C186" s="25" t="s">
        <v>213</v>
      </c>
      <c r="D186" s="25" t="s">
        <v>301</v>
      </c>
      <c r="E186" s="25"/>
      <c r="F186" s="25"/>
      <c r="G186" s="22">
        <f>G187</f>
        <v>1209.6999999999998</v>
      </c>
      <c r="H186" s="221"/>
    </row>
    <row r="187" spans="1:9" ht="15.75" x14ac:dyDescent="0.25">
      <c r="A187" s="26" t="s">
        <v>184</v>
      </c>
      <c r="B187" s="17">
        <v>902</v>
      </c>
      <c r="C187" s="21" t="s">
        <v>213</v>
      </c>
      <c r="D187" s="21" t="s">
        <v>301</v>
      </c>
      <c r="E187" s="21" t="s">
        <v>185</v>
      </c>
      <c r="F187" s="25"/>
      <c r="G187" s="27">
        <f>G188</f>
        <v>1209.6999999999998</v>
      </c>
      <c r="H187" s="221"/>
    </row>
    <row r="188" spans="1:9" ht="31.5" x14ac:dyDescent="0.25">
      <c r="A188" s="26" t="s">
        <v>248</v>
      </c>
      <c r="B188" s="17">
        <v>902</v>
      </c>
      <c r="C188" s="21" t="s">
        <v>213</v>
      </c>
      <c r="D188" s="21" t="s">
        <v>301</v>
      </c>
      <c r="E188" s="21" t="s">
        <v>249</v>
      </c>
      <c r="F188" s="25"/>
      <c r="G188" s="27">
        <f>G192+G189</f>
        <v>1209.6999999999998</v>
      </c>
      <c r="H188" s="221"/>
    </row>
    <row r="189" spans="1:9" ht="31.5" x14ac:dyDescent="0.25">
      <c r="A189" s="26" t="s">
        <v>302</v>
      </c>
      <c r="B189" s="17">
        <v>902</v>
      </c>
      <c r="C189" s="21" t="s">
        <v>213</v>
      </c>
      <c r="D189" s="21" t="s">
        <v>301</v>
      </c>
      <c r="E189" s="21" t="s">
        <v>303</v>
      </c>
      <c r="F189" s="25"/>
      <c r="G189" s="27">
        <f t="shared" ref="G189:G190" si="15">G190</f>
        <v>90</v>
      </c>
      <c r="H189" s="221"/>
    </row>
    <row r="190" spans="1:9" ht="15.75" x14ac:dyDescent="0.25">
      <c r="A190" s="26" t="s">
        <v>198</v>
      </c>
      <c r="B190" s="17">
        <v>902</v>
      </c>
      <c r="C190" s="21" t="s">
        <v>213</v>
      </c>
      <c r="D190" s="21" t="s">
        <v>301</v>
      </c>
      <c r="E190" s="21" t="s">
        <v>303</v>
      </c>
      <c r="F190" s="21" t="s">
        <v>208</v>
      </c>
      <c r="G190" s="27">
        <f t="shared" si="15"/>
        <v>90</v>
      </c>
      <c r="H190" s="221"/>
    </row>
    <row r="191" spans="1:9" ht="63" x14ac:dyDescent="0.25">
      <c r="A191" s="26" t="s">
        <v>247</v>
      </c>
      <c r="B191" s="17">
        <v>902</v>
      </c>
      <c r="C191" s="21" t="s">
        <v>213</v>
      </c>
      <c r="D191" s="21" t="s">
        <v>301</v>
      </c>
      <c r="E191" s="21" t="s">
        <v>303</v>
      </c>
      <c r="F191" s="21" t="s">
        <v>223</v>
      </c>
      <c r="G191" s="27">
        <v>90</v>
      </c>
      <c r="H191" s="193"/>
    </row>
    <row r="192" spans="1:9" ht="63" x14ac:dyDescent="0.25">
      <c r="A192" s="33" t="s">
        <v>304</v>
      </c>
      <c r="B192" s="17">
        <v>902</v>
      </c>
      <c r="C192" s="21" t="s">
        <v>213</v>
      </c>
      <c r="D192" s="21" t="s">
        <v>301</v>
      </c>
      <c r="E192" s="21" t="s">
        <v>305</v>
      </c>
      <c r="F192" s="21"/>
      <c r="G192" s="27">
        <f>G193+G195</f>
        <v>1119.6999999999998</v>
      </c>
      <c r="H192" s="221"/>
    </row>
    <row r="193" spans="1:9" ht="94.5" x14ac:dyDescent="0.25">
      <c r="A193" s="26" t="s">
        <v>190</v>
      </c>
      <c r="B193" s="17">
        <v>902</v>
      </c>
      <c r="C193" s="21" t="s">
        <v>213</v>
      </c>
      <c r="D193" s="21" t="s">
        <v>301</v>
      </c>
      <c r="E193" s="21" t="s">
        <v>305</v>
      </c>
      <c r="F193" s="21" t="s">
        <v>191</v>
      </c>
      <c r="G193" s="27">
        <f>G194</f>
        <v>1044.3999999999999</v>
      </c>
      <c r="H193" s="221"/>
    </row>
    <row r="194" spans="1:9" ht="31.5" x14ac:dyDescent="0.25">
      <c r="A194" s="26" t="s">
        <v>192</v>
      </c>
      <c r="B194" s="17">
        <v>902</v>
      </c>
      <c r="C194" s="21" t="s">
        <v>213</v>
      </c>
      <c r="D194" s="21" t="s">
        <v>301</v>
      </c>
      <c r="E194" s="21" t="s">
        <v>305</v>
      </c>
      <c r="F194" s="21" t="s">
        <v>193</v>
      </c>
      <c r="G194" s="27">
        <f>1302-123.4-62.2-72</f>
        <v>1044.3999999999999</v>
      </c>
      <c r="H194" s="221" t="s">
        <v>954</v>
      </c>
      <c r="I194" s="141"/>
    </row>
    <row r="195" spans="1:9" ht="31.5" x14ac:dyDescent="0.25">
      <c r="A195" s="26" t="s">
        <v>194</v>
      </c>
      <c r="B195" s="17">
        <v>902</v>
      </c>
      <c r="C195" s="21" t="s">
        <v>213</v>
      </c>
      <c r="D195" s="21" t="s">
        <v>301</v>
      </c>
      <c r="E195" s="21" t="s">
        <v>305</v>
      </c>
      <c r="F195" s="21" t="s">
        <v>195</v>
      </c>
      <c r="G195" s="27">
        <f>G196</f>
        <v>75.3</v>
      </c>
      <c r="H195" s="221"/>
    </row>
    <row r="196" spans="1:9" ht="47.25" x14ac:dyDescent="0.25">
      <c r="A196" s="26" t="s">
        <v>196</v>
      </c>
      <c r="B196" s="17">
        <v>902</v>
      </c>
      <c r="C196" s="21" t="s">
        <v>213</v>
      </c>
      <c r="D196" s="21" t="s">
        <v>301</v>
      </c>
      <c r="E196" s="21" t="s">
        <v>305</v>
      </c>
      <c r="F196" s="21" t="s">
        <v>197</v>
      </c>
      <c r="G196" s="27">
        <f>102.8+62.2-89.7</f>
        <v>75.3</v>
      </c>
      <c r="H196" s="221" t="s">
        <v>955</v>
      </c>
    </row>
    <row r="197" spans="1:9" ht="16.5" customHeight="1" x14ac:dyDescent="0.25">
      <c r="A197" s="24" t="s">
        <v>306</v>
      </c>
      <c r="B197" s="20">
        <v>902</v>
      </c>
      <c r="C197" s="25" t="s">
        <v>307</v>
      </c>
      <c r="D197" s="25"/>
      <c r="E197" s="25"/>
      <c r="F197" s="25"/>
      <c r="G197" s="22">
        <f>G198+G205+G215</f>
        <v>12156</v>
      </c>
      <c r="H197" s="221"/>
    </row>
    <row r="198" spans="1:9" ht="15.75" x14ac:dyDescent="0.25">
      <c r="A198" s="24" t="s">
        <v>308</v>
      </c>
      <c r="B198" s="20">
        <v>902</v>
      </c>
      <c r="C198" s="25" t="s">
        <v>307</v>
      </c>
      <c r="D198" s="25" t="s">
        <v>181</v>
      </c>
      <c r="E198" s="25"/>
      <c r="F198" s="25"/>
      <c r="G198" s="22">
        <f>G199</f>
        <v>9066.5</v>
      </c>
      <c r="H198" s="221"/>
    </row>
    <row r="199" spans="1:9" ht="15.75" x14ac:dyDescent="0.25">
      <c r="A199" s="26" t="s">
        <v>184</v>
      </c>
      <c r="B199" s="17">
        <v>902</v>
      </c>
      <c r="C199" s="21" t="s">
        <v>307</v>
      </c>
      <c r="D199" s="21" t="s">
        <v>181</v>
      </c>
      <c r="E199" s="21" t="s">
        <v>185</v>
      </c>
      <c r="F199" s="21"/>
      <c r="G199" s="27">
        <f t="shared" ref="G199:G201" si="16">G200</f>
        <v>9066.5</v>
      </c>
      <c r="H199" s="221"/>
    </row>
    <row r="200" spans="1:9" ht="15.75" x14ac:dyDescent="0.25">
      <c r="A200" s="26" t="s">
        <v>204</v>
      </c>
      <c r="B200" s="17">
        <v>902</v>
      </c>
      <c r="C200" s="21" t="s">
        <v>307</v>
      </c>
      <c r="D200" s="21" t="s">
        <v>181</v>
      </c>
      <c r="E200" s="21" t="s">
        <v>205</v>
      </c>
      <c r="F200" s="21"/>
      <c r="G200" s="27">
        <f>G201</f>
        <v>9066.5</v>
      </c>
      <c r="H200" s="221"/>
    </row>
    <row r="201" spans="1:9" ht="15.75" x14ac:dyDescent="0.25">
      <c r="A201" s="26" t="s">
        <v>309</v>
      </c>
      <c r="B201" s="17">
        <v>902</v>
      </c>
      <c r="C201" s="21" t="s">
        <v>307</v>
      </c>
      <c r="D201" s="21" t="s">
        <v>181</v>
      </c>
      <c r="E201" s="21" t="s">
        <v>310</v>
      </c>
      <c r="F201" s="21"/>
      <c r="G201" s="27">
        <f t="shared" si="16"/>
        <v>9066.5</v>
      </c>
      <c r="H201" s="221"/>
    </row>
    <row r="202" spans="1:9" ht="31.5" x14ac:dyDescent="0.25">
      <c r="A202" s="26" t="s">
        <v>311</v>
      </c>
      <c r="B202" s="17">
        <v>902</v>
      </c>
      <c r="C202" s="21" t="s">
        <v>307</v>
      </c>
      <c r="D202" s="21" t="s">
        <v>181</v>
      </c>
      <c r="E202" s="21" t="s">
        <v>310</v>
      </c>
      <c r="F202" s="21" t="s">
        <v>312</v>
      </c>
      <c r="G202" s="27">
        <f>G204+G203</f>
        <v>9066.5</v>
      </c>
      <c r="H202" s="221"/>
    </row>
    <row r="203" spans="1:9" ht="35.25" customHeight="1" x14ac:dyDescent="0.25">
      <c r="A203" s="26" t="s">
        <v>411</v>
      </c>
      <c r="B203" s="17">
        <v>902</v>
      </c>
      <c r="C203" s="21" t="s">
        <v>307</v>
      </c>
      <c r="D203" s="21" t="s">
        <v>181</v>
      </c>
      <c r="E203" s="21" t="s">
        <v>310</v>
      </c>
      <c r="F203" s="21" t="s">
        <v>412</v>
      </c>
      <c r="G203" s="27">
        <f>9066.4+0.1</f>
        <v>9066.5</v>
      </c>
      <c r="H203" s="221"/>
    </row>
    <row r="204" spans="1:9" ht="31.5" x14ac:dyDescent="0.25">
      <c r="A204" s="26" t="s">
        <v>313</v>
      </c>
      <c r="B204" s="17">
        <v>902</v>
      </c>
      <c r="C204" s="21" t="s">
        <v>307</v>
      </c>
      <c r="D204" s="21" t="s">
        <v>181</v>
      </c>
      <c r="E204" s="21" t="s">
        <v>310</v>
      </c>
      <c r="F204" s="21" t="s">
        <v>314</v>
      </c>
      <c r="G204" s="28">
        <f>9066.4-9066.4</f>
        <v>0</v>
      </c>
      <c r="H204" s="221"/>
    </row>
    <row r="205" spans="1:9" ht="15.75" x14ac:dyDescent="0.25">
      <c r="A205" s="24" t="s">
        <v>315</v>
      </c>
      <c r="B205" s="20">
        <v>902</v>
      </c>
      <c r="C205" s="25" t="s">
        <v>307</v>
      </c>
      <c r="D205" s="25" t="s">
        <v>278</v>
      </c>
      <c r="E205" s="21"/>
      <c r="F205" s="21"/>
      <c r="G205" s="22">
        <f>G206+G210</f>
        <v>10</v>
      </c>
      <c r="H205" s="221"/>
    </row>
    <row r="206" spans="1:9" ht="78.75" x14ac:dyDescent="0.25">
      <c r="A206" s="26" t="s">
        <v>316</v>
      </c>
      <c r="B206" s="17">
        <v>902</v>
      </c>
      <c r="C206" s="21" t="s">
        <v>307</v>
      </c>
      <c r="D206" s="21" t="s">
        <v>278</v>
      </c>
      <c r="E206" s="21" t="s">
        <v>317</v>
      </c>
      <c r="F206" s="21"/>
      <c r="G206" s="27">
        <f>G207</f>
        <v>10</v>
      </c>
      <c r="H206" s="221"/>
    </row>
    <row r="207" spans="1:9" ht="31.5" x14ac:dyDescent="0.25">
      <c r="A207" s="26" t="s">
        <v>220</v>
      </c>
      <c r="B207" s="17">
        <v>902</v>
      </c>
      <c r="C207" s="21" t="s">
        <v>307</v>
      </c>
      <c r="D207" s="21" t="s">
        <v>278</v>
      </c>
      <c r="E207" s="21" t="s">
        <v>318</v>
      </c>
      <c r="F207" s="21"/>
      <c r="G207" s="27">
        <f>G208</f>
        <v>10</v>
      </c>
      <c r="H207" s="221"/>
    </row>
    <row r="208" spans="1:9" ht="31.5" x14ac:dyDescent="0.25">
      <c r="A208" s="26" t="s">
        <v>311</v>
      </c>
      <c r="B208" s="17">
        <v>902</v>
      </c>
      <c r="C208" s="21" t="s">
        <v>307</v>
      </c>
      <c r="D208" s="21" t="s">
        <v>278</v>
      </c>
      <c r="E208" s="21" t="s">
        <v>318</v>
      </c>
      <c r="F208" s="21" t="s">
        <v>312</v>
      </c>
      <c r="G208" s="27">
        <f>G209</f>
        <v>10</v>
      </c>
      <c r="H208" s="221"/>
    </row>
    <row r="209" spans="1:12" ht="31.5" x14ac:dyDescent="0.25">
      <c r="A209" s="26" t="s">
        <v>313</v>
      </c>
      <c r="B209" s="17">
        <v>902</v>
      </c>
      <c r="C209" s="21" t="s">
        <v>307</v>
      </c>
      <c r="D209" s="21" t="s">
        <v>278</v>
      </c>
      <c r="E209" s="21" t="s">
        <v>318</v>
      </c>
      <c r="F209" s="21" t="s">
        <v>314</v>
      </c>
      <c r="G209" s="27">
        <v>10</v>
      </c>
      <c r="H209" s="221"/>
    </row>
    <row r="210" spans="1:12" ht="15.75" hidden="1" x14ac:dyDescent="0.25">
      <c r="A210" s="26" t="s">
        <v>184</v>
      </c>
      <c r="B210" s="17">
        <v>902</v>
      </c>
      <c r="C210" s="21" t="s">
        <v>307</v>
      </c>
      <c r="D210" s="21" t="s">
        <v>278</v>
      </c>
      <c r="E210" s="21" t="s">
        <v>185</v>
      </c>
      <c r="F210" s="21"/>
      <c r="G210" s="27">
        <f>G211</f>
        <v>0</v>
      </c>
      <c r="H210" s="221"/>
    </row>
    <row r="211" spans="1:12" ht="31.5" hidden="1" x14ac:dyDescent="0.25">
      <c r="A211" s="26" t="s">
        <v>248</v>
      </c>
      <c r="B211" s="17">
        <v>902</v>
      </c>
      <c r="C211" s="21" t="s">
        <v>307</v>
      </c>
      <c r="D211" s="21" t="s">
        <v>278</v>
      </c>
      <c r="E211" s="21" t="s">
        <v>249</v>
      </c>
      <c r="F211" s="21"/>
      <c r="G211" s="27">
        <f>G212</f>
        <v>0</v>
      </c>
      <c r="H211" s="221"/>
    </row>
    <row r="212" spans="1:12" ht="47.25" hidden="1" x14ac:dyDescent="0.25">
      <c r="A212" s="33" t="s">
        <v>319</v>
      </c>
      <c r="B212" s="17">
        <v>902</v>
      </c>
      <c r="C212" s="21" t="s">
        <v>307</v>
      </c>
      <c r="D212" s="21" t="s">
        <v>278</v>
      </c>
      <c r="E212" s="21" t="s">
        <v>320</v>
      </c>
      <c r="F212" s="21"/>
      <c r="G212" s="27">
        <f>G213</f>
        <v>0</v>
      </c>
      <c r="H212" s="221"/>
    </row>
    <row r="213" spans="1:12" ht="31.5" hidden="1" x14ac:dyDescent="0.25">
      <c r="A213" s="26" t="s">
        <v>311</v>
      </c>
      <c r="B213" s="17">
        <v>902</v>
      </c>
      <c r="C213" s="21" t="s">
        <v>307</v>
      </c>
      <c r="D213" s="21" t="s">
        <v>278</v>
      </c>
      <c r="E213" s="21" t="s">
        <v>320</v>
      </c>
      <c r="F213" s="21" t="s">
        <v>312</v>
      </c>
      <c r="G213" s="27">
        <f>G214</f>
        <v>0</v>
      </c>
      <c r="H213" s="221"/>
    </row>
    <row r="214" spans="1:12" ht="31.5" hidden="1" x14ac:dyDescent="0.25">
      <c r="A214" s="26" t="s">
        <v>313</v>
      </c>
      <c r="B214" s="17">
        <v>902</v>
      </c>
      <c r="C214" s="21" t="s">
        <v>307</v>
      </c>
      <c r="D214" s="21" t="s">
        <v>278</v>
      </c>
      <c r="E214" s="21" t="s">
        <v>320</v>
      </c>
      <c r="F214" s="21" t="s">
        <v>314</v>
      </c>
      <c r="G214" s="27">
        <f>6250-6250</f>
        <v>0</v>
      </c>
      <c r="H214" s="132"/>
      <c r="I214" s="141"/>
    </row>
    <row r="215" spans="1:12" ht="31.5" x14ac:dyDescent="0.25">
      <c r="A215" s="24" t="s">
        <v>321</v>
      </c>
      <c r="B215" s="20">
        <v>902</v>
      </c>
      <c r="C215" s="25" t="s">
        <v>307</v>
      </c>
      <c r="D215" s="25" t="s">
        <v>183</v>
      </c>
      <c r="E215" s="25"/>
      <c r="F215" s="25"/>
      <c r="G215" s="22">
        <f>G216</f>
        <v>3079.5000000000005</v>
      </c>
      <c r="H215" s="221"/>
    </row>
    <row r="216" spans="1:12" ht="15.75" x14ac:dyDescent="0.25">
      <c r="A216" s="26" t="s">
        <v>184</v>
      </c>
      <c r="B216" s="17">
        <v>902</v>
      </c>
      <c r="C216" s="21" t="s">
        <v>307</v>
      </c>
      <c r="D216" s="21" t="s">
        <v>183</v>
      </c>
      <c r="E216" s="21" t="s">
        <v>185</v>
      </c>
      <c r="F216" s="25"/>
      <c r="G216" s="27">
        <f>G217</f>
        <v>3079.5000000000005</v>
      </c>
      <c r="H216" s="221"/>
    </row>
    <row r="217" spans="1:12" ht="31.5" x14ac:dyDescent="0.25">
      <c r="A217" s="26" t="s">
        <v>248</v>
      </c>
      <c r="B217" s="17">
        <v>902</v>
      </c>
      <c r="C217" s="21" t="s">
        <v>307</v>
      </c>
      <c r="D217" s="21" t="s">
        <v>183</v>
      </c>
      <c r="E217" s="21" t="s">
        <v>249</v>
      </c>
      <c r="F217" s="21"/>
      <c r="G217" s="27">
        <f>G218</f>
        <v>3079.5000000000005</v>
      </c>
      <c r="H217" s="221"/>
    </row>
    <row r="218" spans="1:12" ht="47.25" x14ac:dyDescent="0.25">
      <c r="A218" s="33" t="s">
        <v>322</v>
      </c>
      <c r="B218" s="17">
        <v>902</v>
      </c>
      <c r="C218" s="21" t="s">
        <v>307</v>
      </c>
      <c r="D218" s="21" t="s">
        <v>183</v>
      </c>
      <c r="E218" s="21" t="s">
        <v>323</v>
      </c>
      <c r="F218" s="21"/>
      <c r="G218" s="27">
        <f>G219+G221</f>
        <v>3079.5000000000005</v>
      </c>
      <c r="H218" s="221"/>
    </row>
    <row r="219" spans="1:12" ht="94.5" x14ac:dyDescent="0.25">
      <c r="A219" s="26" t="s">
        <v>190</v>
      </c>
      <c r="B219" s="17">
        <v>902</v>
      </c>
      <c r="C219" s="21" t="s">
        <v>307</v>
      </c>
      <c r="D219" s="21" t="s">
        <v>183</v>
      </c>
      <c r="E219" s="21" t="s">
        <v>323</v>
      </c>
      <c r="F219" s="21" t="s">
        <v>191</v>
      </c>
      <c r="G219" s="27">
        <f>G220</f>
        <v>2868.7000000000003</v>
      </c>
      <c r="H219" s="221"/>
    </row>
    <row r="220" spans="1:12" ht="31.5" x14ac:dyDescent="0.25">
      <c r="A220" s="26" t="s">
        <v>192</v>
      </c>
      <c r="B220" s="17">
        <v>902</v>
      </c>
      <c r="C220" s="21" t="s">
        <v>307</v>
      </c>
      <c r="D220" s="21" t="s">
        <v>183</v>
      </c>
      <c r="E220" s="21" t="s">
        <v>323</v>
      </c>
      <c r="F220" s="21" t="s">
        <v>193</v>
      </c>
      <c r="G220" s="28">
        <f>2826.8+14.8+42.5-42.5+27.1</f>
        <v>2868.7000000000003</v>
      </c>
      <c r="H220" s="132" t="s">
        <v>1022</v>
      </c>
      <c r="J220" s="134"/>
    </row>
    <row r="221" spans="1:12" ht="31.5" x14ac:dyDescent="0.25">
      <c r="A221" s="26" t="s">
        <v>194</v>
      </c>
      <c r="B221" s="17">
        <v>902</v>
      </c>
      <c r="C221" s="21" t="s">
        <v>307</v>
      </c>
      <c r="D221" s="21" t="s">
        <v>183</v>
      </c>
      <c r="E221" s="21" t="s">
        <v>323</v>
      </c>
      <c r="F221" s="21" t="s">
        <v>195</v>
      </c>
      <c r="G221" s="27">
        <f>G222</f>
        <v>210.79999999999998</v>
      </c>
      <c r="H221" s="221"/>
    </row>
    <row r="222" spans="1:12" ht="47.25" x14ac:dyDescent="0.25">
      <c r="A222" s="26" t="s">
        <v>196</v>
      </c>
      <c r="B222" s="17">
        <v>902</v>
      </c>
      <c r="C222" s="21" t="s">
        <v>307</v>
      </c>
      <c r="D222" s="21" t="s">
        <v>183</v>
      </c>
      <c r="E222" s="21" t="s">
        <v>323</v>
      </c>
      <c r="F222" s="21" t="s">
        <v>197</v>
      </c>
      <c r="G222" s="28">
        <f>433.9-112.2-14.8-42.5-26.5-27.1</f>
        <v>210.79999999999998</v>
      </c>
      <c r="H222" s="132" t="s">
        <v>1021</v>
      </c>
      <c r="I222" s="141"/>
      <c r="J222" s="134"/>
    </row>
    <row r="223" spans="1:12" ht="47.25" x14ac:dyDescent="0.25">
      <c r="A223" s="20" t="s">
        <v>324</v>
      </c>
      <c r="B223" s="20">
        <v>903</v>
      </c>
      <c r="C223" s="21"/>
      <c r="D223" s="21"/>
      <c r="E223" s="21"/>
      <c r="F223" s="21"/>
      <c r="G223" s="22">
        <f>G238+G280+G396+G224+G231</f>
        <v>83238.350000000006</v>
      </c>
      <c r="H223" s="221"/>
      <c r="L223" s="142"/>
    </row>
    <row r="224" spans="1:12" ht="15.75" hidden="1" x14ac:dyDescent="0.25">
      <c r="A224" s="24" t="s">
        <v>180</v>
      </c>
      <c r="B224" s="20">
        <v>903</v>
      </c>
      <c r="C224" s="25" t="s">
        <v>181</v>
      </c>
      <c r="D224" s="25"/>
      <c r="E224" s="25"/>
      <c r="F224" s="25"/>
      <c r="G224" s="22">
        <f t="shared" ref="G224:G229" si="17">G225</f>
        <v>0</v>
      </c>
      <c r="H224" s="221"/>
    </row>
    <row r="225" spans="1:8" ht="15.75" hidden="1" x14ac:dyDescent="0.25">
      <c r="A225" s="36" t="s">
        <v>202</v>
      </c>
      <c r="B225" s="20">
        <v>903</v>
      </c>
      <c r="C225" s="25" t="s">
        <v>181</v>
      </c>
      <c r="D225" s="25" t="s">
        <v>203</v>
      </c>
      <c r="E225" s="25"/>
      <c r="F225" s="25"/>
      <c r="G225" s="22">
        <f t="shared" si="17"/>
        <v>0</v>
      </c>
      <c r="H225" s="221"/>
    </row>
    <row r="226" spans="1:8" ht="15.75" hidden="1" x14ac:dyDescent="0.25">
      <c r="A226" s="33" t="s">
        <v>184</v>
      </c>
      <c r="B226" s="17">
        <v>903</v>
      </c>
      <c r="C226" s="21" t="s">
        <v>181</v>
      </c>
      <c r="D226" s="21" t="s">
        <v>203</v>
      </c>
      <c r="E226" s="21" t="s">
        <v>185</v>
      </c>
      <c r="F226" s="21"/>
      <c r="G226" s="27">
        <f t="shared" si="17"/>
        <v>0</v>
      </c>
      <c r="H226" s="221"/>
    </row>
    <row r="227" spans="1:8" ht="15.75" hidden="1" x14ac:dyDescent="0.25">
      <c r="A227" s="33" t="s">
        <v>204</v>
      </c>
      <c r="B227" s="17">
        <v>903</v>
      </c>
      <c r="C227" s="21" t="s">
        <v>181</v>
      </c>
      <c r="D227" s="21" t="s">
        <v>203</v>
      </c>
      <c r="E227" s="21" t="s">
        <v>205</v>
      </c>
      <c r="F227" s="21"/>
      <c r="G227" s="27">
        <f t="shared" si="17"/>
        <v>0</v>
      </c>
      <c r="H227" s="221"/>
    </row>
    <row r="228" spans="1:8" ht="15.75" hidden="1" x14ac:dyDescent="0.25">
      <c r="A228" s="26" t="s">
        <v>242</v>
      </c>
      <c r="B228" s="17">
        <v>903</v>
      </c>
      <c r="C228" s="21" t="s">
        <v>181</v>
      </c>
      <c r="D228" s="21" t="s">
        <v>203</v>
      </c>
      <c r="E228" s="21" t="s">
        <v>325</v>
      </c>
      <c r="F228" s="21"/>
      <c r="G228" s="27">
        <f t="shared" si="17"/>
        <v>0</v>
      </c>
      <c r="H228" s="221"/>
    </row>
    <row r="229" spans="1:8" ht="31.5" hidden="1" x14ac:dyDescent="0.25">
      <c r="A229" s="26" t="s">
        <v>194</v>
      </c>
      <c r="B229" s="17">
        <v>903</v>
      </c>
      <c r="C229" s="21" t="s">
        <v>181</v>
      </c>
      <c r="D229" s="21" t="s">
        <v>203</v>
      </c>
      <c r="E229" s="21" t="s">
        <v>325</v>
      </c>
      <c r="F229" s="21" t="s">
        <v>195</v>
      </c>
      <c r="G229" s="27">
        <f t="shared" si="17"/>
        <v>0</v>
      </c>
      <c r="H229" s="221"/>
    </row>
    <row r="230" spans="1:8" ht="47.25" hidden="1" x14ac:dyDescent="0.25">
      <c r="A230" s="26" t="s">
        <v>196</v>
      </c>
      <c r="B230" s="17">
        <v>903</v>
      </c>
      <c r="C230" s="21" t="s">
        <v>181</v>
      </c>
      <c r="D230" s="21" t="s">
        <v>203</v>
      </c>
      <c r="E230" s="21" t="s">
        <v>325</v>
      </c>
      <c r="F230" s="21" t="s">
        <v>197</v>
      </c>
      <c r="G230" s="27"/>
      <c r="H230" s="221"/>
    </row>
    <row r="231" spans="1:8" ht="15.75" x14ac:dyDescent="0.25">
      <c r="A231" s="24" t="s">
        <v>180</v>
      </c>
      <c r="B231" s="20">
        <v>903</v>
      </c>
      <c r="C231" s="25" t="s">
        <v>181</v>
      </c>
      <c r="D231" s="21"/>
      <c r="E231" s="21"/>
      <c r="F231" s="21"/>
      <c r="G231" s="27">
        <f>G232</f>
        <v>88.7</v>
      </c>
      <c r="H231" s="221"/>
    </row>
    <row r="232" spans="1:8" ht="15.75" x14ac:dyDescent="0.25">
      <c r="A232" s="24" t="s">
        <v>202</v>
      </c>
      <c r="B232" s="20">
        <v>903</v>
      </c>
      <c r="C232" s="25" t="s">
        <v>181</v>
      </c>
      <c r="D232" s="25" t="s">
        <v>203</v>
      </c>
      <c r="E232" s="21"/>
      <c r="F232" s="21"/>
      <c r="G232" s="27">
        <f>G233</f>
        <v>88.7</v>
      </c>
      <c r="H232" s="221"/>
    </row>
    <row r="233" spans="1:8" ht="15.75" x14ac:dyDescent="0.25">
      <c r="A233" s="26" t="s">
        <v>184</v>
      </c>
      <c r="B233" s="17">
        <v>903</v>
      </c>
      <c r="C233" s="21" t="s">
        <v>181</v>
      </c>
      <c r="D233" s="21" t="s">
        <v>203</v>
      </c>
      <c r="E233" s="21" t="s">
        <v>185</v>
      </c>
      <c r="F233" s="21"/>
      <c r="G233" s="27">
        <f>G234</f>
        <v>88.7</v>
      </c>
      <c r="H233" s="221"/>
    </row>
    <row r="234" spans="1:8" ht="31.5" x14ac:dyDescent="0.25">
      <c r="A234" s="26" t="s">
        <v>248</v>
      </c>
      <c r="B234" s="17">
        <v>903</v>
      </c>
      <c r="C234" s="21" t="s">
        <v>181</v>
      </c>
      <c r="D234" s="21" t="s">
        <v>203</v>
      </c>
      <c r="E234" s="21" t="s">
        <v>249</v>
      </c>
      <c r="F234" s="21"/>
      <c r="G234" s="27">
        <f>G235</f>
        <v>88.7</v>
      </c>
      <c r="H234" s="221"/>
    </row>
    <row r="235" spans="1:8" ht="47.25" x14ac:dyDescent="0.25">
      <c r="A235" s="37" t="s">
        <v>881</v>
      </c>
      <c r="B235" s="17">
        <v>903</v>
      </c>
      <c r="C235" s="21" t="s">
        <v>181</v>
      </c>
      <c r="D235" s="21" t="s">
        <v>203</v>
      </c>
      <c r="E235" s="21" t="s">
        <v>880</v>
      </c>
      <c r="F235" s="25"/>
      <c r="G235" s="27">
        <f t="shared" ref="G235:G236" si="18">G236</f>
        <v>88.7</v>
      </c>
      <c r="H235" s="221"/>
    </row>
    <row r="236" spans="1:8" ht="31.5" x14ac:dyDescent="0.25">
      <c r="A236" s="26" t="s">
        <v>194</v>
      </c>
      <c r="B236" s="17">
        <v>903</v>
      </c>
      <c r="C236" s="21" t="s">
        <v>181</v>
      </c>
      <c r="D236" s="21" t="s">
        <v>203</v>
      </c>
      <c r="E236" s="21" t="s">
        <v>880</v>
      </c>
      <c r="F236" s="21" t="s">
        <v>195</v>
      </c>
      <c r="G236" s="27">
        <f t="shared" si="18"/>
        <v>88.7</v>
      </c>
      <c r="H236" s="221"/>
    </row>
    <row r="237" spans="1:8" ht="53.25" customHeight="1" x14ac:dyDescent="0.25">
      <c r="A237" s="26" t="s">
        <v>196</v>
      </c>
      <c r="B237" s="17">
        <v>903</v>
      </c>
      <c r="C237" s="21" t="s">
        <v>181</v>
      </c>
      <c r="D237" s="21" t="s">
        <v>203</v>
      </c>
      <c r="E237" s="21" t="s">
        <v>880</v>
      </c>
      <c r="F237" s="21" t="s">
        <v>197</v>
      </c>
      <c r="G237" s="27">
        <v>88.7</v>
      </c>
      <c r="H237" s="193"/>
    </row>
    <row r="238" spans="1:8" ht="15.75" x14ac:dyDescent="0.25">
      <c r="A238" s="24" t="s">
        <v>326</v>
      </c>
      <c r="B238" s="20">
        <v>903</v>
      </c>
      <c r="C238" s="25" t="s">
        <v>327</v>
      </c>
      <c r="D238" s="21"/>
      <c r="E238" s="21"/>
      <c r="F238" s="21"/>
      <c r="G238" s="22">
        <f t="shared" ref="G238" si="19">G239+G274</f>
        <v>14719.05</v>
      </c>
      <c r="H238" s="221"/>
    </row>
    <row r="239" spans="1:8" ht="15.75" x14ac:dyDescent="0.25">
      <c r="A239" s="24" t="s">
        <v>328</v>
      </c>
      <c r="B239" s="20">
        <v>903</v>
      </c>
      <c r="C239" s="25" t="s">
        <v>327</v>
      </c>
      <c r="D239" s="25" t="s">
        <v>278</v>
      </c>
      <c r="E239" s="25"/>
      <c r="F239" s="25"/>
      <c r="G239" s="22">
        <f>G240+G263</f>
        <v>14719.05</v>
      </c>
      <c r="H239" s="221"/>
    </row>
    <row r="240" spans="1:8" ht="47.25" x14ac:dyDescent="0.25">
      <c r="A240" s="26" t="s">
        <v>329</v>
      </c>
      <c r="B240" s="17">
        <v>903</v>
      </c>
      <c r="C240" s="21" t="s">
        <v>327</v>
      </c>
      <c r="D240" s="21" t="s">
        <v>278</v>
      </c>
      <c r="E240" s="21" t="s">
        <v>330</v>
      </c>
      <c r="F240" s="21"/>
      <c r="G240" s="27">
        <f>G241</f>
        <v>13657.099999999999</v>
      </c>
      <c r="H240" s="221"/>
    </row>
    <row r="241" spans="1:10" ht="63" x14ac:dyDescent="0.25">
      <c r="A241" s="26" t="s">
        <v>331</v>
      </c>
      <c r="B241" s="17">
        <v>903</v>
      </c>
      <c r="C241" s="21" t="s">
        <v>327</v>
      </c>
      <c r="D241" s="21" t="s">
        <v>278</v>
      </c>
      <c r="E241" s="21" t="s">
        <v>332</v>
      </c>
      <c r="F241" s="21"/>
      <c r="G241" s="27">
        <f>G242+G254</f>
        <v>13657.099999999999</v>
      </c>
      <c r="H241" s="221"/>
    </row>
    <row r="242" spans="1:10" ht="47.25" x14ac:dyDescent="0.25">
      <c r="A242" s="26" t="s">
        <v>333</v>
      </c>
      <c r="B242" s="17">
        <v>903</v>
      </c>
      <c r="C242" s="21" t="s">
        <v>327</v>
      </c>
      <c r="D242" s="21" t="s">
        <v>278</v>
      </c>
      <c r="E242" s="21" t="s">
        <v>334</v>
      </c>
      <c r="F242" s="21"/>
      <c r="G242" s="27">
        <f>G243</f>
        <v>13607.099999999999</v>
      </c>
      <c r="H242" s="221"/>
    </row>
    <row r="243" spans="1:10" ht="47.25" x14ac:dyDescent="0.25">
      <c r="A243" s="26" t="s">
        <v>335</v>
      </c>
      <c r="B243" s="17">
        <v>903</v>
      </c>
      <c r="C243" s="21" t="s">
        <v>327</v>
      </c>
      <c r="D243" s="21" t="s">
        <v>278</v>
      </c>
      <c r="E243" s="21" t="s">
        <v>334</v>
      </c>
      <c r="F243" s="21" t="s">
        <v>336</v>
      </c>
      <c r="G243" s="27">
        <f>G244</f>
        <v>13607.099999999999</v>
      </c>
      <c r="H243" s="221"/>
    </row>
    <row r="244" spans="1:10" ht="15.75" x14ac:dyDescent="0.25">
      <c r="A244" s="26" t="s">
        <v>337</v>
      </c>
      <c r="B244" s="17">
        <v>903</v>
      </c>
      <c r="C244" s="21" t="s">
        <v>327</v>
      </c>
      <c r="D244" s="21" t="s">
        <v>278</v>
      </c>
      <c r="E244" s="21" t="s">
        <v>334</v>
      </c>
      <c r="F244" s="21" t="s">
        <v>338</v>
      </c>
      <c r="G244" s="28">
        <f>15572+756.3+67.3-65.9-3000-465.9+460.3+283</f>
        <v>13607.099999999999</v>
      </c>
      <c r="H244" s="132" t="s">
        <v>1027</v>
      </c>
      <c r="I244" s="153"/>
      <c r="J244" s="134"/>
    </row>
    <row r="245" spans="1:10" ht="47.25" hidden="1" x14ac:dyDescent="0.25">
      <c r="A245" s="26" t="s">
        <v>339</v>
      </c>
      <c r="B245" s="17">
        <v>903</v>
      </c>
      <c r="C245" s="21" t="s">
        <v>327</v>
      </c>
      <c r="D245" s="21" t="s">
        <v>278</v>
      </c>
      <c r="E245" s="21" t="s">
        <v>340</v>
      </c>
      <c r="F245" s="21"/>
      <c r="G245" s="27">
        <f t="shared" ref="G245:G246" si="20">G246</f>
        <v>0</v>
      </c>
      <c r="H245" s="221"/>
    </row>
    <row r="246" spans="1:10" ht="47.25" hidden="1" x14ac:dyDescent="0.25">
      <c r="A246" s="26" t="s">
        <v>335</v>
      </c>
      <c r="B246" s="17">
        <v>903</v>
      </c>
      <c r="C246" s="21" t="s">
        <v>327</v>
      </c>
      <c r="D246" s="21" t="s">
        <v>278</v>
      </c>
      <c r="E246" s="21" t="s">
        <v>340</v>
      </c>
      <c r="F246" s="21" t="s">
        <v>336</v>
      </c>
      <c r="G246" s="27">
        <f t="shared" si="20"/>
        <v>0</v>
      </c>
      <c r="H246" s="221"/>
    </row>
    <row r="247" spans="1:10" ht="15.75" hidden="1" x14ac:dyDescent="0.25">
      <c r="A247" s="26" t="s">
        <v>337</v>
      </c>
      <c r="B247" s="17">
        <v>903</v>
      </c>
      <c r="C247" s="21" t="s">
        <v>327</v>
      </c>
      <c r="D247" s="21" t="s">
        <v>278</v>
      </c>
      <c r="E247" s="21" t="s">
        <v>340</v>
      </c>
      <c r="F247" s="21" t="s">
        <v>338</v>
      </c>
      <c r="G247" s="27">
        <v>0</v>
      </c>
      <c r="H247" s="221"/>
    </row>
    <row r="248" spans="1:10" ht="47.25" hidden="1" x14ac:dyDescent="0.25">
      <c r="A248" s="26" t="s">
        <v>341</v>
      </c>
      <c r="B248" s="17">
        <v>903</v>
      </c>
      <c r="C248" s="21" t="s">
        <v>327</v>
      </c>
      <c r="D248" s="21" t="s">
        <v>278</v>
      </c>
      <c r="E248" s="21" t="s">
        <v>342</v>
      </c>
      <c r="F248" s="21"/>
      <c r="G248" s="27">
        <f t="shared" ref="G248:G249" si="21">G249</f>
        <v>0</v>
      </c>
      <c r="H248" s="221"/>
    </row>
    <row r="249" spans="1:10" ht="47.25" hidden="1" x14ac:dyDescent="0.25">
      <c r="A249" s="26" t="s">
        <v>335</v>
      </c>
      <c r="B249" s="17">
        <v>903</v>
      </c>
      <c r="C249" s="21" t="s">
        <v>327</v>
      </c>
      <c r="D249" s="21" t="s">
        <v>278</v>
      </c>
      <c r="E249" s="21" t="s">
        <v>342</v>
      </c>
      <c r="F249" s="21" t="s">
        <v>336</v>
      </c>
      <c r="G249" s="27">
        <f t="shared" si="21"/>
        <v>0</v>
      </c>
      <c r="H249" s="221"/>
    </row>
    <row r="250" spans="1:10" ht="15.75" hidden="1" x14ac:dyDescent="0.25">
      <c r="A250" s="26" t="s">
        <v>337</v>
      </c>
      <c r="B250" s="17">
        <v>903</v>
      </c>
      <c r="C250" s="21" t="s">
        <v>327</v>
      </c>
      <c r="D250" s="21" t="s">
        <v>278</v>
      </c>
      <c r="E250" s="21" t="s">
        <v>342</v>
      </c>
      <c r="F250" s="21" t="s">
        <v>338</v>
      </c>
      <c r="G250" s="27">
        <v>0</v>
      </c>
      <c r="H250" s="221"/>
    </row>
    <row r="251" spans="1:10" ht="31.5" hidden="1" x14ac:dyDescent="0.25">
      <c r="A251" s="26" t="s">
        <v>343</v>
      </c>
      <c r="B251" s="17">
        <v>903</v>
      </c>
      <c r="C251" s="21" t="s">
        <v>327</v>
      </c>
      <c r="D251" s="21" t="s">
        <v>278</v>
      </c>
      <c r="E251" s="21" t="s">
        <v>344</v>
      </c>
      <c r="F251" s="21"/>
      <c r="G251" s="27">
        <f t="shared" ref="G251:G252" si="22">G252</f>
        <v>0</v>
      </c>
      <c r="H251" s="221"/>
    </row>
    <row r="252" spans="1:10" ht="47.25" hidden="1" x14ac:dyDescent="0.25">
      <c r="A252" s="26" t="s">
        <v>335</v>
      </c>
      <c r="B252" s="17">
        <v>903</v>
      </c>
      <c r="C252" s="21" t="s">
        <v>327</v>
      </c>
      <c r="D252" s="21" t="s">
        <v>278</v>
      </c>
      <c r="E252" s="21" t="s">
        <v>344</v>
      </c>
      <c r="F252" s="21" t="s">
        <v>336</v>
      </c>
      <c r="G252" s="27">
        <f t="shared" si="22"/>
        <v>0</v>
      </c>
      <c r="H252" s="221"/>
    </row>
    <row r="253" spans="1:10" ht="15.75" hidden="1" x14ac:dyDescent="0.25">
      <c r="A253" s="26" t="s">
        <v>337</v>
      </c>
      <c r="B253" s="17">
        <v>903</v>
      </c>
      <c r="C253" s="21" t="s">
        <v>327</v>
      </c>
      <c r="D253" s="21" t="s">
        <v>278</v>
      </c>
      <c r="E253" s="21" t="s">
        <v>344</v>
      </c>
      <c r="F253" s="21" t="s">
        <v>338</v>
      </c>
      <c r="G253" s="27">
        <v>0</v>
      </c>
      <c r="H253" s="221"/>
    </row>
    <row r="254" spans="1:10" ht="47.25" x14ac:dyDescent="0.25">
      <c r="A254" s="26" t="s">
        <v>345</v>
      </c>
      <c r="B254" s="17">
        <v>903</v>
      </c>
      <c r="C254" s="21" t="s">
        <v>327</v>
      </c>
      <c r="D254" s="21" t="s">
        <v>278</v>
      </c>
      <c r="E254" s="21" t="s">
        <v>346</v>
      </c>
      <c r="F254" s="21"/>
      <c r="G254" s="27">
        <f>G255</f>
        <v>50</v>
      </c>
      <c r="H254" s="221"/>
    </row>
    <row r="255" spans="1:10" ht="47.25" x14ac:dyDescent="0.25">
      <c r="A255" s="26" t="s">
        <v>335</v>
      </c>
      <c r="B255" s="17">
        <v>903</v>
      </c>
      <c r="C255" s="21" t="s">
        <v>327</v>
      </c>
      <c r="D255" s="21" t="s">
        <v>278</v>
      </c>
      <c r="E255" s="21" t="s">
        <v>346</v>
      </c>
      <c r="F255" s="21" t="s">
        <v>336</v>
      </c>
      <c r="G255" s="27">
        <f t="shared" ref="G255" si="23">G256</f>
        <v>50</v>
      </c>
      <c r="H255" s="221"/>
    </row>
    <row r="256" spans="1:10" ht="15.75" x14ac:dyDescent="0.25">
      <c r="A256" s="26" t="s">
        <v>337</v>
      </c>
      <c r="B256" s="17">
        <v>903</v>
      </c>
      <c r="C256" s="21" t="s">
        <v>327</v>
      </c>
      <c r="D256" s="21" t="s">
        <v>278</v>
      </c>
      <c r="E256" s="21" t="s">
        <v>346</v>
      </c>
      <c r="F256" s="21" t="s">
        <v>338</v>
      </c>
      <c r="G256" s="27">
        <v>50</v>
      </c>
      <c r="H256" s="221"/>
    </row>
    <row r="257" spans="1:9" ht="31.5" hidden="1" x14ac:dyDescent="0.25">
      <c r="A257" s="26" t="s">
        <v>347</v>
      </c>
      <c r="B257" s="17">
        <v>903</v>
      </c>
      <c r="C257" s="21" t="s">
        <v>327</v>
      </c>
      <c r="D257" s="21" t="s">
        <v>278</v>
      </c>
      <c r="E257" s="21" t="s">
        <v>348</v>
      </c>
      <c r="F257" s="21"/>
      <c r="G257" s="27">
        <f t="shared" ref="G257:G258" si="24">G258</f>
        <v>0</v>
      </c>
      <c r="H257" s="221"/>
    </row>
    <row r="258" spans="1:9" ht="47.25" hidden="1" x14ac:dyDescent="0.25">
      <c r="A258" s="26" t="s">
        <v>335</v>
      </c>
      <c r="B258" s="17">
        <v>903</v>
      </c>
      <c r="C258" s="21" t="s">
        <v>327</v>
      </c>
      <c r="D258" s="21" t="s">
        <v>278</v>
      </c>
      <c r="E258" s="21" t="s">
        <v>349</v>
      </c>
      <c r="F258" s="21" t="s">
        <v>336</v>
      </c>
      <c r="G258" s="27">
        <f t="shared" si="24"/>
        <v>0</v>
      </c>
      <c r="H258" s="221"/>
    </row>
    <row r="259" spans="1:9" ht="15.75" hidden="1" x14ac:dyDescent="0.25">
      <c r="A259" s="26" t="s">
        <v>337</v>
      </c>
      <c r="B259" s="17">
        <v>903</v>
      </c>
      <c r="C259" s="21" t="s">
        <v>327</v>
      </c>
      <c r="D259" s="21" t="s">
        <v>278</v>
      </c>
      <c r="E259" s="21" t="s">
        <v>349</v>
      </c>
      <c r="F259" s="21" t="s">
        <v>338</v>
      </c>
      <c r="G259" s="27">
        <v>0</v>
      </c>
      <c r="H259" s="221"/>
    </row>
    <row r="260" spans="1:9" ht="47.25" hidden="1" x14ac:dyDescent="0.25">
      <c r="A260" s="37" t="s">
        <v>350</v>
      </c>
      <c r="B260" s="17">
        <v>903</v>
      </c>
      <c r="C260" s="21" t="s">
        <v>327</v>
      </c>
      <c r="D260" s="21" t="s">
        <v>278</v>
      </c>
      <c r="E260" s="21" t="s">
        <v>351</v>
      </c>
      <c r="F260" s="21"/>
      <c r="G260" s="27">
        <f t="shared" ref="G260:G261" si="25">G261</f>
        <v>0</v>
      </c>
      <c r="H260" s="221"/>
    </row>
    <row r="261" spans="1:9" ht="47.25" hidden="1" x14ac:dyDescent="0.25">
      <c r="A261" s="26" t="s">
        <v>335</v>
      </c>
      <c r="B261" s="17">
        <v>903</v>
      </c>
      <c r="C261" s="21" t="s">
        <v>327</v>
      </c>
      <c r="D261" s="21" t="s">
        <v>278</v>
      </c>
      <c r="E261" s="21" t="s">
        <v>351</v>
      </c>
      <c r="F261" s="21" t="s">
        <v>336</v>
      </c>
      <c r="G261" s="27">
        <f t="shared" si="25"/>
        <v>0</v>
      </c>
      <c r="H261" s="221"/>
    </row>
    <row r="262" spans="1:9" ht="15.75" hidden="1" x14ac:dyDescent="0.25">
      <c r="A262" s="26" t="s">
        <v>337</v>
      </c>
      <c r="B262" s="17">
        <v>903</v>
      </c>
      <c r="C262" s="21" t="s">
        <v>327</v>
      </c>
      <c r="D262" s="21" t="s">
        <v>278</v>
      </c>
      <c r="E262" s="21" t="s">
        <v>351</v>
      </c>
      <c r="F262" s="21" t="s">
        <v>338</v>
      </c>
      <c r="G262" s="27">
        <v>0</v>
      </c>
      <c r="H262" s="221"/>
    </row>
    <row r="263" spans="1:9" ht="15.75" x14ac:dyDescent="0.25">
      <c r="A263" s="26" t="s">
        <v>184</v>
      </c>
      <c r="B263" s="17">
        <v>903</v>
      </c>
      <c r="C263" s="21" t="s">
        <v>327</v>
      </c>
      <c r="D263" s="21" t="s">
        <v>278</v>
      </c>
      <c r="E263" s="21" t="s">
        <v>185</v>
      </c>
      <c r="F263" s="21"/>
      <c r="G263" s="27">
        <f t="shared" ref="G263" si="26">G264</f>
        <v>1061.9500000000003</v>
      </c>
      <c r="H263" s="221"/>
    </row>
    <row r="264" spans="1:9" ht="31.5" x14ac:dyDescent="0.25">
      <c r="A264" s="26" t="s">
        <v>248</v>
      </c>
      <c r="B264" s="17">
        <v>903</v>
      </c>
      <c r="C264" s="21" t="s">
        <v>327</v>
      </c>
      <c r="D264" s="21" t="s">
        <v>278</v>
      </c>
      <c r="E264" s="21" t="s">
        <v>249</v>
      </c>
      <c r="F264" s="21"/>
      <c r="G264" s="27">
        <f>G265+G268+G271</f>
        <v>1061.9500000000003</v>
      </c>
      <c r="H264" s="221"/>
    </row>
    <row r="265" spans="1:9" ht="63" x14ac:dyDescent="0.25">
      <c r="A265" s="33" t="s">
        <v>352</v>
      </c>
      <c r="B265" s="17">
        <v>903</v>
      </c>
      <c r="C265" s="21" t="s">
        <v>327</v>
      </c>
      <c r="D265" s="21" t="s">
        <v>278</v>
      </c>
      <c r="E265" s="21" t="s">
        <v>353</v>
      </c>
      <c r="F265" s="21"/>
      <c r="G265" s="27">
        <f>G266</f>
        <v>100.6</v>
      </c>
      <c r="H265" s="221"/>
    </row>
    <row r="266" spans="1:9" ht="47.25" x14ac:dyDescent="0.25">
      <c r="A266" s="26" t="s">
        <v>335</v>
      </c>
      <c r="B266" s="17">
        <v>903</v>
      </c>
      <c r="C266" s="21" t="s">
        <v>327</v>
      </c>
      <c r="D266" s="21" t="s">
        <v>278</v>
      </c>
      <c r="E266" s="21" t="s">
        <v>353</v>
      </c>
      <c r="F266" s="21" t="s">
        <v>336</v>
      </c>
      <c r="G266" s="27">
        <f>G267</f>
        <v>100.6</v>
      </c>
      <c r="H266" s="221"/>
    </row>
    <row r="267" spans="1:9" ht="15.75" x14ac:dyDescent="0.25">
      <c r="A267" s="26" t="s">
        <v>337</v>
      </c>
      <c r="B267" s="17">
        <v>903</v>
      </c>
      <c r="C267" s="21" t="s">
        <v>327</v>
      </c>
      <c r="D267" s="21" t="s">
        <v>278</v>
      </c>
      <c r="E267" s="21" t="s">
        <v>353</v>
      </c>
      <c r="F267" s="21" t="s">
        <v>338</v>
      </c>
      <c r="G267" s="27">
        <f>162.6-35.9-26.1</f>
        <v>100.6</v>
      </c>
      <c r="H267" s="221" t="s">
        <v>962</v>
      </c>
      <c r="I267" s="141"/>
    </row>
    <row r="268" spans="1:9" ht="78.75" x14ac:dyDescent="0.25">
      <c r="A268" s="33" t="s">
        <v>354</v>
      </c>
      <c r="B268" s="17">
        <v>903</v>
      </c>
      <c r="C268" s="21" t="s">
        <v>327</v>
      </c>
      <c r="D268" s="21" t="s">
        <v>278</v>
      </c>
      <c r="E268" s="21" t="s">
        <v>355</v>
      </c>
      <c r="F268" s="21"/>
      <c r="G268" s="27">
        <f>G269</f>
        <v>310.70000000000005</v>
      </c>
      <c r="H268" s="221"/>
    </row>
    <row r="269" spans="1:9" ht="47.25" x14ac:dyDescent="0.25">
      <c r="A269" s="26" t="s">
        <v>335</v>
      </c>
      <c r="B269" s="17">
        <v>903</v>
      </c>
      <c r="C269" s="21" t="s">
        <v>327</v>
      </c>
      <c r="D269" s="21" t="s">
        <v>278</v>
      </c>
      <c r="E269" s="21" t="s">
        <v>355</v>
      </c>
      <c r="F269" s="21" t="s">
        <v>336</v>
      </c>
      <c r="G269" s="27">
        <f>G270</f>
        <v>310.70000000000005</v>
      </c>
      <c r="H269" s="221"/>
    </row>
    <row r="270" spans="1:9" ht="15.75" x14ac:dyDescent="0.25">
      <c r="A270" s="26" t="s">
        <v>337</v>
      </c>
      <c r="B270" s="17">
        <v>903</v>
      </c>
      <c r="C270" s="21" t="s">
        <v>327</v>
      </c>
      <c r="D270" s="21" t="s">
        <v>278</v>
      </c>
      <c r="E270" s="21" t="s">
        <v>355</v>
      </c>
      <c r="F270" s="21" t="s">
        <v>338</v>
      </c>
      <c r="G270" s="27">
        <f>393.3-82.6</f>
        <v>310.70000000000005</v>
      </c>
      <c r="H270" s="221"/>
      <c r="I270" s="141"/>
    </row>
    <row r="271" spans="1:9" ht="110.25" x14ac:dyDescent="0.25">
      <c r="A271" s="33" t="s">
        <v>356</v>
      </c>
      <c r="B271" s="17">
        <v>903</v>
      </c>
      <c r="C271" s="21" t="s">
        <v>327</v>
      </c>
      <c r="D271" s="21" t="s">
        <v>278</v>
      </c>
      <c r="E271" s="21" t="s">
        <v>357</v>
      </c>
      <c r="F271" s="21"/>
      <c r="G271" s="27">
        <f>G272</f>
        <v>650.65000000000009</v>
      </c>
      <c r="H271" s="221"/>
    </row>
    <row r="272" spans="1:9" ht="47.25" x14ac:dyDescent="0.25">
      <c r="A272" s="26" t="s">
        <v>335</v>
      </c>
      <c r="B272" s="17">
        <v>903</v>
      </c>
      <c r="C272" s="21" t="s">
        <v>327</v>
      </c>
      <c r="D272" s="21" t="s">
        <v>278</v>
      </c>
      <c r="E272" s="21" t="s">
        <v>357</v>
      </c>
      <c r="F272" s="21" t="s">
        <v>336</v>
      </c>
      <c r="G272" s="27">
        <f>G273</f>
        <v>650.65000000000009</v>
      </c>
      <c r="H272" s="221"/>
    </row>
    <row r="273" spans="1:14" ht="15.75" x14ac:dyDescent="0.25">
      <c r="A273" s="26" t="s">
        <v>337</v>
      </c>
      <c r="B273" s="17">
        <v>903</v>
      </c>
      <c r="C273" s="21" t="s">
        <v>327</v>
      </c>
      <c r="D273" s="21" t="s">
        <v>278</v>
      </c>
      <c r="E273" s="21" t="s">
        <v>357</v>
      </c>
      <c r="F273" s="21" t="s">
        <v>338</v>
      </c>
      <c r="G273" s="27">
        <f>600-0.3+0.95+50</f>
        <v>650.65000000000009</v>
      </c>
      <c r="H273" s="221" t="s">
        <v>926</v>
      </c>
      <c r="I273" s="141"/>
    </row>
    <row r="274" spans="1:14" ht="15.75" hidden="1" x14ac:dyDescent="0.25">
      <c r="A274" s="24" t="s">
        <v>358</v>
      </c>
      <c r="B274" s="20">
        <v>903</v>
      </c>
      <c r="C274" s="25" t="s">
        <v>327</v>
      </c>
      <c r="D274" s="25" t="s">
        <v>282</v>
      </c>
      <c r="E274" s="25"/>
      <c r="F274" s="25"/>
      <c r="G274" s="27">
        <f t="shared" ref="G274:G276" si="27">G275</f>
        <v>0</v>
      </c>
      <c r="H274" s="221"/>
    </row>
    <row r="275" spans="1:14" ht="15.75" hidden="1" x14ac:dyDescent="0.25">
      <c r="A275" s="26" t="s">
        <v>184</v>
      </c>
      <c r="B275" s="17">
        <v>903</v>
      </c>
      <c r="C275" s="21" t="s">
        <v>327</v>
      </c>
      <c r="D275" s="21" t="s">
        <v>282</v>
      </c>
      <c r="E275" s="21" t="s">
        <v>185</v>
      </c>
      <c r="F275" s="21"/>
      <c r="G275" s="27">
        <f t="shared" si="27"/>
        <v>0</v>
      </c>
      <c r="H275" s="221"/>
    </row>
    <row r="276" spans="1:14" ht="31.5" hidden="1" x14ac:dyDescent="0.25">
      <c r="A276" s="26" t="s">
        <v>248</v>
      </c>
      <c r="B276" s="17">
        <v>903</v>
      </c>
      <c r="C276" s="21" t="s">
        <v>327</v>
      </c>
      <c r="D276" s="21" t="s">
        <v>282</v>
      </c>
      <c r="E276" s="21" t="s">
        <v>249</v>
      </c>
      <c r="F276" s="21"/>
      <c r="G276" s="27">
        <f t="shared" si="27"/>
        <v>0</v>
      </c>
      <c r="H276" s="221"/>
    </row>
    <row r="277" spans="1:14" ht="31.5" hidden="1" x14ac:dyDescent="0.25">
      <c r="A277" s="38" t="s">
        <v>359</v>
      </c>
      <c r="B277" s="39">
        <v>903</v>
      </c>
      <c r="C277" s="21" t="s">
        <v>327</v>
      </c>
      <c r="D277" s="21" t="s">
        <v>282</v>
      </c>
      <c r="E277" s="21" t="s">
        <v>360</v>
      </c>
      <c r="F277" s="21"/>
      <c r="G277" s="27">
        <f t="shared" ref="G277:G278" si="28">G278</f>
        <v>0</v>
      </c>
      <c r="H277" s="221"/>
    </row>
    <row r="278" spans="1:14" ht="15.75" hidden="1" x14ac:dyDescent="0.25">
      <c r="A278" s="26" t="s">
        <v>198</v>
      </c>
      <c r="B278" s="17">
        <v>903</v>
      </c>
      <c r="C278" s="21" t="s">
        <v>327</v>
      </c>
      <c r="D278" s="21" t="s">
        <v>282</v>
      </c>
      <c r="E278" s="21" t="s">
        <v>360</v>
      </c>
      <c r="F278" s="21" t="s">
        <v>208</v>
      </c>
      <c r="G278" s="27">
        <f t="shared" si="28"/>
        <v>0</v>
      </c>
      <c r="H278" s="221"/>
    </row>
    <row r="279" spans="1:14" ht="63" hidden="1" x14ac:dyDescent="0.25">
      <c r="A279" s="26" t="s">
        <v>247</v>
      </c>
      <c r="B279" s="17">
        <v>903</v>
      </c>
      <c r="C279" s="21" t="s">
        <v>327</v>
      </c>
      <c r="D279" s="21" t="s">
        <v>282</v>
      </c>
      <c r="E279" s="21" t="s">
        <v>360</v>
      </c>
      <c r="F279" s="21" t="s">
        <v>223</v>
      </c>
      <c r="G279" s="27"/>
      <c r="H279" s="221"/>
    </row>
    <row r="280" spans="1:14" ht="15.75" x14ac:dyDescent="0.25">
      <c r="A280" s="24" t="s">
        <v>361</v>
      </c>
      <c r="B280" s="20">
        <v>903</v>
      </c>
      <c r="C280" s="25" t="s">
        <v>362</v>
      </c>
      <c r="D280" s="25"/>
      <c r="E280" s="25"/>
      <c r="F280" s="25"/>
      <c r="G280" s="22">
        <f>G281+G361</f>
        <v>64005.600000000006</v>
      </c>
      <c r="H280" s="221"/>
    </row>
    <row r="281" spans="1:14" ht="15.75" x14ac:dyDescent="0.25">
      <c r="A281" s="24" t="s">
        <v>363</v>
      </c>
      <c r="B281" s="20">
        <v>903</v>
      </c>
      <c r="C281" s="25" t="s">
        <v>362</v>
      </c>
      <c r="D281" s="25" t="s">
        <v>181</v>
      </c>
      <c r="E281" s="25"/>
      <c r="F281" s="25"/>
      <c r="G281" s="22">
        <f>G282+G340+G336</f>
        <v>46125.900000000009</v>
      </c>
      <c r="H281" s="221"/>
    </row>
    <row r="282" spans="1:14" ht="47.25" x14ac:dyDescent="0.25">
      <c r="A282" s="26" t="s">
        <v>329</v>
      </c>
      <c r="B282" s="17">
        <v>903</v>
      </c>
      <c r="C282" s="21" t="s">
        <v>362</v>
      </c>
      <c r="D282" s="21" t="s">
        <v>181</v>
      </c>
      <c r="E282" s="21" t="s">
        <v>330</v>
      </c>
      <c r="F282" s="21"/>
      <c r="G282" s="27">
        <f>G283+G309</f>
        <v>43901.200000000004</v>
      </c>
      <c r="H282" s="221"/>
    </row>
    <row r="283" spans="1:14" ht="63" x14ac:dyDescent="0.25">
      <c r="A283" s="26" t="s">
        <v>364</v>
      </c>
      <c r="B283" s="17">
        <v>903</v>
      </c>
      <c r="C283" s="21" t="s">
        <v>362</v>
      </c>
      <c r="D283" s="21" t="s">
        <v>181</v>
      </c>
      <c r="E283" s="21" t="s">
        <v>365</v>
      </c>
      <c r="F283" s="21"/>
      <c r="G283" s="27">
        <f>G284+G302+G287+G290+G293+G296+G299</f>
        <v>25938.600000000002</v>
      </c>
      <c r="H283" s="221"/>
    </row>
    <row r="284" spans="1:14" ht="52.5" customHeight="1" x14ac:dyDescent="0.25">
      <c r="A284" s="26" t="s">
        <v>366</v>
      </c>
      <c r="B284" s="17">
        <v>903</v>
      </c>
      <c r="C284" s="21" t="s">
        <v>362</v>
      </c>
      <c r="D284" s="21" t="s">
        <v>181</v>
      </c>
      <c r="E284" s="21" t="s">
        <v>367</v>
      </c>
      <c r="F284" s="21"/>
      <c r="G284" s="27">
        <f>G285</f>
        <v>23705.000000000004</v>
      </c>
      <c r="H284" s="221"/>
    </row>
    <row r="285" spans="1:14" ht="47.25" x14ac:dyDescent="0.25">
      <c r="A285" s="26" t="s">
        <v>335</v>
      </c>
      <c r="B285" s="17">
        <v>903</v>
      </c>
      <c r="C285" s="21" t="s">
        <v>362</v>
      </c>
      <c r="D285" s="21" t="s">
        <v>181</v>
      </c>
      <c r="E285" s="21" t="s">
        <v>367</v>
      </c>
      <c r="F285" s="21" t="s">
        <v>336</v>
      </c>
      <c r="G285" s="27">
        <f t="shared" ref="G285" si="29">G286</f>
        <v>23705.000000000004</v>
      </c>
      <c r="H285" s="221"/>
    </row>
    <row r="286" spans="1:14" ht="15.75" x14ac:dyDescent="0.25">
      <c r="A286" s="26" t="s">
        <v>337</v>
      </c>
      <c r="B286" s="17">
        <v>903</v>
      </c>
      <c r="C286" s="21" t="s">
        <v>362</v>
      </c>
      <c r="D286" s="21" t="s">
        <v>181</v>
      </c>
      <c r="E286" s="21" t="s">
        <v>367</v>
      </c>
      <c r="F286" s="21" t="s">
        <v>338</v>
      </c>
      <c r="G286" s="28">
        <f>25081.9+2671.4-3136.8-961.7+60-259.8-1100+1100+200+50</f>
        <v>23705.000000000004</v>
      </c>
      <c r="H286" s="132" t="s">
        <v>1028</v>
      </c>
      <c r="I286" s="153"/>
      <c r="J286" s="132"/>
      <c r="N286" s="135"/>
    </row>
    <row r="287" spans="1:14" ht="47.25" x14ac:dyDescent="0.25">
      <c r="A287" s="26" t="s">
        <v>835</v>
      </c>
      <c r="B287" s="17">
        <v>903</v>
      </c>
      <c r="C287" s="21" t="s">
        <v>362</v>
      </c>
      <c r="D287" s="21" t="s">
        <v>181</v>
      </c>
      <c r="E287" s="21" t="s">
        <v>368</v>
      </c>
      <c r="F287" s="21"/>
      <c r="G287" s="27">
        <f t="shared" ref="G287:G288" si="30">G288</f>
        <v>96.1</v>
      </c>
      <c r="H287" s="221"/>
      <c r="L287" s="143"/>
    </row>
    <row r="288" spans="1:14" ht="47.25" x14ac:dyDescent="0.25">
      <c r="A288" s="26" t="s">
        <v>335</v>
      </c>
      <c r="B288" s="17">
        <v>903</v>
      </c>
      <c r="C288" s="21" t="s">
        <v>362</v>
      </c>
      <c r="D288" s="21" t="s">
        <v>181</v>
      </c>
      <c r="E288" s="21" t="s">
        <v>368</v>
      </c>
      <c r="F288" s="21" t="s">
        <v>336</v>
      </c>
      <c r="G288" s="27">
        <f t="shared" si="30"/>
        <v>96.1</v>
      </c>
      <c r="H288" s="221"/>
    </row>
    <row r="289" spans="1:10" ht="15.75" x14ac:dyDescent="0.25">
      <c r="A289" s="26" t="s">
        <v>337</v>
      </c>
      <c r="B289" s="17">
        <v>903</v>
      </c>
      <c r="C289" s="21" t="s">
        <v>362</v>
      </c>
      <c r="D289" s="21" t="s">
        <v>181</v>
      </c>
      <c r="E289" s="21" t="s">
        <v>368</v>
      </c>
      <c r="F289" s="21" t="s">
        <v>338</v>
      </c>
      <c r="G289" s="27">
        <v>96.1</v>
      </c>
      <c r="H289" s="132"/>
    </row>
    <row r="290" spans="1:10" ht="47.25" x14ac:dyDescent="0.25">
      <c r="A290" s="26" t="s">
        <v>341</v>
      </c>
      <c r="B290" s="17">
        <v>903</v>
      </c>
      <c r="C290" s="21" t="s">
        <v>362</v>
      </c>
      <c r="D290" s="21" t="s">
        <v>181</v>
      </c>
      <c r="E290" s="21" t="s">
        <v>369</v>
      </c>
      <c r="F290" s="21"/>
      <c r="G290" s="27">
        <f t="shared" ref="G290" si="31">G291</f>
        <v>142.1</v>
      </c>
      <c r="H290" s="221"/>
    </row>
    <row r="291" spans="1:10" ht="47.25" x14ac:dyDescent="0.25">
      <c r="A291" s="26" t="s">
        <v>335</v>
      </c>
      <c r="B291" s="17">
        <v>903</v>
      </c>
      <c r="C291" s="21" t="s">
        <v>362</v>
      </c>
      <c r="D291" s="21" t="s">
        <v>181</v>
      </c>
      <c r="E291" s="21" t="s">
        <v>369</v>
      </c>
      <c r="F291" s="21" t="s">
        <v>336</v>
      </c>
      <c r="G291" s="27">
        <f>G292</f>
        <v>142.1</v>
      </c>
      <c r="H291" s="221"/>
    </row>
    <row r="292" spans="1:10" ht="15.75" x14ac:dyDescent="0.25">
      <c r="A292" s="26" t="s">
        <v>337</v>
      </c>
      <c r="B292" s="17">
        <v>903</v>
      </c>
      <c r="C292" s="21" t="s">
        <v>362</v>
      </c>
      <c r="D292" s="21" t="s">
        <v>181</v>
      </c>
      <c r="E292" s="21" t="s">
        <v>369</v>
      </c>
      <c r="F292" s="21" t="s">
        <v>338</v>
      </c>
      <c r="G292" s="27">
        <v>142.1</v>
      </c>
      <c r="H292" s="221"/>
      <c r="I292" s="141"/>
    </row>
    <row r="293" spans="1:10" ht="15.75" x14ac:dyDescent="0.25">
      <c r="A293" s="26" t="s">
        <v>370</v>
      </c>
      <c r="B293" s="17">
        <v>903</v>
      </c>
      <c r="C293" s="21" t="s">
        <v>362</v>
      </c>
      <c r="D293" s="21" t="s">
        <v>181</v>
      </c>
      <c r="E293" s="21" t="s">
        <v>371</v>
      </c>
      <c r="F293" s="21"/>
      <c r="G293" s="27">
        <f>G294</f>
        <v>1995.4</v>
      </c>
      <c r="H293" s="221"/>
    </row>
    <row r="294" spans="1:10" ht="47.25" x14ac:dyDescent="0.25">
      <c r="A294" s="26" t="s">
        <v>335</v>
      </c>
      <c r="B294" s="17">
        <v>903</v>
      </c>
      <c r="C294" s="21" t="s">
        <v>362</v>
      </c>
      <c r="D294" s="21" t="s">
        <v>181</v>
      </c>
      <c r="E294" s="21" t="s">
        <v>371</v>
      </c>
      <c r="F294" s="21" t="s">
        <v>336</v>
      </c>
      <c r="G294" s="27">
        <f t="shared" ref="G294" si="32">G295</f>
        <v>1995.4</v>
      </c>
      <c r="H294" s="221"/>
    </row>
    <row r="295" spans="1:10" ht="15.75" x14ac:dyDescent="0.25">
      <c r="A295" s="26" t="s">
        <v>337</v>
      </c>
      <c r="B295" s="17">
        <v>903</v>
      </c>
      <c r="C295" s="21" t="s">
        <v>362</v>
      </c>
      <c r="D295" s="21" t="s">
        <v>181</v>
      </c>
      <c r="E295" s="21" t="s">
        <v>371</v>
      </c>
      <c r="F295" s="21" t="s">
        <v>338</v>
      </c>
      <c r="G295" s="27">
        <f>411.9+1117.6+465.9</f>
        <v>1995.4</v>
      </c>
      <c r="H295" s="132"/>
      <c r="I295" s="153"/>
      <c r="J295" s="135"/>
    </row>
    <row r="296" spans="1:10" ht="31.5" hidden="1" x14ac:dyDescent="0.25">
      <c r="A296" s="26" t="s">
        <v>347</v>
      </c>
      <c r="B296" s="17">
        <v>903</v>
      </c>
      <c r="C296" s="21" t="s">
        <v>362</v>
      </c>
      <c r="D296" s="21" t="s">
        <v>181</v>
      </c>
      <c r="E296" s="21" t="s">
        <v>348</v>
      </c>
      <c r="F296" s="21"/>
      <c r="G296" s="27">
        <f t="shared" ref="G296:G297" si="33">G297</f>
        <v>0</v>
      </c>
      <c r="H296" s="221"/>
    </row>
    <row r="297" spans="1:10" ht="47.25" hidden="1" x14ac:dyDescent="0.25">
      <c r="A297" s="26" t="s">
        <v>335</v>
      </c>
      <c r="B297" s="17">
        <v>903</v>
      </c>
      <c r="C297" s="21" t="s">
        <v>362</v>
      </c>
      <c r="D297" s="21" t="s">
        <v>181</v>
      </c>
      <c r="E297" s="21" t="s">
        <v>348</v>
      </c>
      <c r="F297" s="21" t="s">
        <v>336</v>
      </c>
      <c r="G297" s="27">
        <f t="shared" si="33"/>
        <v>0</v>
      </c>
      <c r="H297" s="221"/>
    </row>
    <row r="298" spans="1:10" ht="15.75" hidden="1" x14ac:dyDescent="0.25">
      <c r="A298" s="26" t="s">
        <v>337</v>
      </c>
      <c r="B298" s="17">
        <v>903</v>
      </c>
      <c r="C298" s="21" t="s">
        <v>362</v>
      </c>
      <c r="D298" s="21" t="s">
        <v>181</v>
      </c>
      <c r="E298" s="21" t="s">
        <v>348</v>
      </c>
      <c r="F298" s="21" t="s">
        <v>338</v>
      </c>
      <c r="G298" s="27">
        <v>0</v>
      </c>
      <c r="H298" s="221"/>
    </row>
    <row r="299" spans="1:10" ht="47.25" hidden="1" x14ac:dyDescent="0.25">
      <c r="A299" s="37" t="s">
        <v>350</v>
      </c>
      <c r="B299" s="17">
        <v>903</v>
      </c>
      <c r="C299" s="21" t="s">
        <v>362</v>
      </c>
      <c r="D299" s="21" t="s">
        <v>181</v>
      </c>
      <c r="E299" s="21" t="s">
        <v>372</v>
      </c>
      <c r="F299" s="21"/>
      <c r="G299" s="27">
        <f t="shared" ref="G299:G300" si="34">G300</f>
        <v>0</v>
      </c>
      <c r="H299" s="221"/>
    </row>
    <row r="300" spans="1:10" ht="47.25" hidden="1" x14ac:dyDescent="0.25">
      <c r="A300" s="26" t="s">
        <v>335</v>
      </c>
      <c r="B300" s="17">
        <v>903</v>
      </c>
      <c r="C300" s="21" t="s">
        <v>362</v>
      </c>
      <c r="D300" s="21" t="s">
        <v>181</v>
      </c>
      <c r="E300" s="21" t="s">
        <v>372</v>
      </c>
      <c r="F300" s="21" t="s">
        <v>336</v>
      </c>
      <c r="G300" s="27">
        <f t="shared" si="34"/>
        <v>0</v>
      </c>
      <c r="H300" s="221"/>
    </row>
    <row r="301" spans="1:10" ht="15.75" hidden="1" x14ac:dyDescent="0.25">
      <c r="A301" s="26" t="s">
        <v>337</v>
      </c>
      <c r="B301" s="17">
        <v>903</v>
      </c>
      <c r="C301" s="21" t="s">
        <v>362</v>
      </c>
      <c r="D301" s="21" t="s">
        <v>181</v>
      </c>
      <c r="E301" s="21" t="s">
        <v>372</v>
      </c>
      <c r="F301" s="21" t="s">
        <v>338</v>
      </c>
      <c r="G301" s="27">
        <v>0</v>
      </c>
      <c r="H301" s="221"/>
    </row>
    <row r="302" spans="1:10" ht="47.25" hidden="1" customHeight="1" x14ac:dyDescent="0.25">
      <c r="A302" s="26" t="s">
        <v>373</v>
      </c>
      <c r="B302" s="17">
        <v>903</v>
      </c>
      <c r="C302" s="21" t="s">
        <v>362</v>
      </c>
      <c r="D302" s="21" t="s">
        <v>181</v>
      </c>
      <c r="E302" s="21" t="s">
        <v>374</v>
      </c>
      <c r="F302" s="21"/>
      <c r="G302" s="27">
        <f t="shared" ref="G302" si="35">G303+G305+G307</f>
        <v>0</v>
      </c>
      <c r="H302" s="221"/>
    </row>
    <row r="303" spans="1:10" ht="94.5" hidden="1" x14ac:dyDescent="0.25">
      <c r="A303" s="26" t="s">
        <v>190</v>
      </c>
      <c r="B303" s="17">
        <v>903</v>
      </c>
      <c r="C303" s="21" t="s">
        <v>362</v>
      </c>
      <c r="D303" s="21" t="s">
        <v>181</v>
      </c>
      <c r="E303" s="21" t="s">
        <v>374</v>
      </c>
      <c r="F303" s="21" t="s">
        <v>191</v>
      </c>
      <c r="G303" s="27">
        <f t="shared" ref="G303" si="36">G304</f>
        <v>0</v>
      </c>
      <c r="H303" s="221"/>
    </row>
    <row r="304" spans="1:10" ht="31.5" hidden="1" x14ac:dyDescent="0.25">
      <c r="A304" s="26" t="s">
        <v>271</v>
      </c>
      <c r="B304" s="17">
        <v>903</v>
      </c>
      <c r="C304" s="21" t="s">
        <v>362</v>
      </c>
      <c r="D304" s="21" t="s">
        <v>181</v>
      </c>
      <c r="E304" s="21" t="s">
        <v>374</v>
      </c>
      <c r="F304" s="21" t="s">
        <v>272</v>
      </c>
      <c r="G304" s="28">
        <v>0</v>
      </c>
      <c r="H304" s="221"/>
    </row>
    <row r="305" spans="1:10" ht="31.5" hidden="1" x14ac:dyDescent="0.25">
      <c r="A305" s="26" t="s">
        <v>194</v>
      </c>
      <c r="B305" s="17">
        <v>903</v>
      </c>
      <c r="C305" s="21" t="s">
        <v>362</v>
      </c>
      <c r="D305" s="21" t="s">
        <v>181</v>
      </c>
      <c r="E305" s="21" t="s">
        <v>374</v>
      </c>
      <c r="F305" s="21" t="s">
        <v>195</v>
      </c>
      <c r="G305" s="27">
        <f t="shared" ref="G305" si="37">G306</f>
        <v>0</v>
      </c>
      <c r="H305" s="221"/>
    </row>
    <row r="306" spans="1:10" ht="47.25" hidden="1" x14ac:dyDescent="0.25">
      <c r="A306" s="26" t="s">
        <v>196</v>
      </c>
      <c r="B306" s="17">
        <v>903</v>
      </c>
      <c r="C306" s="21" t="s">
        <v>362</v>
      </c>
      <c r="D306" s="21" t="s">
        <v>181</v>
      </c>
      <c r="E306" s="21" t="s">
        <v>374</v>
      </c>
      <c r="F306" s="21" t="s">
        <v>197</v>
      </c>
      <c r="G306" s="28">
        <v>0</v>
      </c>
      <c r="H306" s="221"/>
    </row>
    <row r="307" spans="1:10" ht="15.75" hidden="1" x14ac:dyDescent="0.25">
      <c r="A307" s="26" t="s">
        <v>198</v>
      </c>
      <c r="B307" s="17">
        <v>903</v>
      </c>
      <c r="C307" s="21" t="s">
        <v>362</v>
      </c>
      <c r="D307" s="21" t="s">
        <v>181</v>
      </c>
      <c r="E307" s="21" t="s">
        <v>374</v>
      </c>
      <c r="F307" s="21" t="s">
        <v>208</v>
      </c>
      <c r="G307" s="27">
        <f t="shared" ref="G307" si="38">G308</f>
        <v>0</v>
      </c>
      <c r="H307" s="221"/>
    </row>
    <row r="308" spans="1:10" ht="15.75" hidden="1" x14ac:dyDescent="0.25">
      <c r="A308" s="26" t="s">
        <v>200</v>
      </c>
      <c r="B308" s="17">
        <v>903</v>
      </c>
      <c r="C308" s="21" t="s">
        <v>362</v>
      </c>
      <c r="D308" s="21" t="s">
        <v>181</v>
      </c>
      <c r="E308" s="21" t="s">
        <v>374</v>
      </c>
      <c r="F308" s="21" t="s">
        <v>201</v>
      </c>
      <c r="G308" s="27">
        <v>0</v>
      </c>
      <c r="H308" s="221"/>
    </row>
    <row r="309" spans="1:10" ht="47.25" x14ac:dyDescent="0.25">
      <c r="A309" s="26" t="s">
        <v>375</v>
      </c>
      <c r="B309" s="17">
        <v>903</v>
      </c>
      <c r="C309" s="21" t="s">
        <v>362</v>
      </c>
      <c r="D309" s="21" t="s">
        <v>181</v>
      </c>
      <c r="E309" s="21" t="s">
        <v>376</v>
      </c>
      <c r="F309" s="21"/>
      <c r="G309" s="27">
        <f>G310+G333+G321+G324+G327+G330+G313+G318</f>
        <v>17962.600000000002</v>
      </c>
      <c r="H309" s="221"/>
    </row>
    <row r="310" spans="1:10" ht="41.25" customHeight="1" x14ac:dyDescent="0.25">
      <c r="A310" s="26" t="s">
        <v>366</v>
      </c>
      <c r="B310" s="17">
        <v>903</v>
      </c>
      <c r="C310" s="21" t="s">
        <v>362</v>
      </c>
      <c r="D310" s="21" t="s">
        <v>181</v>
      </c>
      <c r="E310" s="21" t="s">
        <v>377</v>
      </c>
      <c r="F310" s="21"/>
      <c r="G310" s="27">
        <f>G311</f>
        <v>17957.2</v>
      </c>
      <c r="H310" s="221"/>
    </row>
    <row r="311" spans="1:10" ht="41.25" customHeight="1" x14ac:dyDescent="0.25">
      <c r="A311" s="26" t="s">
        <v>335</v>
      </c>
      <c r="B311" s="17">
        <v>903</v>
      </c>
      <c r="C311" s="21" t="s">
        <v>362</v>
      </c>
      <c r="D311" s="21" t="s">
        <v>181</v>
      </c>
      <c r="E311" s="21" t="s">
        <v>377</v>
      </c>
      <c r="F311" s="21" t="s">
        <v>336</v>
      </c>
      <c r="G311" s="27">
        <f t="shared" ref="G311" si="39">G312</f>
        <v>17957.2</v>
      </c>
      <c r="H311" s="221"/>
    </row>
    <row r="312" spans="1:10" ht="15.75" x14ac:dyDescent="0.25">
      <c r="A312" s="26" t="s">
        <v>337</v>
      </c>
      <c r="B312" s="17">
        <v>903</v>
      </c>
      <c r="C312" s="21" t="s">
        <v>362</v>
      </c>
      <c r="D312" s="21" t="s">
        <v>181</v>
      </c>
      <c r="E312" s="21" t="s">
        <v>377</v>
      </c>
      <c r="F312" s="21" t="s">
        <v>338</v>
      </c>
      <c r="G312" s="28">
        <f>18073+419.6-1705.8+78.4-210-119.4+1220+201.4</f>
        <v>17957.2</v>
      </c>
      <c r="H312" s="132" t="s">
        <v>1017</v>
      </c>
      <c r="I312" s="153"/>
      <c r="J312" s="134"/>
    </row>
    <row r="313" spans="1:10" ht="38.25" customHeight="1" x14ac:dyDescent="0.25">
      <c r="A313" s="26" t="s">
        <v>378</v>
      </c>
      <c r="B313" s="17">
        <v>903</v>
      </c>
      <c r="C313" s="21" t="s">
        <v>362</v>
      </c>
      <c r="D313" s="21" t="s">
        <v>181</v>
      </c>
      <c r="E313" s="21" t="s">
        <v>379</v>
      </c>
      <c r="F313" s="21"/>
      <c r="G313" s="28">
        <f t="shared" ref="G313" si="40">G314+G316</f>
        <v>5</v>
      </c>
      <c r="H313" s="221"/>
    </row>
    <row r="314" spans="1:10" ht="31.5" hidden="1" x14ac:dyDescent="0.25">
      <c r="A314" s="26" t="s">
        <v>194</v>
      </c>
      <c r="B314" s="17">
        <v>903</v>
      </c>
      <c r="C314" s="21" t="s">
        <v>362</v>
      </c>
      <c r="D314" s="21" t="s">
        <v>181</v>
      </c>
      <c r="E314" s="21" t="s">
        <v>379</v>
      </c>
      <c r="F314" s="21" t="s">
        <v>195</v>
      </c>
      <c r="G314" s="28">
        <f t="shared" ref="G314" si="41">G315</f>
        <v>0</v>
      </c>
      <c r="H314" s="221"/>
    </row>
    <row r="315" spans="1:10" ht="47.25" hidden="1" x14ac:dyDescent="0.25">
      <c r="A315" s="26" t="s">
        <v>196</v>
      </c>
      <c r="B315" s="17">
        <v>903</v>
      </c>
      <c r="C315" s="21" t="s">
        <v>362</v>
      </c>
      <c r="D315" s="21" t="s">
        <v>181</v>
      </c>
      <c r="E315" s="21" t="s">
        <v>379</v>
      </c>
      <c r="F315" s="21" t="s">
        <v>197</v>
      </c>
      <c r="G315" s="28">
        <v>0</v>
      </c>
      <c r="H315" s="221"/>
    </row>
    <row r="316" spans="1:10" ht="47.25" x14ac:dyDescent="0.25">
      <c r="A316" s="26" t="s">
        <v>335</v>
      </c>
      <c r="B316" s="17">
        <v>903</v>
      </c>
      <c r="C316" s="21" t="s">
        <v>362</v>
      </c>
      <c r="D316" s="21" t="s">
        <v>181</v>
      </c>
      <c r="E316" s="21" t="s">
        <v>379</v>
      </c>
      <c r="F316" s="21" t="s">
        <v>336</v>
      </c>
      <c r="G316" s="28">
        <f>G317</f>
        <v>5</v>
      </c>
      <c r="H316" s="221"/>
    </row>
    <row r="317" spans="1:10" ht="15.75" x14ac:dyDescent="0.25">
      <c r="A317" s="26" t="s">
        <v>337</v>
      </c>
      <c r="B317" s="17">
        <v>903</v>
      </c>
      <c r="C317" s="21" t="s">
        <v>362</v>
      </c>
      <c r="D317" s="21" t="s">
        <v>181</v>
      </c>
      <c r="E317" s="21" t="s">
        <v>379</v>
      </c>
      <c r="F317" s="21" t="s">
        <v>338</v>
      </c>
      <c r="G317" s="28">
        <v>5</v>
      </c>
      <c r="H317" s="221"/>
    </row>
    <row r="318" spans="1:10" ht="15.75" x14ac:dyDescent="0.25">
      <c r="A318" s="26" t="s">
        <v>790</v>
      </c>
      <c r="B318" s="17">
        <v>903</v>
      </c>
      <c r="C318" s="21" t="s">
        <v>362</v>
      </c>
      <c r="D318" s="21" t="s">
        <v>181</v>
      </c>
      <c r="E318" s="21" t="s">
        <v>791</v>
      </c>
      <c r="F318" s="21"/>
      <c r="G318" s="28">
        <f>G319</f>
        <v>0.4</v>
      </c>
      <c r="H318" s="221"/>
    </row>
    <row r="319" spans="1:10" ht="47.25" x14ac:dyDescent="0.25">
      <c r="A319" s="26" t="s">
        <v>335</v>
      </c>
      <c r="B319" s="17">
        <v>903</v>
      </c>
      <c r="C319" s="21" t="s">
        <v>362</v>
      </c>
      <c r="D319" s="21" t="s">
        <v>181</v>
      </c>
      <c r="E319" s="21" t="s">
        <v>791</v>
      </c>
      <c r="F319" s="21" t="s">
        <v>336</v>
      </c>
      <c r="G319" s="28">
        <f>G320</f>
        <v>0.4</v>
      </c>
      <c r="H319" s="221"/>
    </row>
    <row r="320" spans="1:10" ht="15.75" x14ac:dyDescent="0.25">
      <c r="A320" s="26" t="s">
        <v>337</v>
      </c>
      <c r="B320" s="17">
        <v>903</v>
      </c>
      <c r="C320" s="21" t="s">
        <v>362</v>
      </c>
      <c r="D320" s="21" t="s">
        <v>181</v>
      </c>
      <c r="E320" s="21" t="s">
        <v>791</v>
      </c>
      <c r="F320" s="21" t="s">
        <v>338</v>
      </c>
      <c r="G320" s="28">
        <v>0.4</v>
      </c>
      <c r="H320" s="132"/>
    </row>
    <row r="321" spans="1:8" ht="47.25" hidden="1" x14ac:dyDescent="0.25">
      <c r="A321" s="26" t="s">
        <v>339</v>
      </c>
      <c r="B321" s="17">
        <v>903</v>
      </c>
      <c r="C321" s="21" t="s">
        <v>362</v>
      </c>
      <c r="D321" s="21" t="s">
        <v>181</v>
      </c>
      <c r="E321" s="21" t="s">
        <v>380</v>
      </c>
      <c r="F321" s="21"/>
      <c r="G321" s="27">
        <f t="shared" ref="G321:G322" si="42">G322</f>
        <v>0</v>
      </c>
      <c r="H321" s="221"/>
    </row>
    <row r="322" spans="1:8" ht="47.25" hidden="1" x14ac:dyDescent="0.25">
      <c r="A322" s="26" t="s">
        <v>335</v>
      </c>
      <c r="B322" s="17">
        <v>903</v>
      </c>
      <c r="C322" s="21" t="s">
        <v>362</v>
      </c>
      <c r="D322" s="21" t="s">
        <v>181</v>
      </c>
      <c r="E322" s="21" t="s">
        <v>380</v>
      </c>
      <c r="F322" s="21" t="s">
        <v>336</v>
      </c>
      <c r="G322" s="27">
        <f t="shared" si="42"/>
        <v>0</v>
      </c>
      <c r="H322" s="221"/>
    </row>
    <row r="323" spans="1:8" ht="15.75" hidden="1" x14ac:dyDescent="0.25">
      <c r="A323" s="26" t="s">
        <v>337</v>
      </c>
      <c r="B323" s="17">
        <v>903</v>
      </c>
      <c r="C323" s="21" t="s">
        <v>362</v>
      </c>
      <c r="D323" s="21" t="s">
        <v>181</v>
      </c>
      <c r="E323" s="21" t="s">
        <v>380</v>
      </c>
      <c r="F323" s="21" t="s">
        <v>338</v>
      </c>
      <c r="G323" s="27">
        <v>0</v>
      </c>
      <c r="H323" s="221"/>
    </row>
    <row r="324" spans="1:8" ht="47.25" hidden="1" x14ac:dyDescent="0.25">
      <c r="A324" s="26" t="s">
        <v>341</v>
      </c>
      <c r="B324" s="17">
        <v>903</v>
      </c>
      <c r="C324" s="21" t="s">
        <v>362</v>
      </c>
      <c r="D324" s="21" t="s">
        <v>181</v>
      </c>
      <c r="E324" s="21" t="s">
        <v>381</v>
      </c>
      <c r="F324" s="21"/>
      <c r="G324" s="27">
        <f t="shared" ref="G324:G325" si="43">G325</f>
        <v>0</v>
      </c>
      <c r="H324" s="221"/>
    </row>
    <row r="325" spans="1:8" ht="47.25" hidden="1" x14ac:dyDescent="0.25">
      <c r="A325" s="26" t="s">
        <v>335</v>
      </c>
      <c r="B325" s="17">
        <v>903</v>
      </c>
      <c r="C325" s="21" t="s">
        <v>362</v>
      </c>
      <c r="D325" s="21" t="s">
        <v>181</v>
      </c>
      <c r="E325" s="21" t="s">
        <v>381</v>
      </c>
      <c r="F325" s="21" t="s">
        <v>336</v>
      </c>
      <c r="G325" s="27">
        <f t="shared" si="43"/>
        <v>0</v>
      </c>
      <c r="H325" s="221"/>
    </row>
    <row r="326" spans="1:8" ht="15.75" hidden="1" x14ac:dyDescent="0.25">
      <c r="A326" s="26" t="s">
        <v>337</v>
      </c>
      <c r="B326" s="17">
        <v>903</v>
      </c>
      <c r="C326" s="21" t="s">
        <v>362</v>
      </c>
      <c r="D326" s="21" t="s">
        <v>181</v>
      </c>
      <c r="E326" s="21" t="s">
        <v>381</v>
      </c>
      <c r="F326" s="21" t="s">
        <v>338</v>
      </c>
      <c r="G326" s="27">
        <v>0</v>
      </c>
      <c r="H326" s="221"/>
    </row>
    <row r="327" spans="1:8" ht="31.5" hidden="1" x14ac:dyDescent="0.25">
      <c r="A327" s="26" t="s">
        <v>343</v>
      </c>
      <c r="B327" s="17">
        <v>903</v>
      </c>
      <c r="C327" s="21" t="s">
        <v>362</v>
      </c>
      <c r="D327" s="21" t="s">
        <v>181</v>
      </c>
      <c r="E327" s="21" t="s">
        <v>382</v>
      </c>
      <c r="F327" s="21"/>
      <c r="G327" s="27">
        <f t="shared" ref="G327:G328" si="44">G328</f>
        <v>0</v>
      </c>
      <c r="H327" s="221"/>
    </row>
    <row r="328" spans="1:8" ht="47.25" hidden="1" x14ac:dyDescent="0.25">
      <c r="A328" s="26" t="s">
        <v>335</v>
      </c>
      <c r="B328" s="17">
        <v>903</v>
      </c>
      <c r="C328" s="21" t="s">
        <v>362</v>
      </c>
      <c r="D328" s="21" t="s">
        <v>181</v>
      </c>
      <c r="E328" s="21" t="s">
        <v>382</v>
      </c>
      <c r="F328" s="21" t="s">
        <v>336</v>
      </c>
      <c r="G328" s="27">
        <f t="shared" si="44"/>
        <v>0</v>
      </c>
      <c r="H328" s="221"/>
    </row>
    <row r="329" spans="1:8" ht="15.75" hidden="1" x14ac:dyDescent="0.25">
      <c r="A329" s="26" t="s">
        <v>337</v>
      </c>
      <c r="B329" s="17">
        <v>903</v>
      </c>
      <c r="C329" s="21" t="s">
        <v>362</v>
      </c>
      <c r="D329" s="21" t="s">
        <v>181</v>
      </c>
      <c r="E329" s="21" t="s">
        <v>382</v>
      </c>
      <c r="F329" s="21" t="s">
        <v>338</v>
      </c>
      <c r="G329" s="27">
        <v>0</v>
      </c>
      <c r="H329" s="221"/>
    </row>
    <row r="330" spans="1:8" ht="31.5" hidden="1" x14ac:dyDescent="0.25">
      <c r="A330" s="26" t="s">
        <v>347</v>
      </c>
      <c r="B330" s="17">
        <v>903</v>
      </c>
      <c r="C330" s="21" t="s">
        <v>362</v>
      </c>
      <c r="D330" s="21" t="s">
        <v>181</v>
      </c>
      <c r="E330" s="21" t="s">
        <v>383</v>
      </c>
      <c r="F330" s="21"/>
      <c r="G330" s="27">
        <f t="shared" ref="G330:G331" si="45">G331</f>
        <v>0</v>
      </c>
      <c r="H330" s="221"/>
    </row>
    <row r="331" spans="1:8" ht="47.25" hidden="1" x14ac:dyDescent="0.25">
      <c r="A331" s="26" t="s">
        <v>335</v>
      </c>
      <c r="B331" s="17">
        <v>903</v>
      </c>
      <c r="C331" s="21" t="s">
        <v>362</v>
      </c>
      <c r="D331" s="21" t="s">
        <v>181</v>
      </c>
      <c r="E331" s="21" t="s">
        <v>383</v>
      </c>
      <c r="F331" s="21" t="s">
        <v>336</v>
      </c>
      <c r="G331" s="27">
        <f t="shared" si="45"/>
        <v>0</v>
      </c>
      <c r="H331" s="221"/>
    </row>
    <row r="332" spans="1:8" ht="15.75" hidden="1" x14ac:dyDescent="0.25">
      <c r="A332" s="26" t="s">
        <v>337</v>
      </c>
      <c r="B332" s="17">
        <v>903</v>
      </c>
      <c r="C332" s="21" t="s">
        <v>362</v>
      </c>
      <c r="D332" s="21" t="s">
        <v>181</v>
      </c>
      <c r="E332" s="21" t="s">
        <v>383</v>
      </c>
      <c r="F332" s="21" t="s">
        <v>338</v>
      </c>
      <c r="G332" s="27">
        <v>0</v>
      </c>
      <c r="H332" s="221"/>
    </row>
    <row r="333" spans="1:8" ht="47.25" hidden="1" x14ac:dyDescent="0.25">
      <c r="A333" s="37" t="s">
        <v>384</v>
      </c>
      <c r="B333" s="17">
        <v>903</v>
      </c>
      <c r="C333" s="21" t="s">
        <v>362</v>
      </c>
      <c r="D333" s="21" t="s">
        <v>181</v>
      </c>
      <c r="E333" s="21" t="s">
        <v>385</v>
      </c>
      <c r="F333" s="21"/>
      <c r="G333" s="27">
        <f t="shared" ref="G333:G334" si="46">G334</f>
        <v>0</v>
      </c>
      <c r="H333" s="221"/>
    </row>
    <row r="334" spans="1:8" ht="47.25" hidden="1" x14ac:dyDescent="0.25">
      <c r="A334" s="26" t="s">
        <v>335</v>
      </c>
      <c r="B334" s="17">
        <v>903</v>
      </c>
      <c r="C334" s="21" t="s">
        <v>362</v>
      </c>
      <c r="D334" s="21" t="s">
        <v>181</v>
      </c>
      <c r="E334" s="21" t="s">
        <v>385</v>
      </c>
      <c r="F334" s="21" t="s">
        <v>336</v>
      </c>
      <c r="G334" s="27">
        <f t="shared" si="46"/>
        <v>0</v>
      </c>
      <c r="H334" s="221"/>
    </row>
    <row r="335" spans="1:8" ht="15.75" hidden="1" x14ac:dyDescent="0.25">
      <c r="A335" s="26" t="s">
        <v>337</v>
      </c>
      <c r="B335" s="17">
        <v>903</v>
      </c>
      <c r="C335" s="21" t="s">
        <v>362</v>
      </c>
      <c r="D335" s="21" t="s">
        <v>181</v>
      </c>
      <c r="E335" s="21" t="s">
        <v>385</v>
      </c>
      <c r="F335" s="21" t="s">
        <v>338</v>
      </c>
      <c r="G335" s="27">
        <v>0</v>
      </c>
      <c r="H335" s="221"/>
    </row>
    <row r="336" spans="1:8" ht="78.75" x14ac:dyDescent="0.25">
      <c r="A336" s="31" t="s">
        <v>386</v>
      </c>
      <c r="B336" s="17">
        <v>903</v>
      </c>
      <c r="C336" s="21" t="s">
        <v>362</v>
      </c>
      <c r="D336" s="21" t="s">
        <v>181</v>
      </c>
      <c r="E336" s="42" t="s">
        <v>387</v>
      </c>
      <c r="F336" s="21"/>
      <c r="G336" s="27">
        <f>G337</f>
        <v>186.8</v>
      </c>
      <c r="H336" s="221"/>
    </row>
    <row r="337" spans="1:9" ht="47.25" x14ac:dyDescent="0.25">
      <c r="A337" s="26" t="s">
        <v>388</v>
      </c>
      <c r="B337" s="17">
        <v>903</v>
      </c>
      <c r="C337" s="21" t="s">
        <v>362</v>
      </c>
      <c r="D337" s="21" t="s">
        <v>181</v>
      </c>
      <c r="E337" s="42" t="s">
        <v>389</v>
      </c>
      <c r="F337" s="21"/>
      <c r="G337" s="27">
        <f t="shared" ref="G337" si="47">G338</f>
        <v>186.8</v>
      </c>
      <c r="H337" s="221"/>
    </row>
    <row r="338" spans="1:9" ht="47.25" x14ac:dyDescent="0.25">
      <c r="A338" s="26" t="s">
        <v>335</v>
      </c>
      <c r="B338" s="17">
        <v>903</v>
      </c>
      <c r="C338" s="21" t="s">
        <v>362</v>
      </c>
      <c r="D338" s="21" t="s">
        <v>181</v>
      </c>
      <c r="E338" s="42" t="s">
        <v>389</v>
      </c>
      <c r="F338" s="21" t="s">
        <v>336</v>
      </c>
      <c r="G338" s="27">
        <f>G339</f>
        <v>186.8</v>
      </c>
      <c r="H338" s="221"/>
    </row>
    <row r="339" spans="1:9" ht="15.75" x14ac:dyDescent="0.25">
      <c r="A339" s="26" t="s">
        <v>337</v>
      </c>
      <c r="B339" s="17">
        <v>903</v>
      </c>
      <c r="C339" s="21" t="s">
        <v>362</v>
      </c>
      <c r="D339" s="21" t="s">
        <v>181</v>
      </c>
      <c r="E339" s="42" t="s">
        <v>389</v>
      </c>
      <c r="F339" s="21" t="s">
        <v>338</v>
      </c>
      <c r="G339" s="27">
        <f>200-13.2</f>
        <v>186.8</v>
      </c>
      <c r="H339" s="221" t="s">
        <v>935</v>
      </c>
    </row>
    <row r="340" spans="1:9" ht="15.75" x14ac:dyDescent="0.25">
      <c r="A340" s="26" t="s">
        <v>184</v>
      </c>
      <c r="B340" s="17">
        <v>903</v>
      </c>
      <c r="C340" s="21" t="s">
        <v>362</v>
      </c>
      <c r="D340" s="21" t="s">
        <v>181</v>
      </c>
      <c r="E340" s="21" t="s">
        <v>185</v>
      </c>
      <c r="F340" s="21"/>
      <c r="G340" s="27">
        <f>G341</f>
        <v>2037.9</v>
      </c>
      <c r="H340" s="221"/>
    </row>
    <row r="341" spans="1:9" ht="31.5" x14ac:dyDescent="0.25">
      <c r="A341" s="26" t="s">
        <v>248</v>
      </c>
      <c r="B341" s="17">
        <v>903</v>
      </c>
      <c r="C341" s="21" t="s">
        <v>362</v>
      </c>
      <c r="D341" s="21" t="s">
        <v>181</v>
      </c>
      <c r="E341" s="21" t="s">
        <v>249</v>
      </c>
      <c r="F341" s="21"/>
      <c r="G341" s="27">
        <f>G342+G347+G352+G355+G358</f>
        <v>2037.9</v>
      </c>
      <c r="H341" s="221"/>
    </row>
    <row r="342" spans="1:9" ht="31.5" hidden="1" x14ac:dyDescent="0.25">
      <c r="A342" s="38" t="s">
        <v>390</v>
      </c>
      <c r="B342" s="39">
        <v>903</v>
      </c>
      <c r="C342" s="21" t="s">
        <v>362</v>
      </c>
      <c r="D342" s="21" t="s">
        <v>181</v>
      </c>
      <c r="E342" s="21" t="s">
        <v>391</v>
      </c>
      <c r="F342" s="21"/>
      <c r="G342" s="27">
        <f t="shared" ref="G342" si="48">G343+G345</f>
        <v>0</v>
      </c>
      <c r="H342" s="221"/>
    </row>
    <row r="343" spans="1:9" ht="31.5" hidden="1" x14ac:dyDescent="0.25">
      <c r="A343" s="26" t="s">
        <v>194</v>
      </c>
      <c r="B343" s="39">
        <v>903</v>
      </c>
      <c r="C343" s="21" t="s">
        <v>362</v>
      </c>
      <c r="D343" s="21" t="s">
        <v>181</v>
      </c>
      <c r="E343" s="21" t="s">
        <v>391</v>
      </c>
      <c r="F343" s="21" t="s">
        <v>195</v>
      </c>
      <c r="G343" s="27">
        <f t="shared" ref="G343" si="49">G344</f>
        <v>0</v>
      </c>
      <c r="H343" s="221"/>
    </row>
    <row r="344" spans="1:9" ht="47.25" hidden="1" x14ac:dyDescent="0.25">
      <c r="A344" s="26" t="s">
        <v>196</v>
      </c>
      <c r="B344" s="17">
        <v>903</v>
      </c>
      <c r="C344" s="21" t="s">
        <v>362</v>
      </c>
      <c r="D344" s="21" t="s">
        <v>181</v>
      </c>
      <c r="E344" s="21" t="s">
        <v>391</v>
      </c>
      <c r="F344" s="21" t="s">
        <v>197</v>
      </c>
      <c r="G344" s="27">
        <f>1.4-1.4</f>
        <v>0</v>
      </c>
      <c r="H344" s="221"/>
      <c r="I344" s="141"/>
    </row>
    <row r="345" spans="1:9" ht="47.25" hidden="1" x14ac:dyDescent="0.25">
      <c r="A345" s="26" t="s">
        <v>335</v>
      </c>
      <c r="B345" s="17">
        <v>903</v>
      </c>
      <c r="C345" s="21" t="s">
        <v>362</v>
      </c>
      <c r="D345" s="21" t="s">
        <v>181</v>
      </c>
      <c r="E345" s="21" t="s">
        <v>391</v>
      </c>
      <c r="F345" s="21" t="s">
        <v>336</v>
      </c>
      <c r="G345" s="27">
        <f t="shared" ref="G345" si="50">G346</f>
        <v>0</v>
      </c>
      <c r="H345" s="221"/>
    </row>
    <row r="346" spans="1:9" ht="15.75" hidden="1" x14ac:dyDescent="0.25">
      <c r="A346" s="26" t="s">
        <v>337</v>
      </c>
      <c r="B346" s="17">
        <v>903</v>
      </c>
      <c r="C346" s="21" t="s">
        <v>362</v>
      </c>
      <c r="D346" s="21" t="s">
        <v>181</v>
      </c>
      <c r="E346" s="21" t="s">
        <v>391</v>
      </c>
      <c r="F346" s="21" t="s">
        <v>338</v>
      </c>
      <c r="G346" s="27">
        <f>2.9-2.9</f>
        <v>0</v>
      </c>
      <c r="H346" s="221"/>
      <c r="I346" s="141"/>
    </row>
    <row r="347" spans="1:9" ht="31.5" x14ac:dyDescent="0.25">
      <c r="A347" s="26" t="s">
        <v>392</v>
      </c>
      <c r="B347" s="17">
        <v>903</v>
      </c>
      <c r="C347" s="21" t="s">
        <v>362</v>
      </c>
      <c r="D347" s="21" t="s">
        <v>181</v>
      </c>
      <c r="E347" s="21" t="s">
        <v>393</v>
      </c>
      <c r="F347" s="21"/>
      <c r="G347" s="27">
        <f>G348+G350</f>
        <v>177.3</v>
      </c>
      <c r="H347" s="221"/>
    </row>
    <row r="348" spans="1:9" ht="31.5" hidden="1" x14ac:dyDescent="0.25">
      <c r="A348" s="26" t="s">
        <v>194</v>
      </c>
      <c r="B348" s="17">
        <v>903</v>
      </c>
      <c r="C348" s="21" t="s">
        <v>362</v>
      </c>
      <c r="D348" s="21" t="s">
        <v>181</v>
      </c>
      <c r="E348" s="21" t="s">
        <v>393</v>
      </c>
      <c r="F348" s="21" t="s">
        <v>195</v>
      </c>
      <c r="G348" s="27">
        <f t="shared" ref="G348" si="51">G349</f>
        <v>0</v>
      </c>
      <c r="H348" s="221"/>
    </row>
    <row r="349" spans="1:9" ht="47.25" hidden="1" x14ac:dyDescent="0.25">
      <c r="A349" s="26" t="s">
        <v>196</v>
      </c>
      <c r="B349" s="17">
        <v>903</v>
      </c>
      <c r="C349" s="21" t="s">
        <v>362</v>
      </c>
      <c r="D349" s="21" t="s">
        <v>181</v>
      </c>
      <c r="E349" s="21" t="s">
        <v>393</v>
      </c>
      <c r="F349" s="40">
        <v>240</v>
      </c>
      <c r="G349" s="27">
        <v>0</v>
      </c>
      <c r="H349" s="221"/>
    </row>
    <row r="350" spans="1:9" ht="47.25" x14ac:dyDescent="0.25">
      <c r="A350" s="26" t="s">
        <v>335</v>
      </c>
      <c r="B350" s="17">
        <v>903</v>
      </c>
      <c r="C350" s="21" t="s">
        <v>362</v>
      </c>
      <c r="D350" s="21" t="s">
        <v>181</v>
      </c>
      <c r="E350" s="21" t="s">
        <v>393</v>
      </c>
      <c r="F350" s="21" t="s">
        <v>336</v>
      </c>
      <c r="G350" s="27">
        <f t="shared" ref="G350" si="52">G351</f>
        <v>177.3</v>
      </c>
      <c r="H350" s="221"/>
    </row>
    <row r="351" spans="1:9" ht="15.75" x14ac:dyDescent="0.25">
      <c r="A351" s="26" t="s">
        <v>337</v>
      </c>
      <c r="B351" s="17">
        <v>903</v>
      </c>
      <c r="C351" s="21" t="s">
        <v>362</v>
      </c>
      <c r="D351" s="21" t="s">
        <v>181</v>
      </c>
      <c r="E351" s="21" t="s">
        <v>393</v>
      </c>
      <c r="F351" s="21" t="s">
        <v>338</v>
      </c>
      <c r="G351" s="27">
        <f>274.5-97.2</f>
        <v>177.3</v>
      </c>
      <c r="H351" s="221"/>
      <c r="I351" s="141"/>
    </row>
    <row r="352" spans="1:9" ht="78.75" x14ac:dyDescent="0.25">
      <c r="A352" s="26" t="s">
        <v>394</v>
      </c>
      <c r="B352" s="17">
        <v>903</v>
      </c>
      <c r="C352" s="21" t="s">
        <v>362</v>
      </c>
      <c r="D352" s="21" t="s">
        <v>181</v>
      </c>
      <c r="E352" s="21" t="s">
        <v>395</v>
      </c>
      <c r="F352" s="21"/>
      <c r="G352" s="27">
        <f t="shared" ref="G352" si="53">G353</f>
        <v>263.3</v>
      </c>
      <c r="H352" s="221"/>
    </row>
    <row r="353" spans="1:9" ht="47.25" x14ac:dyDescent="0.25">
      <c r="A353" s="26" t="s">
        <v>335</v>
      </c>
      <c r="B353" s="17">
        <v>903</v>
      </c>
      <c r="C353" s="21" t="s">
        <v>362</v>
      </c>
      <c r="D353" s="21" t="s">
        <v>181</v>
      </c>
      <c r="E353" s="21" t="s">
        <v>395</v>
      </c>
      <c r="F353" s="21" t="s">
        <v>336</v>
      </c>
      <c r="G353" s="27">
        <f>G354</f>
        <v>263.3</v>
      </c>
      <c r="H353" s="221"/>
    </row>
    <row r="354" spans="1:9" ht="15.75" x14ac:dyDescent="0.25">
      <c r="A354" s="26" t="s">
        <v>337</v>
      </c>
      <c r="B354" s="17">
        <v>903</v>
      </c>
      <c r="C354" s="21" t="s">
        <v>362</v>
      </c>
      <c r="D354" s="21" t="s">
        <v>181</v>
      </c>
      <c r="E354" s="21" t="s">
        <v>395</v>
      </c>
      <c r="F354" s="21" t="s">
        <v>338</v>
      </c>
      <c r="G354" s="27">
        <f>247.6+15.7</f>
        <v>263.3</v>
      </c>
      <c r="H354" s="221"/>
      <c r="I354" s="141"/>
    </row>
    <row r="355" spans="1:9" ht="110.25" x14ac:dyDescent="0.25">
      <c r="A355" s="33" t="s">
        <v>356</v>
      </c>
      <c r="B355" s="17">
        <v>903</v>
      </c>
      <c r="C355" s="21" t="s">
        <v>362</v>
      </c>
      <c r="D355" s="21" t="s">
        <v>181</v>
      </c>
      <c r="E355" s="21" t="s">
        <v>357</v>
      </c>
      <c r="F355" s="21"/>
      <c r="G355" s="27">
        <f t="shared" ref="G355" si="54">G356</f>
        <v>1593.3000000000002</v>
      </c>
      <c r="H355" s="221"/>
    </row>
    <row r="356" spans="1:9" ht="47.25" x14ac:dyDescent="0.25">
      <c r="A356" s="26" t="s">
        <v>335</v>
      </c>
      <c r="B356" s="17">
        <v>903</v>
      </c>
      <c r="C356" s="21" t="s">
        <v>362</v>
      </c>
      <c r="D356" s="21" t="s">
        <v>181</v>
      </c>
      <c r="E356" s="21" t="s">
        <v>357</v>
      </c>
      <c r="F356" s="21" t="s">
        <v>336</v>
      </c>
      <c r="G356" s="27">
        <f>G357</f>
        <v>1593.3000000000002</v>
      </c>
      <c r="H356" s="221"/>
    </row>
    <row r="357" spans="1:9" ht="15.75" x14ac:dyDescent="0.25">
      <c r="A357" s="26" t="s">
        <v>337</v>
      </c>
      <c r="B357" s="17">
        <v>903</v>
      </c>
      <c r="C357" s="21" t="s">
        <v>362</v>
      </c>
      <c r="D357" s="21" t="s">
        <v>181</v>
      </c>
      <c r="E357" s="21" t="s">
        <v>357</v>
      </c>
      <c r="F357" s="21" t="s">
        <v>338</v>
      </c>
      <c r="G357" s="27">
        <f>1929.4-236.1-100</f>
        <v>1593.3000000000002</v>
      </c>
      <c r="H357" s="221" t="s">
        <v>859</v>
      </c>
    </row>
    <row r="358" spans="1:9" ht="15.75" x14ac:dyDescent="0.25">
      <c r="A358" s="33" t="s">
        <v>792</v>
      </c>
      <c r="B358" s="17">
        <v>903</v>
      </c>
      <c r="C358" s="21" t="s">
        <v>362</v>
      </c>
      <c r="D358" s="21" t="s">
        <v>181</v>
      </c>
      <c r="E358" s="21" t="s">
        <v>793</v>
      </c>
      <c r="F358" s="21"/>
      <c r="G358" s="27">
        <f>G359</f>
        <v>4</v>
      </c>
      <c r="H358" s="221"/>
    </row>
    <row r="359" spans="1:9" ht="47.25" x14ac:dyDescent="0.25">
      <c r="A359" s="26" t="s">
        <v>335</v>
      </c>
      <c r="B359" s="17">
        <v>903</v>
      </c>
      <c r="C359" s="21" t="s">
        <v>362</v>
      </c>
      <c r="D359" s="21" t="s">
        <v>181</v>
      </c>
      <c r="E359" s="21" t="s">
        <v>793</v>
      </c>
      <c r="F359" s="21" t="s">
        <v>336</v>
      </c>
      <c r="G359" s="27">
        <f>G360</f>
        <v>4</v>
      </c>
      <c r="H359" s="221"/>
    </row>
    <row r="360" spans="1:9" ht="15.75" x14ac:dyDescent="0.25">
      <c r="A360" s="26" t="s">
        <v>337</v>
      </c>
      <c r="B360" s="17">
        <v>903</v>
      </c>
      <c r="C360" s="21" t="s">
        <v>362</v>
      </c>
      <c r="D360" s="21" t="s">
        <v>181</v>
      </c>
      <c r="E360" s="21" t="s">
        <v>793</v>
      </c>
      <c r="F360" s="21" t="s">
        <v>338</v>
      </c>
      <c r="G360" s="27">
        <v>4</v>
      </c>
      <c r="H360" s="132"/>
    </row>
    <row r="361" spans="1:9" ht="31.5" x14ac:dyDescent="0.25">
      <c r="A361" s="24" t="s">
        <v>396</v>
      </c>
      <c r="B361" s="20">
        <v>903</v>
      </c>
      <c r="C361" s="25" t="s">
        <v>362</v>
      </c>
      <c r="D361" s="25" t="s">
        <v>213</v>
      </c>
      <c r="E361" s="25"/>
      <c r="F361" s="25"/>
      <c r="G361" s="22">
        <f>G362+G381+G377</f>
        <v>17879.699999999997</v>
      </c>
      <c r="H361" s="221"/>
    </row>
    <row r="362" spans="1:9" ht="47.25" x14ac:dyDescent="0.25">
      <c r="A362" s="26" t="s">
        <v>397</v>
      </c>
      <c r="B362" s="17">
        <v>903</v>
      </c>
      <c r="C362" s="21" t="s">
        <v>362</v>
      </c>
      <c r="D362" s="21" t="s">
        <v>213</v>
      </c>
      <c r="E362" s="21" t="s">
        <v>398</v>
      </c>
      <c r="F362" s="21"/>
      <c r="G362" s="27">
        <f>G363+G371+G374+G366</f>
        <v>125</v>
      </c>
      <c r="H362" s="221"/>
      <c r="I362" s="141"/>
    </row>
    <row r="363" spans="1:9" ht="31.5" hidden="1" x14ac:dyDescent="0.25">
      <c r="A363" s="26" t="s">
        <v>399</v>
      </c>
      <c r="B363" s="17">
        <v>903</v>
      </c>
      <c r="C363" s="21" t="s">
        <v>362</v>
      </c>
      <c r="D363" s="21" t="s">
        <v>213</v>
      </c>
      <c r="E363" s="21" t="s">
        <v>400</v>
      </c>
      <c r="F363" s="21"/>
      <c r="G363" s="27">
        <f>G364</f>
        <v>0</v>
      </c>
      <c r="H363" s="221"/>
    </row>
    <row r="364" spans="1:9" ht="31.5" hidden="1" x14ac:dyDescent="0.25">
      <c r="A364" s="26" t="s">
        <v>194</v>
      </c>
      <c r="B364" s="17">
        <v>903</v>
      </c>
      <c r="C364" s="21" t="s">
        <v>362</v>
      </c>
      <c r="D364" s="21" t="s">
        <v>213</v>
      </c>
      <c r="E364" s="21" t="s">
        <v>400</v>
      </c>
      <c r="F364" s="21" t="s">
        <v>195</v>
      </c>
      <c r="G364" s="27">
        <f>G365</f>
        <v>0</v>
      </c>
      <c r="H364" s="221"/>
    </row>
    <row r="365" spans="1:9" ht="47.25" hidden="1" x14ac:dyDescent="0.25">
      <c r="A365" s="26" t="s">
        <v>196</v>
      </c>
      <c r="B365" s="17">
        <v>903</v>
      </c>
      <c r="C365" s="21" t="s">
        <v>362</v>
      </c>
      <c r="D365" s="21" t="s">
        <v>213</v>
      </c>
      <c r="E365" s="21" t="s">
        <v>400</v>
      </c>
      <c r="F365" s="21" t="s">
        <v>197</v>
      </c>
      <c r="G365" s="27">
        <v>0</v>
      </c>
      <c r="H365" s="221"/>
    </row>
    <row r="366" spans="1:9" ht="63" hidden="1" x14ac:dyDescent="0.25">
      <c r="A366" s="26" t="s">
        <v>540</v>
      </c>
      <c r="B366" s="17">
        <v>903</v>
      </c>
      <c r="C366" s="21" t="s">
        <v>362</v>
      </c>
      <c r="D366" s="21" t="s">
        <v>213</v>
      </c>
      <c r="E366" s="21" t="s">
        <v>541</v>
      </c>
      <c r="F366" s="21"/>
      <c r="G366" s="27">
        <f>G367+G369</f>
        <v>0</v>
      </c>
      <c r="H366" s="221"/>
    </row>
    <row r="367" spans="1:9" ht="94.5" hidden="1" x14ac:dyDescent="0.25">
      <c r="A367" s="26" t="s">
        <v>190</v>
      </c>
      <c r="B367" s="17">
        <v>903</v>
      </c>
      <c r="C367" s="21" t="s">
        <v>362</v>
      </c>
      <c r="D367" s="21" t="s">
        <v>213</v>
      </c>
      <c r="E367" s="21" t="s">
        <v>541</v>
      </c>
      <c r="F367" s="21" t="s">
        <v>191</v>
      </c>
      <c r="G367" s="27">
        <f>G368</f>
        <v>0</v>
      </c>
      <c r="H367" s="221"/>
    </row>
    <row r="368" spans="1:9" ht="31.5" hidden="1" x14ac:dyDescent="0.25">
      <c r="A368" s="26" t="s">
        <v>405</v>
      </c>
      <c r="B368" s="17">
        <v>903</v>
      </c>
      <c r="C368" s="21" t="s">
        <v>362</v>
      </c>
      <c r="D368" s="21" t="s">
        <v>213</v>
      </c>
      <c r="E368" s="21" t="s">
        <v>541</v>
      </c>
      <c r="F368" s="21" t="s">
        <v>272</v>
      </c>
      <c r="G368" s="27">
        <f>5-5</f>
        <v>0</v>
      </c>
      <c r="H368" s="221" t="s">
        <v>936</v>
      </c>
    </row>
    <row r="369" spans="1:9" ht="31.5" hidden="1" x14ac:dyDescent="0.25">
      <c r="A369" s="26" t="s">
        <v>194</v>
      </c>
      <c r="B369" s="17">
        <v>903</v>
      </c>
      <c r="C369" s="21" t="s">
        <v>362</v>
      </c>
      <c r="D369" s="21" t="s">
        <v>213</v>
      </c>
      <c r="E369" s="21" t="s">
        <v>541</v>
      </c>
      <c r="F369" s="21" t="s">
        <v>195</v>
      </c>
      <c r="G369" s="27">
        <f>G370</f>
        <v>0</v>
      </c>
      <c r="H369" s="221"/>
    </row>
    <row r="370" spans="1:9" ht="47.25" hidden="1" x14ac:dyDescent="0.25">
      <c r="A370" s="26" t="s">
        <v>196</v>
      </c>
      <c r="B370" s="17">
        <v>903</v>
      </c>
      <c r="C370" s="21" t="s">
        <v>362</v>
      </c>
      <c r="D370" s="21" t="s">
        <v>213</v>
      </c>
      <c r="E370" s="21" t="s">
        <v>541</v>
      </c>
      <c r="F370" s="21" t="s">
        <v>197</v>
      </c>
      <c r="G370" s="27">
        <f>15-15</f>
        <v>0</v>
      </c>
      <c r="H370" s="221" t="s">
        <v>937</v>
      </c>
    </row>
    <row r="371" spans="1:9" ht="31.5" x14ac:dyDescent="0.25">
      <c r="A371" s="26" t="s">
        <v>401</v>
      </c>
      <c r="B371" s="17">
        <v>903</v>
      </c>
      <c r="C371" s="21" t="s">
        <v>362</v>
      </c>
      <c r="D371" s="21" t="s">
        <v>213</v>
      </c>
      <c r="E371" s="21" t="s">
        <v>402</v>
      </c>
      <c r="F371" s="21"/>
      <c r="G371" s="27">
        <f>G372</f>
        <v>20</v>
      </c>
      <c r="H371" s="221"/>
    </row>
    <row r="372" spans="1:9" ht="31.5" x14ac:dyDescent="0.25">
      <c r="A372" s="26" t="s">
        <v>194</v>
      </c>
      <c r="B372" s="17">
        <v>903</v>
      </c>
      <c r="C372" s="21" t="s">
        <v>362</v>
      </c>
      <c r="D372" s="21" t="s">
        <v>213</v>
      </c>
      <c r="E372" s="21" t="s">
        <v>402</v>
      </c>
      <c r="F372" s="21" t="s">
        <v>195</v>
      </c>
      <c r="G372" s="27">
        <f>G373</f>
        <v>20</v>
      </c>
      <c r="H372" s="221"/>
    </row>
    <row r="373" spans="1:9" ht="47.25" x14ac:dyDescent="0.25">
      <c r="A373" s="26" t="s">
        <v>196</v>
      </c>
      <c r="B373" s="17">
        <v>903</v>
      </c>
      <c r="C373" s="21" t="s">
        <v>362</v>
      </c>
      <c r="D373" s="21" t="s">
        <v>213</v>
      </c>
      <c r="E373" s="21" t="s">
        <v>402</v>
      </c>
      <c r="F373" s="21" t="s">
        <v>197</v>
      </c>
      <c r="G373" s="27">
        <v>20</v>
      </c>
      <c r="H373" s="221"/>
    </row>
    <row r="374" spans="1:9" ht="63" x14ac:dyDescent="0.25">
      <c r="A374" s="26" t="s">
        <v>844</v>
      </c>
      <c r="B374" s="17">
        <v>903</v>
      </c>
      <c r="C374" s="21" t="s">
        <v>362</v>
      </c>
      <c r="D374" s="21" t="s">
        <v>213</v>
      </c>
      <c r="E374" s="21" t="s">
        <v>787</v>
      </c>
      <c r="F374" s="21"/>
      <c r="G374" s="27">
        <f>G375</f>
        <v>105</v>
      </c>
      <c r="H374" s="221"/>
    </row>
    <row r="375" spans="1:9" ht="39.75" customHeight="1" x14ac:dyDescent="0.25">
      <c r="A375" s="26" t="s">
        <v>194</v>
      </c>
      <c r="B375" s="17">
        <v>903</v>
      </c>
      <c r="C375" s="21" t="s">
        <v>362</v>
      </c>
      <c r="D375" s="21" t="s">
        <v>213</v>
      </c>
      <c r="E375" s="21" t="s">
        <v>787</v>
      </c>
      <c r="F375" s="21" t="s">
        <v>195</v>
      </c>
      <c r="G375" s="27">
        <f>G376</f>
        <v>105</v>
      </c>
      <c r="H375" s="221"/>
    </row>
    <row r="376" spans="1:9" ht="47.25" x14ac:dyDescent="0.25">
      <c r="A376" s="26" t="s">
        <v>196</v>
      </c>
      <c r="B376" s="17">
        <v>903</v>
      </c>
      <c r="C376" s="21" t="s">
        <v>362</v>
      </c>
      <c r="D376" s="21" t="s">
        <v>213</v>
      </c>
      <c r="E376" s="21" t="s">
        <v>787</v>
      </c>
      <c r="F376" s="21" t="s">
        <v>197</v>
      </c>
      <c r="G376" s="27">
        <f>55+50</f>
        <v>105</v>
      </c>
      <c r="H376" s="132"/>
      <c r="I376" s="152"/>
    </row>
    <row r="377" spans="1:9" ht="63" x14ac:dyDescent="0.25">
      <c r="A377" s="31" t="s">
        <v>843</v>
      </c>
      <c r="B377" s="17">
        <v>903</v>
      </c>
      <c r="C377" s="21" t="s">
        <v>362</v>
      </c>
      <c r="D377" s="21" t="s">
        <v>213</v>
      </c>
      <c r="E377" s="21" t="s">
        <v>841</v>
      </c>
      <c r="F377" s="21"/>
      <c r="G377" s="27">
        <f>G378</f>
        <v>5</v>
      </c>
      <c r="H377" s="221"/>
    </row>
    <row r="378" spans="1:9" ht="31.5" x14ac:dyDescent="0.25">
      <c r="A378" s="26" t="s">
        <v>432</v>
      </c>
      <c r="B378" s="17">
        <v>903</v>
      </c>
      <c r="C378" s="21" t="s">
        <v>362</v>
      </c>
      <c r="D378" s="21" t="s">
        <v>213</v>
      </c>
      <c r="E378" s="21" t="s">
        <v>849</v>
      </c>
      <c r="F378" s="21"/>
      <c r="G378" s="27">
        <f>G379</f>
        <v>5</v>
      </c>
      <c r="H378" s="221"/>
    </row>
    <row r="379" spans="1:9" ht="31.5" x14ac:dyDescent="0.25">
      <c r="A379" s="26" t="s">
        <v>194</v>
      </c>
      <c r="B379" s="17">
        <v>903</v>
      </c>
      <c r="C379" s="21" t="s">
        <v>362</v>
      </c>
      <c r="D379" s="21" t="s">
        <v>213</v>
      </c>
      <c r="E379" s="21" t="s">
        <v>849</v>
      </c>
      <c r="F379" s="21" t="s">
        <v>195</v>
      </c>
      <c r="G379" s="27">
        <f>G380</f>
        <v>5</v>
      </c>
      <c r="H379" s="221"/>
    </row>
    <row r="380" spans="1:9" ht="47.25" x14ac:dyDescent="0.25">
      <c r="A380" s="26" t="s">
        <v>196</v>
      </c>
      <c r="B380" s="17">
        <v>903</v>
      </c>
      <c r="C380" s="21" t="s">
        <v>362</v>
      </c>
      <c r="D380" s="21" t="s">
        <v>213</v>
      </c>
      <c r="E380" s="21" t="s">
        <v>849</v>
      </c>
      <c r="F380" s="21" t="s">
        <v>197</v>
      </c>
      <c r="G380" s="27">
        <v>5</v>
      </c>
      <c r="H380" s="132"/>
      <c r="I380" s="152"/>
    </row>
    <row r="381" spans="1:9" ht="15.75" x14ac:dyDescent="0.25">
      <c r="A381" s="26" t="s">
        <v>184</v>
      </c>
      <c r="B381" s="17">
        <v>903</v>
      </c>
      <c r="C381" s="21" t="s">
        <v>362</v>
      </c>
      <c r="D381" s="21" t="s">
        <v>213</v>
      </c>
      <c r="E381" s="21" t="s">
        <v>185</v>
      </c>
      <c r="F381" s="21"/>
      <c r="G381" s="27">
        <f t="shared" ref="G381" si="55">G382+G388</f>
        <v>17749.699999999997</v>
      </c>
      <c r="H381" s="221"/>
    </row>
    <row r="382" spans="1:9" ht="31.5" x14ac:dyDescent="0.25">
      <c r="A382" s="26" t="s">
        <v>186</v>
      </c>
      <c r="B382" s="17">
        <v>903</v>
      </c>
      <c r="C382" s="21" t="s">
        <v>362</v>
      </c>
      <c r="D382" s="21" t="s">
        <v>213</v>
      </c>
      <c r="E382" s="21" t="s">
        <v>187</v>
      </c>
      <c r="F382" s="21"/>
      <c r="G382" s="27">
        <f>G383</f>
        <v>7815.4</v>
      </c>
      <c r="H382" s="221"/>
    </row>
    <row r="383" spans="1:9" ht="47.25" x14ac:dyDescent="0.25">
      <c r="A383" s="26" t="s">
        <v>188</v>
      </c>
      <c r="B383" s="17">
        <v>903</v>
      </c>
      <c r="C383" s="21" t="s">
        <v>362</v>
      </c>
      <c r="D383" s="21" t="s">
        <v>213</v>
      </c>
      <c r="E383" s="21" t="s">
        <v>189</v>
      </c>
      <c r="F383" s="21"/>
      <c r="G383" s="27">
        <f t="shared" ref="G383" si="56">G384+G386</f>
        <v>7815.4</v>
      </c>
      <c r="H383" s="221"/>
    </row>
    <row r="384" spans="1:9" ht="94.5" x14ac:dyDescent="0.25">
      <c r="A384" s="26" t="s">
        <v>190</v>
      </c>
      <c r="B384" s="17">
        <v>903</v>
      </c>
      <c r="C384" s="21" t="s">
        <v>362</v>
      </c>
      <c r="D384" s="21" t="s">
        <v>213</v>
      </c>
      <c r="E384" s="21" t="s">
        <v>189</v>
      </c>
      <c r="F384" s="21" t="s">
        <v>191</v>
      </c>
      <c r="G384" s="27">
        <f>G385</f>
        <v>7815.4</v>
      </c>
      <c r="H384" s="221"/>
    </row>
    <row r="385" spans="1:14" ht="31.5" x14ac:dyDescent="0.25">
      <c r="A385" s="26" t="s">
        <v>192</v>
      </c>
      <c r="B385" s="17">
        <v>903</v>
      </c>
      <c r="C385" s="21" t="s">
        <v>362</v>
      </c>
      <c r="D385" s="21" t="s">
        <v>213</v>
      </c>
      <c r="E385" s="21" t="s">
        <v>189</v>
      </c>
      <c r="F385" s="21" t="s">
        <v>193</v>
      </c>
      <c r="G385" s="28">
        <f>6754.9+20.5+400+200+550-200+90</f>
        <v>7815.4</v>
      </c>
      <c r="H385" s="221" t="s">
        <v>984</v>
      </c>
      <c r="M385" s="135"/>
      <c r="N385" s="135"/>
    </row>
    <row r="386" spans="1:14" ht="31.5" hidden="1" x14ac:dyDescent="0.25">
      <c r="A386" s="26" t="s">
        <v>194</v>
      </c>
      <c r="B386" s="17">
        <v>903</v>
      </c>
      <c r="C386" s="21" t="s">
        <v>362</v>
      </c>
      <c r="D386" s="21" t="s">
        <v>213</v>
      </c>
      <c r="E386" s="21" t="s">
        <v>189</v>
      </c>
      <c r="F386" s="21" t="s">
        <v>195</v>
      </c>
      <c r="G386" s="27">
        <f t="shared" ref="G386" si="57">G387</f>
        <v>0</v>
      </c>
      <c r="H386" s="221"/>
    </row>
    <row r="387" spans="1:14" ht="47.25" hidden="1" x14ac:dyDescent="0.25">
      <c r="A387" s="26" t="s">
        <v>196</v>
      </c>
      <c r="B387" s="17">
        <v>903</v>
      </c>
      <c r="C387" s="21" t="s">
        <v>362</v>
      </c>
      <c r="D387" s="21" t="s">
        <v>213</v>
      </c>
      <c r="E387" s="21" t="s">
        <v>189</v>
      </c>
      <c r="F387" s="21" t="s">
        <v>197</v>
      </c>
      <c r="G387" s="27"/>
      <c r="H387" s="221"/>
    </row>
    <row r="388" spans="1:14" ht="15.75" x14ac:dyDescent="0.25">
      <c r="A388" s="26" t="s">
        <v>204</v>
      </c>
      <c r="B388" s="17">
        <v>903</v>
      </c>
      <c r="C388" s="21" t="s">
        <v>362</v>
      </c>
      <c r="D388" s="21" t="s">
        <v>213</v>
      </c>
      <c r="E388" s="21" t="s">
        <v>205</v>
      </c>
      <c r="F388" s="21"/>
      <c r="G388" s="27">
        <f>G389</f>
        <v>9934.2999999999993</v>
      </c>
      <c r="H388" s="221"/>
    </row>
    <row r="389" spans="1:14" ht="31.5" x14ac:dyDescent="0.25">
      <c r="A389" s="26" t="s">
        <v>403</v>
      </c>
      <c r="B389" s="17">
        <v>903</v>
      </c>
      <c r="C389" s="21" t="s">
        <v>362</v>
      </c>
      <c r="D389" s="21" t="s">
        <v>213</v>
      </c>
      <c r="E389" s="21" t="s">
        <v>404</v>
      </c>
      <c r="F389" s="21"/>
      <c r="G389" s="27">
        <f>G390+G392+G394</f>
        <v>9934.2999999999993</v>
      </c>
      <c r="H389" s="221"/>
      <c r="J389" s="247"/>
      <c r="K389" s="247"/>
    </row>
    <row r="390" spans="1:14" ht="94.5" x14ac:dyDescent="0.25">
      <c r="A390" s="26" t="s">
        <v>190</v>
      </c>
      <c r="B390" s="17">
        <v>903</v>
      </c>
      <c r="C390" s="21" t="s">
        <v>362</v>
      </c>
      <c r="D390" s="21" t="s">
        <v>213</v>
      </c>
      <c r="E390" s="21" t="s">
        <v>404</v>
      </c>
      <c r="F390" s="21" t="s">
        <v>191</v>
      </c>
      <c r="G390" s="27">
        <f>G391</f>
        <v>8610.9</v>
      </c>
      <c r="H390" s="221"/>
      <c r="J390" s="247"/>
      <c r="K390" s="247"/>
    </row>
    <row r="391" spans="1:14" ht="31.5" x14ac:dyDescent="0.25">
      <c r="A391" s="26" t="s">
        <v>405</v>
      </c>
      <c r="B391" s="17">
        <v>903</v>
      </c>
      <c r="C391" s="21" t="s">
        <v>362</v>
      </c>
      <c r="D391" s="21" t="s">
        <v>213</v>
      </c>
      <c r="E391" s="21" t="s">
        <v>404</v>
      </c>
      <c r="F391" s="21" t="s">
        <v>272</v>
      </c>
      <c r="G391" s="28">
        <f>8596.3-84.9+210-20.5-200+110-10.3+10.3</f>
        <v>8610.9</v>
      </c>
      <c r="H391" s="132" t="s">
        <v>982</v>
      </c>
      <c r="I391" s="152"/>
      <c r="J391" s="247"/>
      <c r="K391" s="247"/>
    </row>
    <row r="392" spans="1:14" ht="31.5" x14ac:dyDescent="0.25">
      <c r="A392" s="26" t="s">
        <v>194</v>
      </c>
      <c r="B392" s="17">
        <v>903</v>
      </c>
      <c r="C392" s="21" t="s">
        <v>362</v>
      </c>
      <c r="D392" s="21" t="s">
        <v>213</v>
      </c>
      <c r="E392" s="21" t="s">
        <v>404</v>
      </c>
      <c r="F392" s="21" t="s">
        <v>195</v>
      </c>
      <c r="G392" s="27">
        <f>G393</f>
        <v>1303.4000000000001</v>
      </c>
      <c r="H392" s="221"/>
      <c r="J392" s="247"/>
      <c r="K392" s="247"/>
    </row>
    <row r="393" spans="1:14" ht="47.25" x14ac:dyDescent="0.25">
      <c r="A393" s="26" t="s">
        <v>196</v>
      </c>
      <c r="B393" s="17">
        <v>903</v>
      </c>
      <c r="C393" s="21" t="s">
        <v>362</v>
      </c>
      <c r="D393" s="21" t="s">
        <v>213</v>
      </c>
      <c r="E393" s="21" t="s">
        <v>404</v>
      </c>
      <c r="F393" s="21" t="s">
        <v>197</v>
      </c>
      <c r="G393" s="28">
        <f>1663.9+135.6-147-39.1-200-200+90</f>
        <v>1303.4000000000001</v>
      </c>
      <c r="H393" s="132" t="s">
        <v>983</v>
      </c>
      <c r="I393" s="153"/>
      <c r="J393" s="247"/>
      <c r="K393" s="247"/>
    </row>
    <row r="394" spans="1:14" ht="15.75" x14ac:dyDescent="0.25">
      <c r="A394" s="26" t="s">
        <v>198</v>
      </c>
      <c r="B394" s="17">
        <v>903</v>
      </c>
      <c r="C394" s="21" t="s">
        <v>362</v>
      </c>
      <c r="D394" s="21" t="s">
        <v>213</v>
      </c>
      <c r="E394" s="21" t="s">
        <v>404</v>
      </c>
      <c r="F394" s="21" t="s">
        <v>208</v>
      </c>
      <c r="G394" s="27">
        <f>G395</f>
        <v>20</v>
      </c>
      <c r="H394" s="221"/>
      <c r="J394" s="247"/>
      <c r="K394" s="247"/>
    </row>
    <row r="395" spans="1:14" ht="15.75" x14ac:dyDescent="0.25">
      <c r="A395" s="26" t="s">
        <v>633</v>
      </c>
      <c r="B395" s="17">
        <v>903</v>
      </c>
      <c r="C395" s="21" t="s">
        <v>362</v>
      </c>
      <c r="D395" s="21" t="s">
        <v>213</v>
      </c>
      <c r="E395" s="21" t="s">
        <v>404</v>
      </c>
      <c r="F395" s="21" t="s">
        <v>201</v>
      </c>
      <c r="G395" s="27">
        <v>20</v>
      </c>
      <c r="H395" s="221"/>
      <c r="J395" s="247"/>
      <c r="K395" s="247"/>
    </row>
    <row r="396" spans="1:14" ht="15.75" x14ac:dyDescent="0.25">
      <c r="A396" s="24" t="s">
        <v>306</v>
      </c>
      <c r="B396" s="20">
        <v>903</v>
      </c>
      <c r="C396" s="25" t="s">
        <v>307</v>
      </c>
      <c r="D396" s="25"/>
      <c r="E396" s="25"/>
      <c r="F396" s="25"/>
      <c r="G396" s="22">
        <f>G397</f>
        <v>4425</v>
      </c>
      <c r="H396" s="221"/>
    </row>
    <row r="397" spans="1:14" ht="15.75" x14ac:dyDescent="0.25">
      <c r="A397" s="24" t="s">
        <v>315</v>
      </c>
      <c r="B397" s="20">
        <v>903</v>
      </c>
      <c r="C397" s="25" t="s">
        <v>307</v>
      </c>
      <c r="D397" s="25" t="s">
        <v>278</v>
      </c>
      <c r="E397" s="25"/>
      <c r="F397" s="25"/>
      <c r="G397" s="22">
        <f t="shared" ref="G397" si="58">G398+G451</f>
        <v>4425</v>
      </c>
      <c r="H397" s="221"/>
    </row>
    <row r="398" spans="1:14" ht="47.25" x14ac:dyDescent="0.25">
      <c r="A398" s="26" t="s">
        <v>406</v>
      </c>
      <c r="B398" s="17">
        <v>903</v>
      </c>
      <c r="C398" s="21" t="s">
        <v>307</v>
      </c>
      <c r="D398" s="21" t="s">
        <v>278</v>
      </c>
      <c r="E398" s="21" t="s">
        <v>407</v>
      </c>
      <c r="F398" s="21"/>
      <c r="G398" s="27">
        <f>G399+G407+G411+G415+G421+G425+G429+G447</f>
        <v>3493</v>
      </c>
      <c r="H398" s="221"/>
    </row>
    <row r="399" spans="1:14" ht="31.5" x14ac:dyDescent="0.25">
      <c r="A399" s="26" t="s">
        <v>408</v>
      </c>
      <c r="B399" s="17">
        <v>903</v>
      </c>
      <c r="C399" s="21" t="s">
        <v>307</v>
      </c>
      <c r="D399" s="21" t="s">
        <v>278</v>
      </c>
      <c r="E399" s="21" t="s">
        <v>409</v>
      </c>
      <c r="F399" s="21"/>
      <c r="G399" s="27">
        <f>G400+G404+G403</f>
        <v>786.6</v>
      </c>
      <c r="H399" s="221"/>
    </row>
    <row r="400" spans="1:14" ht="31.5" x14ac:dyDescent="0.25">
      <c r="A400" s="26" t="s">
        <v>194</v>
      </c>
      <c r="B400" s="17">
        <v>903</v>
      </c>
      <c r="C400" s="21" t="s">
        <v>307</v>
      </c>
      <c r="D400" s="21" t="s">
        <v>278</v>
      </c>
      <c r="E400" s="21" t="s">
        <v>410</v>
      </c>
      <c r="F400" s="21" t="s">
        <v>195</v>
      </c>
      <c r="G400" s="27">
        <f>G401</f>
        <v>486.1</v>
      </c>
      <c r="H400" s="221"/>
    </row>
    <row r="401" spans="1:14" ht="47.25" x14ac:dyDescent="0.25">
      <c r="A401" s="26" t="s">
        <v>196</v>
      </c>
      <c r="B401" s="17">
        <v>903</v>
      </c>
      <c r="C401" s="21" t="s">
        <v>307</v>
      </c>
      <c r="D401" s="21" t="s">
        <v>278</v>
      </c>
      <c r="E401" s="21" t="s">
        <v>410</v>
      </c>
      <c r="F401" s="21" t="s">
        <v>197</v>
      </c>
      <c r="G401" s="27">
        <f>669.4-3-25-6.9-3.2-2.3-15-127.9</f>
        <v>486.1</v>
      </c>
      <c r="H401" s="221" t="s">
        <v>1025</v>
      </c>
      <c r="J401" s="224"/>
      <c r="M401" s="135"/>
      <c r="N401" s="135"/>
    </row>
    <row r="402" spans="1:14" ht="31.5" x14ac:dyDescent="0.25">
      <c r="A402" s="26" t="s">
        <v>311</v>
      </c>
      <c r="B402" s="17">
        <v>903</v>
      </c>
      <c r="C402" s="21" t="s">
        <v>307</v>
      </c>
      <c r="D402" s="21" t="s">
        <v>278</v>
      </c>
      <c r="E402" s="21" t="s">
        <v>410</v>
      </c>
      <c r="F402" s="21" t="s">
        <v>312</v>
      </c>
      <c r="G402" s="27">
        <f t="shared" ref="G402" si="59">G403</f>
        <v>25</v>
      </c>
      <c r="H402" s="221"/>
      <c r="J402" s="224"/>
    </row>
    <row r="403" spans="1:14" ht="31.5" x14ac:dyDescent="0.25">
      <c r="A403" s="26" t="s">
        <v>411</v>
      </c>
      <c r="B403" s="17">
        <v>903</v>
      </c>
      <c r="C403" s="21" t="s">
        <v>307</v>
      </c>
      <c r="D403" s="21" t="s">
        <v>278</v>
      </c>
      <c r="E403" s="21" t="s">
        <v>410</v>
      </c>
      <c r="F403" s="21" t="s">
        <v>412</v>
      </c>
      <c r="G403" s="27">
        <v>25</v>
      </c>
      <c r="H403" s="221"/>
      <c r="J403" s="224"/>
    </row>
    <row r="404" spans="1:14" ht="31.5" x14ac:dyDescent="0.25">
      <c r="A404" s="26" t="s">
        <v>413</v>
      </c>
      <c r="B404" s="17">
        <v>903</v>
      </c>
      <c r="C404" s="21" t="s">
        <v>307</v>
      </c>
      <c r="D404" s="21" t="s">
        <v>278</v>
      </c>
      <c r="E404" s="21" t="s">
        <v>414</v>
      </c>
      <c r="F404" s="21"/>
      <c r="G404" s="27">
        <f>G405</f>
        <v>275.5</v>
      </c>
      <c r="H404" s="221"/>
      <c r="J404" s="224"/>
    </row>
    <row r="405" spans="1:14" ht="47.25" x14ac:dyDescent="0.25">
      <c r="A405" s="26" t="s">
        <v>335</v>
      </c>
      <c r="B405" s="17">
        <v>903</v>
      </c>
      <c r="C405" s="21" t="s">
        <v>307</v>
      </c>
      <c r="D405" s="21" t="s">
        <v>278</v>
      </c>
      <c r="E405" s="21" t="s">
        <v>414</v>
      </c>
      <c r="F405" s="21" t="s">
        <v>336</v>
      </c>
      <c r="G405" s="27">
        <f>G406</f>
        <v>275.5</v>
      </c>
      <c r="H405" s="221"/>
    </row>
    <row r="406" spans="1:14" ht="15.75" x14ac:dyDescent="0.25">
      <c r="A406" s="26" t="s">
        <v>337</v>
      </c>
      <c r="B406" s="17">
        <v>903</v>
      </c>
      <c r="C406" s="21" t="s">
        <v>307</v>
      </c>
      <c r="D406" s="21" t="s">
        <v>278</v>
      </c>
      <c r="E406" s="21" t="s">
        <v>414</v>
      </c>
      <c r="F406" s="21" t="s">
        <v>338</v>
      </c>
      <c r="G406" s="27">
        <f>160.5+108.1+6.9</f>
        <v>275.5</v>
      </c>
      <c r="H406" s="132"/>
    </row>
    <row r="407" spans="1:14" ht="31.5" x14ac:dyDescent="0.25">
      <c r="A407" s="26" t="s">
        <v>415</v>
      </c>
      <c r="B407" s="17">
        <v>903</v>
      </c>
      <c r="C407" s="21" t="s">
        <v>307</v>
      </c>
      <c r="D407" s="21" t="s">
        <v>278</v>
      </c>
      <c r="E407" s="21" t="s">
        <v>416</v>
      </c>
      <c r="F407" s="21"/>
      <c r="G407" s="27">
        <f>G408</f>
        <v>31.05</v>
      </c>
      <c r="H407" s="221"/>
    </row>
    <row r="408" spans="1:14" ht="31.5" x14ac:dyDescent="0.25">
      <c r="A408" s="26" t="s">
        <v>220</v>
      </c>
      <c r="B408" s="17">
        <v>903</v>
      </c>
      <c r="C408" s="21" t="s">
        <v>307</v>
      </c>
      <c r="D408" s="21" t="s">
        <v>278</v>
      </c>
      <c r="E408" s="21" t="s">
        <v>417</v>
      </c>
      <c r="F408" s="21"/>
      <c r="G408" s="27">
        <f>G409</f>
        <v>31.05</v>
      </c>
      <c r="H408" s="221"/>
    </row>
    <row r="409" spans="1:14" ht="31.5" x14ac:dyDescent="0.25">
      <c r="A409" s="26" t="s">
        <v>311</v>
      </c>
      <c r="B409" s="17">
        <v>903</v>
      </c>
      <c r="C409" s="21" t="s">
        <v>307</v>
      </c>
      <c r="D409" s="21" t="s">
        <v>278</v>
      </c>
      <c r="E409" s="21" t="s">
        <v>417</v>
      </c>
      <c r="F409" s="21" t="s">
        <v>312</v>
      </c>
      <c r="G409" s="27">
        <f>G410</f>
        <v>31.05</v>
      </c>
      <c r="H409" s="221"/>
    </row>
    <row r="410" spans="1:14" ht="31.5" x14ac:dyDescent="0.25">
      <c r="A410" s="26" t="s">
        <v>313</v>
      </c>
      <c r="B410" s="17">
        <v>903</v>
      </c>
      <c r="C410" s="21" t="s">
        <v>307</v>
      </c>
      <c r="D410" s="21" t="s">
        <v>278</v>
      </c>
      <c r="E410" s="21" t="s">
        <v>417</v>
      </c>
      <c r="F410" s="21" t="s">
        <v>314</v>
      </c>
      <c r="G410" s="27">
        <f>60+3-31.95</f>
        <v>31.05</v>
      </c>
      <c r="H410" s="221"/>
    </row>
    <row r="411" spans="1:14" ht="31.5" x14ac:dyDescent="0.25">
      <c r="A411" s="26" t="s">
        <v>418</v>
      </c>
      <c r="B411" s="17">
        <v>903</v>
      </c>
      <c r="C411" s="17">
        <v>10</v>
      </c>
      <c r="D411" s="21" t="s">
        <v>278</v>
      </c>
      <c r="E411" s="21" t="s">
        <v>419</v>
      </c>
      <c r="F411" s="21"/>
      <c r="G411" s="27">
        <f t="shared" ref="G411:G413" si="60">G412</f>
        <v>390</v>
      </c>
      <c r="H411" s="221"/>
    </row>
    <row r="412" spans="1:14" ht="31.5" x14ac:dyDescent="0.25">
      <c r="A412" s="26" t="s">
        <v>220</v>
      </c>
      <c r="B412" s="17">
        <v>903</v>
      </c>
      <c r="C412" s="21" t="s">
        <v>307</v>
      </c>
      <c r="D412" s="21" t="s">
        <v>278</v>
      </c>
      <c r="E412" s="21" t="s">
        <v>420</v>
      </c>
      <c r="F412" s="21"/>
      <c r="G412" s="27">
        <f>G413</f>
        <v>390</v>
      </c>
      <c r="H412" s="221"/>
    </row>
    <row r="413" spans="1:14" ht="31.5" x14ac:dyDescent="0.25">
      <c r="A413" s="26" t="s">
        <v>311</v>
      </c>
      <c r="B413" s="17">
        <v>903</v>
      </c>
      <c r="C413" s="21" t="s">
        <v>307</v>
      </c>
      <c r="D413" s="21" t="s">
        <v>278</v>
      </c>
      <c r="E413" s="21" t="s">
        <v>420</v>
      </c>
      <c r="F413" s="21" t="s">
        <v>312</v>
      </c>
      <c r="G413" s="27">
        <f t="shared" si="60"/>
        <v>390</v>
      </c>
      <c r="H413" s="221"/>
    </row>
    <row r="414" spans="1:14" ht="31.5" x14ac:dyDescent="0.25">
      <c r="A414" s="26" t="s">
        <v>411</v>
      </c>
      <c r="B414" s="17">
        <v>903</v>
      </c>
      <c r="C414" s="21" t="s">
        <v>307</v>
      </c>
      <c r="D414" s="21" t="s">
        <v>278</v>
      </c>
      <c r="E414" s="21" t="s">
        <v>420</v>
      </c>
      <c r="F414" s="21" t="s">
        <v>412</v>
      </c>
      <c r="G414" s="27">
        <f>420-30</f>
        <v>390</v>
      </c>
      <c r="H414" s="221" t="s">
        <v>1023</v>
      </c>
    </row>
    <row r="415" spans="1:14" ht="15.75" x14ac:dyDescent="0.25">
      <c r="A415" s="26" t="s">
        <v>421</v>
      </c>
      <c r="B415" s="17">
        <v>903</v>
      </c>
      <c r="C415" s="17">
        <v>10</v>
      </c>
      <c r="D415" s="21" t="s">
        <v>278</v>
      </c>
      <c r="E415" s="21" t="s">
        <v>422</v>
      </c>
      <c r="F415" s="21"/>
      <c r="G415" s="27">
        <f>G416</f>
        <v>1587.4</v>
      </c>
      <c r="H415" s="221"/>
    </row>
    <row r="416" spans="1:14" ht="31.5" x14ac:dyDescent="0.25">
      <c r="A416" s="26" t="s">
        <v>220</v>
      </c>
      <c r="B416" s="17">
        <v>903</v>
      </c>
      <c r="C416" s="21" t="s">
        <v>307</v>
      </c>
      <c r="D416" s="21" t="s">
        <v>278</v>
      </c>
      <c r="E416" s="21" t="s">
        <v>423</v>
      </c>
      <c r="F416" s="21"/>
      <c r="G416" s="27">
        <f>G417+G419</f>
        <v>1587.4</v>
      </c>
      <c r="H416" s="221"/>
    </row>
    <row r="417" spans="1:10" ht="31.5" x14ac:dyDescent="0.25">
      <c r="A417" s="26" t="s">
        <v>194</v>
      </c>
      <c r="B417" s="17">
        <v>903</v>
      </c>
      <c r="C417" s="21" t="s">
        <v>307</v>
      </c>
      <c r="D417" s="21" t="s">
        <v>278</v>
      </c>
      <c r="E417" s="21" t="s">
        <v>423</v>
      </c>
      <c r="F417" s="21" t="s">
        <v>195</v>
      </c>
      <c r="G417" s="27">
        <f>G418</f>
        <v>234.4</v>
      </c>
      <c r="H417" s="221"/>
    </row>
    <row r="418" spans="1:10" ht="47.25" x14ac:dyDescent="0.25">
      <c r="A418" s="26" t="s">
        <v>196</v>
      </c>
      <c r="B418" s="17">
        <v>903</v>
      </c>
      <c r="C418" s="21" t="s">
        <v>307</v>
      </c>
      <c r="D418" s="21" t="s">
        <v>278</v>
      </c>
      <c r="E418" s="21" t="s">
        <v>423</v>
      </c>
      <c r="F418" s="21" t="s">
        <v>197</v>
      </c>
      <c r="G418" s="27">
        <f>552-50+45-305-9.9+2.3</f>
        <v>234.4</v>
      </c>
      <c r="H418" s="193" t="s">
        <v>995</v>
      </c>
      <c r="J418" s="132"/>
    </row>
    <row r="419" spans="1:10" ht="31.5" x14ac:dyDescent="0.25">
      <c r="A419" s="26" t="s">
        <v>311</v>
      </c>
      <c r="B419" s="17">
        <v>903</v>
      </c>
      <c r="C419" s="21" t="s">
        <v>307</v>
      </c>
      <c r="D419" s="21" t="s">
        <v>278</v>
      </c>
      <c r="E419" s="21" t="s">
        <v>423</v>
      </c>
      <c r="F419" s="21" t="s">
        <v>312</v>
      </c>
      <c r="G419" s="27">
        <f>G420</f>
        <v>1353</v>
      </c>
      <c r="H419" s="221"/>
    </row>
    <row r="420" spans="1:10" ht="31.5" x14ac:dyDescent="0.25">
      <c r="A420" s="26" t="s">
        <v>411</v>
      </c>
      <c r="B420" s="17">
        <v>903</v>
      </c>
      <c r="C420" s="21" t="s">
        <v>307</v>
      </c>
      <c r="D420" s="21" t="s">
        <v>278</v>
      </c>
      <c r="E420" s="21" t="s">
        <v>423</v>
      </c>
      <c r="F420" s="21" t="s">
        <v>412</v>
      </c>
      <c r="G420" s="27">
        <f>1048+305</f>
        <v>1353</v>
      </c>
      <c r="H420" s="242"/>
    </row>
    <row r="421" spans="1:10" ht="47.25" x14ac:dyDescent="0.25">
      <c r="A421" s="26" t="s">
        <v>424</v>
      </c>
      <c r="B421" s="17">
        <v>903</v>
      </c>
      <c r="C421" s="21" t="s">
        <v>307</v>
      </c>
      <c r="D421" s="21" t="s">
        <v>278</v>
      </c>
      <c r="E421" s="21" t="s">
        <v>425</v>
      </c>
      <c r="F421" s="21"/>
      <c r="G421" s="27">
        <f>G422</f>
        <v>360.7</v>
      </c>
      <c r="H421" s="221"/>
    </row>
    <row r="422" spans="1:10" ht="31.5" x14ac:dyDescent="0.25">
      <c r="A422" s="26" t="s">
        <v>220</v>
      </c>
      <c r="B422" s="17">
        <v>903</v>
      </c>
      <c r="C422" s="21" t="s">
        <v>307</v>
      </c>
      <c r="D422" s="21" t="s">
        <v>278</v>
      </c>
      <c r="E422" s="21" t="s">
        <v>426</v>
      </c>
      <c r="F422" s="21"/>
      <c r="G422" s="27">
        <f>G423</f>
        <v>360.7</v>
      </c>
      <c r="H422" s="221"/>
    </row>
    <row r="423" spans="1:10" ht="31.5" x14ac:dyDescent="0.25">
      <c r="A423" s="26" t="s">
        <v>311</v>
      </c>
      <c r="B423" s="17">
        <v>903</v>
      </c>
      <c r="C423" s="21" t="s">
        <v>307</v>
      </c>
      <c r="D423" s="21" t="s">
        <v>278</v>
      </c>
      <c r="E423" s="21" t="s">
        <v>426</v>
      </c>
      <c r="F423" s="21" t="s">
        <v>312</v>
      </c>
      <c r="G423" s="27">
        <f>G424</f>
        <v>360.7</v>
      </c>
      <c r="H423" s="221"/>
    </row>
    <row r="424" spans="1:10" ht="31.5" x14ac:dyDescent="0.25">
      <c r="A424" s="26" t="s">
        <v>411</v>
      </c>
      <c r="B424" s="17">
        <v>903</v>
      </c>
      <c r="C424" s="21" t="s">
        <v>307</v>
      </c>
      <c r="D424" s="21" t="s">
        <v>278</v>
      </c>
      <c r="E424" s="21" t="s">
        <v>426</v>
      </c>
      <c r="F424" s="21" t="s">
        <v>412</v>
      </c>
      <c r="G424" s="27">
        <f>400-65+10.7+15</f>
        <v>360.7</v>
      </c>
      <c r="H424" s="221" t="s">
        <v>1009</v>
      </c>
    </row>
    <row r="425" spans="1:10" ht="63" x14ac:dyDescent="0.25">
      <c r="A425" s="26" t="s">
        <v>427</v>
      </c>
      <c r="B425" s="17">
        <v>903</v>
      </c>
      <c r="C425" s="21" t="s">
        <v>307</v>
      </c>
      <c r="D425" s="21" t="s">
        <v>278</v>
      </c>
      <c r="E425" s="21" t="s">
        <v>428</v>
      </c>
      <c r="F425" s="21"/>
      <c r="G425" s="27">
        <f>G426</f>
        <v>167.9</v>
      </c>
      <c r="H425" s="221"/>
    </row>
    <row r="426" spans="1:10" ht="31.5" x14ac:dyDescent="0.25">
      <c r="A426" s="26" t="s">
        <v>220</v>
      </c>
      <c r="B426" s="17">
        <v>903</v>
      </c>
      <c r="C426" s="21" t="s">
        <v>307</v>
      </c>
      <c r="D426" s="21" t="s">
        <v>278</v>
      </c>
      <c r="E426" s="21" t="s">
        <v>429</v>
      </c>
      <c r="F426" s="21"/>
      <c r="G426" s="27">
        <f>G427</f>
        <v>167.9</v>
      </c>
      <c r="H426" s="221"/>
    </row>
    <row r="427" spans="1:10" ht="31.5" x14ac:dyDescent="0.25">
      <c r="A427" s="26" t="s">
        <v>194</v>
      </c>
      <c r="B427" s="17">
        <v>903</v>
      </c>
      <c r="C427" s="21" t="s">
        <v>307</v>
      </c>
      <c r="D427" s="21" t="s">
        <v>278</v>
      </c>
      <c r="E427" s="21" t="s">
        <v>429</v>
      </c>
      <c r="F427" s="21" t="s">
        <v>195</v>
      </c>
      <c r="G427" s="27">
        <f>G428</f>
        <v>167.9</v>
      </c>
      <c r="H427" s="221"/>
    </row>
    <row r="428" spans="1:10" ht="47.25" x14ac:dyDescent="0.25">
      <c r="A428" s="26" t="s">
        <v>196</v>
      </c>
      <c r="B428" s="17">
        <v>903</v>
      </c>
      <c r="C428" s="21" t="s">
        <v>307</v>
      </c>
      <c r="D428" s="21" t="s">
        <v>278</v>
      </c>
      <c r="E428" s="21" t="s">
        <v>429</v>
      </c>
      <c r="F428" s="21" t="s">
        <v>197</v>
      </c>
      <c r="G428" s="27">
        <f>150+60-42.1</f>
        <v>167.9</v>
      </c>
      <c r="H428" s="221" t="s">
        <v>1024</v>
      </c>
    </row>
    <row r="429" spans="1:10" ht="63" x14ac:dyDescent="0.25">
      <c r="A429" s="26" t="s">
        <v>430</v>
      </c>
      <c r="B429" s="17">
        <v>903</v>
      </c>
      <c r="C429" s="21" t="s">
        <v>307</v>
      </c>
      <c r="D429" s="21" t="s">
        <v>278</v>
      </c>
      <c r="E429" s="21" t="s">
        <v>431</v>
      </c>
      <c r="F429" s="21"/>
      <c r="G429" s="27">
        <f t="shared" ref="G429" si="61">G430+G442+G436+G439</f>
        <v>30</v>
      </c>
      <c r="H429" s="221"/>
    </row>
    <row r="430" spans="1:10" ht="47.25" customHeight="1" x14ac:dyDescent="0.25">
      <c r="A430" s="26" t="s">
        <v>432</v>
      </c>
      <c r="B430" s="17">
        <v>903</v>
      </c>
      <c r="C430" s="21" t="s">
        <v>307</v>
      </c>
      <c r="D430" s="21" t="s">
        <v>278</v>
      </c>
      <c r="E430" s="21" t="s">
        <v>433</v>
      </c>
      <c r="F430" s="21"/>
      <c r="G430" s="27">
        <f>G431</f>
        <v>20</v>
      </c>
      <c r="H430" s="221"/>
    </row>
    <row r="431" spans="1:10" ht="47.25" x14ac:dyDescent="0.25">
      <c r="A431" s="26" t="s">
        <v>335</v>
      </c>
      <c r="B431" s="17">
        <v>903</v>
      </c>
      <c r="C431" s="21" t="s">
        <v>307</v>
      </c>
      <c r="D431" s="21" t="s">
        <v>278</v>
      </c>
      <c r="E431" s="21" t="s">
        <v>433</v>
      </c>
      <c r="F431" s="21" t="s">
        <v>336</v>
      </c>
      <c r="G431" s="27">
        <f t="shared" ref="G431" si="62">G432</f>
        <v>20</v>
      </c>
      <c r="H431" s="221"/>
    </row>
    <row r="432" spans="1:10" ht="63" x14ac:dyDescent="0.25">
      <c r="A432" s="41" t="s">
        <v>434</v>
      </c>
      <c r="B432" s="17">
        <v>903</v>
      </c>
      <c r="C432" s="21" t="s">
        <v>307</v>
      </c>
      <c r="D432" s="21" t="s">
        <v>278</v>
      </c>
      <c r="E432" s="21" t="s">
        <v>433</v>
      </c>
      <c r="F432" s="21" t="s">
        <v>435</v>
      </c>
      <c r="G432" s="27">
        <f>30-10</f>
        <v>20</v>
      </c>
      <c r="H432" s="132"/>
    </row>
    <row r="433" spans="1:8" ht="15.75" hidden="1" x14ac:dyDescent="0.25">
      <c r="A433" s="41"/>
      <c r="B433" s="17"/>
      <c r="C433" s="21"/>
      <c r="D433" s="21"/>
      <c r="E433" s="21"/>
      <c r="F433" s="21"/>
      <c r="G433" s="27"/>
      <c r="H433" s="134"/>
    </row>
    <row r="434" spans="1:8" ht="15.75" hidden="1" x14ac:dyDescent="0.25">
      <c r="A434" s="41"/>
      <c r="B434" s="17"/>
      <c r="C434" s="21"/>
      <c r="D434" s="21"/>
      <c r="E434" s="21"/>
      <c r="F434" s="21"/>
      <c r="G434" s="27"/>
      <c r="H434" s="134"/>
    </row>
    <row r="435" spans="1:8" ht="15.75" hidden="1" x14ac:dyDescent="0.25">
      <c r="A435" s="41"/>
      <c r="B435" s="17"/>
      <c r="C435" s="21"/>
      <c r="D435" s="21"/>
      <c r="E435" s="21"/>
      <c r="F435" s="21"/>
      <c r="G435" s="27"/>
      <c r="H435" s="134"/>
    </row>
    <row r="436" spans="1:8" ht="126" hidden="1" x14ac:dyDescent="0.25">
      <c r="A436" s="26" t="s">
        <v>436</v>
      </c>
      <c r="B436" s="17">
        <v>903</v>
      </c>
      <c r="C436" s="21" t="s">
        <v>307</v>
      </c>
      <c r="D436" s="21" t="s">
        <v>278</v>
      </c>
      <c r="E436" s="21" t="s">
        <v>437</v>
      </c>
      <c r="F436" s="21"/>
      <c r="G436" s="27">
        <f t="shared" ref="G436:G437" si="63">G437</f>
        <v>0</v>
      </c>
      <c r="H436" s="221"/>
    </row>
    <row r="437" spans="1:8" ht="15.75" hidden="1" x14ac:dyDescent="0.25">
      <c r="A437" s="26" t="s">
        <v>198</v>
      </c>
      <c r="B437" s="17">
        <v>903</v>
      </c>
      <c r="C437" s="21" t="s">
        <v>307</v>
      </c>
      <c r="D437" s="21" t="s">
        <v>278</v>
      </c>
      <c r="E437" s="21" t="s">
        <v>437</v>
      </c>
      <c r="F437" s="21" t="s">
        <v>208</v>
      </c>
      <c r="G437" s="27">
        <f t="shared" si="63"/>
        <v>0</v>
      </c>
      <c r="H437" s="221"/>
    </row>
    <row r="438" spans="1:8" ht="63" hidden="1" x14ac:dyDescent="0.25">
      <c r="A438" s="26" t="s">
        <v>247</v>
      </c>
      <c r="B438" s="17">
        <v>903</v>
      </c>
      <c r="C438" s="21" t="s">
        <v>307</v>
      </c>
      <c r="D438" s="21" t="s">
        <v>278</v>
      </c>
      <c r="E438" s="21" t="s">
        <v>437</v>
      </c>
      <c r="F438" s="21" t="s">
        <v>223</v>
      </c>
      <c r="G438" s="27">
        <v>0</v>
      </c>
      <c r="H438" s="221"/>
    </row>
    <row r="439" spans="1:8" ht="63" x14ac:dyDescent="0.25">
      <c r="A439" s="26" t="s">
        <v>438</v>
      </c>
      <c r="B439" s="17">
        <v>903</v>
      </c>
      <c r="C439" s="21" t="s">
        <v>307</v>
      </c>
      <c r="D439" s="21" t="s">
        <v>278</v>
      </c>
      <c r="E439" s="21" t="s">
        <v>439</v>
      </c>
      <c r="F439" s="21"/>
      <c r="G439" s="27">
        <f t="shared" ref="G439:G440" si="64">G440</f>
        <v>10</v>
      </c>
      <c r="H439" s="221"/>
    </row>
    <row r="440" spans="1:8" ht="31.5" x14ac:dyDescent="0.25">
      <c r="A440" s="26" t="s">
        <v>311</v>
      </c>
      <c r="B440" s="17">
        <v>903</v>
      </c>
      <c r="C440" s="21" t="s">
        <v>307</v>
      </c>
      <c r="D440" s="21" t="s">
        <v>278</v>
      </c>
      <c r="E440" s="21" t="s">
        <v>439</v>
      </c>
      <c r="F440" s="21" t="s">
        <v>312</v>
      </c>
      <c r="G440" s="27">
        <f t="shared" si="64"/>
        <v>10</v>
      </c>
      <c r="H440" s="221"/>
    </row>
    <row r="441" spans="1:8" ht="31.5" x14ac:dyDescent="0.25">
      <c r="A441" s="26" t="s">
        <v>313</v>
      </c>
      <c r="B441" s="17">
        <v>903</v>
      </c>
      <c r="C441" s="21" t="s">
        <v>307</v>
      </c>
      <c r="D441" s="21" t="s">
        <v>278</v>
      </c>
      <c r="E441" s="21" t="s">
        <v>439</v>
      </c>
      <c r="F441" s="21" t="s">
        <v>314</v>
      </c>
      <c r="G441" s="27">
        <v>10</v>
      </c>
      <c r="H441" s="132"/>
    </row>
    <row r="442" spans="1:8" ht="31.5" hidden="1" x14ac:dyDescent="0.25">
      <c r="A442" s="26" t="s">
        <v>440</v>
      </c>
      <c r="B442" s="17">
        <v>903</v>
      </c>
      <c r="C442" s="21" t="s">
        <v>307</v>
      </c>
      <c r="D442" s="21" t="s">
        <v>278</v>
      </c>
      <c r="E442" s="21" t="s">
        <v>441</v>
      </c>
      <c r="F442" s="21"/>
      <c r="G442" s="27">
        <f t="shared" ref="G442" si="65">G443+G445</f>
        <v>0</v>
      </c>
      <c r="H442" s="221"/>
    </row>
    <row r="443" spans="1:8" ht="31.5" hidden="1" x14ac:dyDescent="0.25">
      <c r="A443" s="26" t="s">
        <v>194</v>
      </c>
      <c r="B443" s="17">
        <v>903</v>
      </c>
      <c r="C443" s="21" t="s">
        <v>307</v>
      </c>
      <c r="D443" s="21" t="s">
        <v>278</v>
      </c>
      <c r="E443" s="21" t="s">
        <v>441</v>
      </c>
      <c r="F443" s="21" t="s">
        <v>195</v>
      </c>
      <c r="G443" s="27">
        <f t="shared" ref="G443" si="66">G444</f>
        <v>0</v>
      </c>
      <c r="H443" s="221"/>
    </row>
    <row r="444" spans="1:8" ht="47.25" hidden="1" x14ac:dyDescent="0.25">
      <c r="A444" s="26" t="s">
        <v>196</v>
      </c>
      <c r="B444" s="17">
        <v>903</v>
      </c>
      <c r="C444" s="21" t="s">
        <v>307</v>
      </c>
      <c r="D444" s="21" t="s">
        <v>278</v>
      </c>
      <c r="E444" s="21" t="s">
        <v>441</v>
      </c>
      <c r="F444" s="21" t="s">
        <v>197</v>
      </c>
      <c r="G444" s="27">
        <v>0</v>
      </c>
      <c r="H444" s="221"/>
    </row>
    <row r="445" spans="1:8" ht="15.75" hidden="1" x14ac:dyDescent="0.25">
      <c r="A445" s="26" t="s">
        <v>198</v>
      </c>
      <c r="B445" s="17">
        <v>903</v>
      </c>
      <c r="C445" s="21" t="s">
        <v>307</v>
      </c>
      <c r="D445" s="21" t="s">
        <v>278</v>
      </c>
      <c r="E445" s="21" t="s">
        <v>442</v>
      </c>
      <c r="F445" s="21" t="s">
        <v>208</v>
      </c>
      <c r="G445" s="27">
        <f t="shared" ref="G445" si="67">G446</f>
        <v>0</v>
      </c>
      <c r="H445" s="221"/>
    </row>
    <row r="446" spans="1:8" ht="63" hidden="1" x14ac:dyDescent="0.25">
      <c r="A446" s="26" t="s">
        <v>247</v>
      </c>
      <c r="B446" s="17">
        <v>903</v>
      </c>
      <c r="C446" s="21" t="s">
        <v>307</v>
      </c>
      <c r="D446" s="21" t="s">
        <v>278</v>
      </c>
      <c r="E446" s="21" t="s">
        <v>442</v>
      </c>
      <c r="F446" s="21" t="s">
        <v>223</v>
      </c>
      <c r="G446" s="27">
        <v>0</v>
      </c>
      <c r="H446" s="221"/>
    </row>
    <row r="447" spans="1:8" ht="94.5" x14ac:dyDescent="0.25">
      <c r="A447" s="31" t="s">
        <v>443</v>
      </c>
      <c r="B447" s="17">
        <v>903</v>
      </c>
      <c r="C447" s="42" t="s">
        <v>307</v>
      </c>
      <c r="D447" s="42" t="s">
        <v>278</v>
      </c>
      <c r="E447" s="42" t="s">
        <v>444</v>
      </c>
      <c r="F447" s="42"/>
      <c r="G447" s="27">
        <f>G448</f>
        <v>139.35</v>
      </c>
      <c r="H447" s="221"/>
    </row>
    <row r="448" spans="1:8" ht="31.5" x14ac:dyDescent="0.25">
      <c r="A448" s="31" t="s">
        <v>220</v>
      </c>
      <c r="B448" s="17">
        <v>903</v>
      </c>
      <c r="C448" s="42" t="s">
        <v>307</v>
      </c>
      <c r="D448" s="42" t="s">
        <v>278</v>
      </c>
      <c r="E448" s="42" t="s">
        <v>445</v>
      </c>
      <c r="F448" s="42"/>
      <c r="G448" s="27">
        <f>G449</f>
        <v>139.35</v>
      </c>
      <c r="H448" s="221"/>
    </row>
    <row r="449" spans="1:10" ht="31.5" x14ac:dyDescent="0.25">
      <c r="A449" s="31" t="s">
        <v>194</v>
      </c>
      <c r="B449" s="17">
        <v>903</v>
      </c>
      <c r="C449" s="42" t="s">
        <v>307</v>
      </c>
      <c r="D449" s="42" t="s">
        <v>278</v>
      </c>
      <c r="E449" s="42" t="s">
        <v>445</v>
      </c>
      <c r="F449" s="42" t="s">
        <v>195</v>
      </c>
      <c r="G449" s="27">
        <f>G450</f>
        <v>139.35</v>
      </c>
      <c r="H449" s="221"/>
    </row>
    <row r="450" spans="1:10" ht="47.25" x14ac:dyDescent="0.25">
      <c r="A450" s="31" t="s">
        <v>196</v>
      </c>
      <c r="B450" s="17">
        <v>903</v>
      </c>
      <c r="C450" s="42" t="s">
        <v>307</v>
      </c>
      <c r="D450" s="42" t="s">
        <v>278</v>
      </c>
      <c r="E450" s="42" t="s">
        <v>445</v>
      </c>
      <c r="F450" s="42" t="s">
        <v>197</v>
      </c>
      <c r="G450" s="27">
        <f>50+55+31.95+2.4</f>
        <v>139.35</v>
      </c>
      <c r="H450" s="221" t="s">
        <v>981</v>
      </c>
    </row>
    <row r="451" spans="1:10" ht="15.75" x14ac:dyDescent="0.25">
      <c r="A451" s="26" t="s">
        <v>184</v>
      </c>
      <c r="B451" s="17">
        <v>903</v>
      </c>
      <c r="C451" s="21" t="s">
        <v>307</v>
      </c>
      <c r="D451" s="21" t="s">
        <v>278</v>
      </c>
      <c r="E451" s="21" t="s">
        <v>185</v>
      </c>
      <c r="F451" s="21"/>
      <c r="G451" s="27">
        <f>G452+G463</f>
        <v>932</v>
      </c>
      <c r="H451" s="221"/>
    </row>
    <row r="452" spans="1:10" ht="31.5" x14ac:dyDescent="0.25">
      <c r="A452" s="26" t="s">
        <v>248</v>
      </c>
      <c r="B452" s="17">
        <v>903</v>
      </c>
      <c r="C452" s="21" t="s">
        <v>307</v>
      </c>
      <c r="D452" s="21" t="s">
        <v>278</v>
      </c>
      <c r="E452" s="21" t="s">
        <v>249</v>
      </c>
      <c r="F452" s="21"/>
      <c r="G452" s="27">
        <f>G459+G453+G456</f>
        <v>932</v>
      </c>
      <c r="H452" s="221"/>
    </row>
    <row r="453" spans="1:10" ht="15.75" x14ac:dyDescent="0.25">
      <c r="A453" s="26" t="s">
        <v>446</v>
      </c>
      <c r="B453" s="17">
        <v>903</v>
      </c>
      <c r="C453" s="21" t="s">
        <v>307</v>
      </c>
      <c r="D453" s="21" t="s">
        <v>278</v>
      </c>
      <c r="E453" s="21" t="s">
        <v>447</v>
      </c>
      <c r="F453" s="21"/>
      <c r="G453" s="27">
        <f t="shared" ref="G453:G454" si="68">G454</f>
        <v>372.6</v>
      </c>
      <c r="H453" s="221"/>
    </row>
    <row r="454" spans="1:10" ht="31.5" x14ac:dyDescent="0.25">
      <c r="A454" s="26" t="s">
        <v>311</v>
      </c>
      <c r="B454" s="17">
        <v>903</v>
      </c>
      <c r="C454" s="21" t="s">
        <v>307</v>
      </c>
      <c r="D454" s="21" t="s">
        <v>278</v>
      </c>
      <c r="E454" s="21" t="s">
        <v>447</v>
      </c>
      <c r="F454" s="21" t="s">
        <v>312</v>
      </c>
      <c r="G454" s="27">
        <f t="shared" si="68"/>
        <v>372.6</v>
      </c>
      <c r="H454" s="221"/>
    </row>
    <row r="455" spans="1:10" ht="31.5" x14ac:dyDescent="0.25">
      <c r="A455" s="26" t="s">
        <v>313</v>
      </c>
      <c r="B455" s="17">
        <v>903</v>
      </c>
      <c r="C455" s="21" t="s">
        <v>307</v>
      </c>
      <c r="D455" s="21" t="s">
        <v>278</v>
      </c>
      <c r="E455" s="21" t="s">
        <v>447</v>
      </c>
      <c r="F455" s="21" t="s">
        <v>314</v>
      </c>
      <c r="G455" s="27">
        <v>372.6</v>
      </c>
      <c r="H455" s="132"/>
      <c r="I455" s="152"/>
    </row>
    <row r="456" spans="1:10" ht="63" x14ac:dyDescent="0.25">
      <c r="A456" s="26" t="s">
        <v>438</v>
      </c>
      <c r="B456" s="17">
        <v>903</v>
      </c>
      <c r="C456" s="21" t="s">
        <v>307</v>
      </c>
      <c r="D456" s="21" t="s">
        <v>278</v>
      </c>
      <c r="E456" s="21" t="s">
        <v>448</v>
      </c>
      <c r="F456" s="21"/>
      <c r="G456" s="27">
        <f t="shared" ref="G456:G457" si="69">G457</f>
        <v>500</v>
      </c>
      <c r="H456" s="221"/>
      <c r="J456" s="135"/>
    </row>
    <row r="457" spans="1:10" ht="31.5" x14ac:dyDescent="0.25">
      <c r="A457" s="26" t="s">
        <v>311</v>
      </c>
      <c r="B457" s="17">
        <v>903</v>
      </c>
      <c r="C457" s="21" t="s">
        <v>307</v>
      </c>
      <c r="D457" s="21" t="s">
        <v>278</v>
      </c>
      <c r="E457" s="21" t="s">
        <v>448</v>
      </c>
      <c r="F457" s="21" t="s">
        <v>312</v>
      </c>
      <c r="G457" s="27">
        <f t="shared" si="69"/>
        <v>500</v>
      </c>
      <c r="H457" s="221"/>
      <c r="J457" s="135"/>
    </row>
    <row r="458" spans="1:10" ht="31.5" x14ac:dyDescent="0.25">
      <c r="A458" s="26" t="s">
        <v>313</v>
      </c>
      <c r="B458" s="17">
        <v>903</v>
      </c>
      <c r="C458" s="21" t="s">
        <v>307</v>
      </c>
      <c r="D458" s="21" t="s">
        <v>278</v>
      </c>
      <c r="E458" s="21" t="s">
        <v>448</v>
      </c>
      <c r="F458" s="21" t="s">
        <v>314</v>
      </c>
      <c r="G458" s="27">
        <v>500</v>
      </c>
      <c r="H458" s="132"/>
      <c r="J458" s="135"/>
    </row>
    <row r="459" spans="1:10" ht="54" customHeight="1" x14ac:dyDescent="0.25">
      <c r="A459" s="26" t="s">
        <v>882</v>
      </c>
      <c r="B459" s="17">
        <v>903</v>
      </c>
      <c r="C459" s="21" t="s">
        <v>307</v>
      </c>
      <c r="D459" s="21" t="s">
        <v>278</v>
      </c>
      <c r="E459" s="21" t="s">
        <v>914</v>
      </c>
      <c r="F459" s="21"/>
      <c r="G459" s="27">
        <f t="shared" ref="G459" si="70">G460</f>
        <v>59.4</v>
      </c>
      <c r="H459" s="221"/>
      <c r="J459" s="135"/>
    </row>
    <row r="460" spans="1:10" ht="31.5" x14ac:dyDescent="0.25">
      <c r="A460" s="26" t="s">
        <v>311</v>
      </c>
      <c r="B460" s="17">
        <v>903</v>
      </c>
      <c r="C460" s="21" t="s">
        <v>307</v>
      </c>
      <c r="D460" s="21" t="s">
        <v>278</v>
      </c>
      <c r="E460" s="21" t="s">
        <v>914</v>
      </c>
      <c r="F460" s="21" t="s">
        <v>312</v>
      </c>
      <c r="G460" s="27">
        <f t="shared" ref="G460" si="71">G461+G462</f>
        <v>59.4</v>
      </c>
      <c r="H460" s="221"/>
      <c r="J460" s="135"/>
    </row>
    <row r="461" spans="1:10" ht="31.5" x14ac:dyDescent="0.25">
      <c r="A461" s="26" t="s">
        <v>411</v>
      </c>
      <c r="B461" s="17">
        <v>903</v>
      </c>
      <c r="C461" s="21" t="s">
        <v>307</v>
      </c>
      <c r="D461" s="21" t="s">
        <v>278</v>
      </c>
      <c r="E461" s="21" t="s">
        <v>914</v>
      </c>
      <c r="F461" s="21" t="s">
        <v>412</v>
      </c>
      <c r="G461" s="27">
        <v>59.4</v>
      </c>
      <c r="H461" s="193"/>
      <c r="J461" s="135"/>
    </row>
    <row r="462" spans="1:10" ht="31.5" hidden="1" x14ac:dyDescent="0.25">
      <c r="A462" s="26" t="s">
        <v>313</v>
      </c>
      <c r="B462" s="17">
        <v>903</v>
      </c>
      <c r="C462" s="21" t="s">
        <v>307</v>
      </c>
      <c r="D462" s="21" t="s">
        <v>278</v>
      </c>
      <c r="E462" s="21" t="s">
        <v>450</v>
      </c>
      <c r="F462" s="21" t="s">
        <v>314</v>
      </c>
      <c r="G462" s="27"/>
      <c r="H462" s="221"/>
    </row>
    <row r="463" spans="1:10" ht="15.75" hidden="1" x14ac:dyDescent="0.25">
      <c r="A463" s="26" t="s">
        <v>204</v>
      </c>
      <c r="B463" s="17">
        <v>903</v>
      </c>
      <c r="C463" s="21" t="s">
        <v>307</v>
      </c>
      <c r="D463" s="21" t="s">
        <v>278</v>
      </c>
      <c r="E463" s="21" t="s">
        <v>205</v>
      </c>
      <c r="F463" s="21"/>
      <c r="G463" s="27">
        <f t="shared" ref="G463:G465" si="72">G464</f>
        <v>0</v>
      </c>
      <c r="H463" s="221"/>
    </row>
    <row r="464" spans="1:10" ht="15.75" hidden="1" x14ac:dyDescent="0.25">
      <c r="A464" s="26" t="s">
        <v>264</v>
      </c>
      <c r="B464" s="17">
        <v>903</v>
      </c>
      <c r="C464" s="21" t="s">
        <v>307</v>
      </c>
      <c r="D464" s="21" t="s">
        <v>278</v>
      </c>
      <c r="E464" s="21" t="s">
        <v>265</v>
      </c>
      <c r="F464" s="21"/>
      <c r="G464" s="27">
        <f t="shared" si="72"/>
        <v>0</v>
      </c>
      <c r="H464" s="221"/>
    </row>
    <row r="465" spans="1:13" ht="31.5" hidden="1" x14ac:dyDescent="0.25">
      <c r="A465" s="26" t="s">
        <v>311</v>
      </c>
      <c r="B465" s="17">
        <v>903</v>
      </c>
      <c r="C465" s="21" t="s">
        <v>307</v>
      </c>
      <c r="D465" s="21" t="s">
        <v>278</v>
      </c>
      <c r="E465" s="21" t="s">
        <v>265</v>
      </c>
      <c r="F465" s="21" t="s">
        <v>312</v>
      </c>
      <c r="G465" s="27">
        <f t="shared" si="72"/>
        <v>0</v>
      </c>
      <c r="H465" s="221"/>
    </row>
    <row r="466" spans="1:13" ht="31.5" hidden="1" x14ac:dyDescent="0.25">
      <c r="A466" s="26" t="s">
        <v>411</v>
      </c>
      <c r="B466" s="17">
        <v>903</v>
      </c>
      <c r="C466" s="21" t="s">
        <v>307</v>
      </c>
      <c r="D466" s="21" t="s">
        <v>278</v>
      </c>
      <c r="E466" s="21" t="s">
        <v>265</v>
      </c>
      <c r="F466" s="21" t="s">
        <v>412</v>
      </c>
      <c r="G466" s="27">
        <v>0</v>
      </c>
      <c r="H466" s="221"/>
    </row>
    <row r="467" spans="1:13" ht="47.25" x14ac:dyDescent="0.25">
      <c r="A467" s="20" t="s">
        <v>451</v>
      </c>
      <c r="B467" s="20">
        <v>905</v>
      </c>
      <c r="C467" s="21"/>
      <c r="D467" s="21"/>
      <c r="E467" s="21"/>
      <c r="F467" s="21"/>
      <c r="G467" s="22">
        <f>G468+G488+G503</f>
        <v>14562.54</v>
      </c>
      <c r="H467" s="221"/>
    </row>
    <row r="468" spans="1:13" ht="15.75" x14ac:dyDescent="0.25">
      <c r="A468" s="24" t="s">
        <v>180</v>
      </c>
      <c r="B468" s="20">
        <v>905</v>
      </c>
      <c r="C468" s="25" t="s">
        <v>181</v>
      </c>
      <c r="D468" s="21"/>
      <c r="E468" s="21"/>
      <c r="F468" s="21"/>
      <c r="G468" s="22">
        <f>G469+G479</f>
        <v>13570.34</v>
      </c>
      <c r="H468" s="221"/>
    </row>
    <row r="469" spans="1:13" ht="78.75" x14ac:dyDescent="0.25">
      <c r="A469" s="24" t="s">
        <v>212</v>
      </c>
      <c r="B469" s="20">
        <v>905</v>
      </c>
      <c r="C469" s="25" t="s">
        <v>181</v>
      </c>
      <c r="D469" s="25" t="s">
        <v>213</v>
      </c>
      <c r="E469" s="25"/>
      <c r="F469" s="25"/>
      <c r="G469" s="22">
        <f t="shared" ref="G469:G471" si="73">G470</f>
        <v>10287.4</v>
      </c>
      <c r="H469" s="221"/>
    </row>
    <row r="470" spans="1:13" ht="15.75" x14ac:dyDescent="0.25">
      <c r="A470" s="26" t="s">
        <v>184</v>
      </c>
      <c r="B470" s="17">
        <v>905</v>
      </c>
      <c r="C470" s="21" t="s">
        <v>181</v>
      </c>
      <c r="D470" s="21" t="s">
        <v>213</v>
      </c>
      <c r="E470" s="21" t="s">
        <v>185</v>
      </c>
      <c r="F470" s="21"/>
      <c r="G470" s="27">
        <f>G471</f>
        <v>10287.4</v>
      </c>
      <c r="H470" s="221"/>
    </row>
    <row r="471" spans="1:13" ht="31.5" x14ac:dyDescent="0.25">
      <c r="A471" s="26" t="s">
        <v>186</v>
      </c>
      <c r="B471" s="17">
        <v>905</v>
      </c>
      <c r="C471" s="21" t="s">
        <v>181</v>
      </c>
      <c r="D471" s="21" t="s">
        <v>213</v>
      </c>
      <c r="E471" s="21" t="s">
        <v>187</v>
      </c>
      <c r="F471" s="21"/>
      <c r="G471" s="27">
        <f t="shared" si="73"/>
        <v>10287.4</v>
      </c>
      <c r="H471" s="221"/>
    </row>
    <row r="472" spans="1:13" ht="47.25" x14ac:dyDescent="0.25">
      <c r="A472" s="26" t="s">
        <v>188</v>
      </c>
      <c r="B472" s="17">
        <v>905</v>
      </c>
      <c r="C472" s="21" t="s">
        <v>181</v>
      </c>
      <c r="D472" s="21" t="s">
        <v>213</v>
      </c>
      <c r="E472" s="21" t="s">
        <v>189</v>
      </c>
      <c r="F472" s="21"/>
      <c r="G472" s="27">
        <f>G473+G475+G477</f>
        <v>10287.4</v>
      </c>
      <c r="H472" s="221"/>
    </row>
    <row r="473" spans="1:13" ht="94.5" x14ac:dyDescent="0.25">
      <c r="A473" s="26" t="s">
        <v>190</v>
      </c>
      <c r="B473" s="17">
        <v>905</v>
      </c>
      <c r="C473" s="21" t="s">
        <v>181</v>
      </c>
      <c r="D473" s="21" t="s">
        <v>213</v>
      </c>
      <c r="E473" s="21" t="s">
        <v>189</v>
      </c>
      <c r="F473" s="21" t="s">
        <v>191</v>
      </c>
      <c r="G473" s="27">
        <f t="shared" ref="G473" si="74">G474</f>
        <v>9399.1</v>
      </c>
      <c r="H473" s="221"/>
    </row>
    <row r="474" spans="1:13" ht="31.5" x14ac:dyDescent="0.25">
      <c r="A474" s="26" t="s">
        <v>192</v>
      </c>
      <c r="B474" s="17">
        <v>905</v>
      </c>
      <c r="C474" s="21" t="s">
        <v>181</v>
      </c>
      <c r="D474" s="21" t="s">
        <v>213</v>
      </c>
      <c r="E474" s="21" t="s">
        <v>189</v>
      </c>
      <c r="F474" s="21" t="s">
        <v>193</v>
      </c>
      <c r="G474" s="28">
        <f>10200.7-170-500-131.6</f>
        <v>9399.1</v>
      </c>
      <c r="H474" s="242" t="s">
        <v>1005</v>
      </c>
      <c r="L474" s="135"/>
      <c r="M474" s="135"/>
    </row>
    <row r="475" spans="1:13" ht="31.5" x14ac:dyDescent="0.25">
      <c r="A475" s="26" t="s">
        <v>194</v>
      </c>
      <c r="B475" s="17">
        <v>905</v>
      </c>
      <c r="C475" s="21" t="s">
        <v>181</v>
      </c>
      <c r="D475" s="21" t="s">
        <v>213</v>
      </c>
      <c r="E475" s="21" t="s">
        <v>189</v>
      </c>
      <c r="F475" s="21" t="s">
        <v>195</v>
      </c>
      <c r="G475" s="27">
        <f t="shared" ref="G475" si="75">G476</f>
        <v>811.8</v>
      </c>
      <c r="H475" s="221"/>
    </row>
    <row r="476" spans="1:13" ht="47.25" x14ac:dyDescent="0.25">
      <c r="A476" s="26" t="s">
        <v>196</v>
      </c>
      <c r="B476" s="17">
        <v>905</v>
      </c>
      <c r="C476" s="21" t="s">
        <v>181</v>
      </c>
      <c r="D476" s="21" t="s">
        <v>213</v>
      </c>
      <c r="E476" s="21" t="s">
        <v>189</v>
      </c>
      <c r="F476" s="21" t="s">
        <v>197</v>
      </c>
      <c r="G476" s="28">
        <f>885.8-74</f>
        <v>811.8</v>
      </c>
      <c r="H476" s="193"/>
    </row>
    <row r="477" spans="1:13" ht="15.75" x14ac:dyDescent="0.25">
      <c r="A477" s="26" t="s">
        <v>198</v>
      </c>
      <c r="B477" s="17">
        <v>905</v>
      </c>
      <c r="C477" s="21" t="s">
        <v>181</v>
      </c>
      <c r="D477" s="21" t="s">
        <v>213</v>
      </c>
      <c r="E477" s="21" t="s">
        <v>189</v>
      </c>
      <c r="F477" s="21" t="s">
        <v>208</v>
      </c>
      <c r="G477" s="27">
        <f t="shared" ref="G477" si="76">G478</f>
        <v>76.5</v>
      </c>
      <c r="H477" s="221"/>
    </row>
    <row r="478" spans="1:13" ht="15.75" x14ac:dyDescent="0.25">
      <c r="A478" s="26" t="s">
        <v>633</v>
      </c>
      <c r="B478" s="17">
        <v>905</v>
      </c>
      <c r="C478" s="21" t="s">
        <v>181</v>
      </c>
      <c r="D478" s="21" t="s">
        <v>213</v>
      </c>
      <c r="E478" s="21" t="s">
        <v>189</v>
      </c>
      <c r="F478" s="21" t="s">
        <v>201</v>
      </c>
      <c r="G478" s="27">
        <f>2.5+74</f>
        <v>76.5</v>
      </c>
      <c r="H478" s="193"/>
    </row>
    <row r="479" spans="1:13" ht="15.75" x14ac:dyDescent="0.25">
      <c r="A479" s="24" t="s">
        <v>202</v>
      </c>
      <c r="B479" s="20">
        <v>905</v>
      </c>
      <c r="C479" s="25" t="s">
        <v>181</v>
      </c>
      <c r="D479" s="25" t="s">
        <v>203</v>
      </c>
      <c r="E479" s="25"/>
      <c r="F479" s="25"/>
      <c r="G479" s="22">
        <f t="shared" ref="G479:G483" si="77">G480</f>
        <v>3282.94</v>
      </c>
      <c r="H479" s="221"/>
    </row>
    <row r="480" spans="1:13" ht="15.75" x14ac:dyDescent="0.25">
      <c r="A480" s="26" t="s">
        <v>184</v>
      </c>
      <c r="B480" s="17">
        <v>905</v>
      </c>
      <c r="C480" s="21" t="s">
        <v>181</v>
      </c>
      <c r="D480" s="21" t="s">
        <v>203</v>
      </c>
      <c r="E480" s="21" t="s">
        <v>185</v>
      </c>
      <c r="F480" s="21"/>
      <c r="G480" s="27">
        <f>G481</f>
        <v>3282.94</v>
      </c>
      <c r="H480" s="221"/>
    </row>
    <row r="481" spans="1:9" ht="15.75" x14ac:dyDescent="0.25">
      <c r="A481" s="26" t="s">
        <v>204</v>
      </c>
      <c r="B481" s="17">
        <v>905</v>
      </c>
      <c r="C481" s="21" t="s">
        <v>181</v>
      </c>
      <c r="D481" s="21" t="s">
        <v>203</v>
      </c>
      <c r="E481" s="21" t="s">
        <v>205</v>
      </c>
      <c r="F481" s="21"/>
      <c r="G481" s="27">
        <f>G482+G485</f>
        <v>3282.94</v>
      </c>
      <c r="H481" s="221"/>
    </row>
    <row r="482" spans="1:9" ht="47.25" x14ac:dyDescent="0.25">
      <c r="A482" s="26" t="s">
        <v>452</v>
      </c>
      <c r="B482" s="17">
        <v>905</v>
      </c>
      <c r="C482" s="21" t="s">
        <v>181</v>
      </c>
      <c r="D482" s="21" t="s">
        <v>203</v>
      </c>
      <c r="E482" s="21" t="s">
        <v>453</v>
      </c>
      <c r="F482" s="21"/>
      <c r="G482" s="27">
        <f>G483</f>
        <v>3282.94</v>
      </c>
      <c r="H482" s="221"/>
    </row>
    <row r="483" spans="1:9" ht="31.5" x14ac:dyDescent="0.25">
      <c r="A483" s="26" t="s">
        <v>194</v>
      </c>
      <c r="B483" s="17">
        <v>905</v>
      </c>
      <c r="C483" s="21" t="s">
        <v>181</v>
      </c>
      <c r="D483" s="21" t="s">
        <v>203</v>
      </c>
      <c r="E483" s="21" t="s">
        <v>453</v>
      </c>
      <c r="F483" s="21" t="s">
        <v>195</v>
      </c>
      <c r="G483" s="27">
        <f t="shared" si="77"/>
        <v>3282.94</v>
      </c>
      <c r="H483" s="221"/>
    </row>
    <row r="484" spans="1:9" ht="47.25" x14ac:dyDescent="0.25">
      <c r="A484" s="26" t="s">
        <v>196</v>
      </c>
      <c r="B484" s="17">
        <v>905</v>
      </c>
      <c r="C484" s="21" t="s">
        <v>181</v>
      </c>
      <c r="D484" s="21" t="s">
        <v>203</v>
      </c>
      <c r="E484" s="21" t="s">
        <v>453</v>
      </c>
      <c r="F484" s="21" t="s">
        <v>197</v>
      </c>
      <c r="G484" s="27">
        <f>1961.14+1251.8+400+170-500</f>
        <v>3282.94</v>
      </c>
      <c r="H484" s="132" t="s">
        <v>938</v>
      </c>
      <c r="I484" s="152"/>
    </row>
    <row r="485" spans="1:9" ht="15.75" hidden="1" x14ac:dyDescent="0.25">
      <c r="A485" s="236" t="s">
        <v>206</v>
      </c>
      <c r="B485" s="237">
        <v>905</v>
      </c>
      <c r="C485" s="238" t="s">
        <v>181</v>
      </c>
      <c r="D485" s="238" t="s">
        <v>203</v>
      </c>
      <c r="E485" s="238" t="s">
        <v>207</v>
      </c>
      <c r="F485" s="238"/>
      <c r="G485" s="27">
        <f>G486</f>
        <v>0</v>
      </c>
      <c r="H485" s="233"/>
      <c r="I485" s="152"/>
    </row>
    <row r="486" spans="1:9" ht="15.75" hidden="1" x14ac:dyDescent="0.25">
      <c r="A486" s="239" t="s">
        <v>198</v>
      </c>
      <c r="B486" s="237">
        <v>905</v>
      </c>
      <c r="C486" s="238" t="s">
        <v>181</v>
      </c>
      <c r="D486" s="238" t="s">
        <v>203</v>
      </c>
      <c r="E486" s="238" t="s">
        <v>207</v>
      </c>
      <c r="F486" s="238" t="s">
        <v>208</v>
      </c>
      <c r="G486" s="27">
        <f>G487</f>
        <v>0</v>
      </c>
      <c r="H486" s="134"/>
      <c r="I486" s="152"/>
    </row>
    <row r="487" spans="1:9" ht="15.75" hidden="1" x14ac:dyDescent="0.25">
      <c r="A487" s="239" t="s">
        <v>209</v>
      </c>
      <c r="B487" s="237">
        <v>905</v>
      </c>
      <c r="C487" s="238" t="s">
        <v>181</v>
      </c>
      <c r="D487" s="238" t="s">
        <v>203</v>
      </c>
      <c r="E487" s="238" t="s">
        <v>207</v>
      </c>
      <c r="F487" s="238" t="s">
        <v>210</v>
      </c>
      <c r="G487" s="27"/>
      <c r="H487" s="134"/>
      <c r="I487" s="152"/>
    </row>
    <row r="488" spans="1:9" ht="15.75" x14ac:dyDescent="0.25">
      <c r="A488" s="43" t="s">
        <v>454</v>
      </c>
      <c r="B488" s="20">
        <v>905</v>
      </c>
      <c r="C488" s="25" t="s">
        <v>297</v>
      </c>
      <c r="D488" s="25"/>
      <c r="E488" s="25"/>
      <c r="F488" s="25"/>
      <c r="G488" s="22">
        <f t="shared" ref="G488" si="78">G489</f>
        <v>992.2</v>
      </c>
      <c r="H488" s="221"/>
    </row>
    <row r="489" spans="1:9" ht="15.75" x14ac:dyDescent="0.25">
      <c r="A489" s="43" t="s">
        <v>455</v>
      </c>
      <c r="B489" s="20">
        <v>905</v>
      </c>
      <c r="C489" s="25" t="s">
        <v>297</v>
      </c>
      <c r="D489" s="25" t="s">
        <v>181</v>
      </c>
      <c r="E489" s="25"/>
      <c r="F489" s="25"/>
      <c r="G489" s="27">
        <f>G490</f>
        <v>992.2</v>
      </c>
      <c r="H489" s="221"/>
    </row>
    <row r="490" spans="1:9" ht="15.75" x14ac:dyDescent="0.25">
      <c r="A490" s="31" t="s">
        <v>184</v>
      </c>
      <c r="B490" s="17">
        <v>905</v>
      </c>
      <c r="C490" s="21" t="s">
        <v>297</v>
      </c>
      <c r="D490" s="21" t="s">
        <v>181</v>
      </c>
      <c r="E490" s="21" t="s">
        <v>185</v>
      </c>
      <c r="F490" s="21"/>
      <c r="G490" s="27">
        <f t="shared" ref="G490" si="79">G496+G491</f>
        <v>992.2</v>
      </c>
      <c r="H490" s="221"/>
    </row>
    <row r="491" spans="1:9" ht="31.5" hidden="1" x14ac:dyDescent="0.25">
      <c r="A491" s="26" t="s">
        <v>248</v>
      </c>
      <c r="B491" s="39">
        <v>905</v>
      </c>
      <c r="C491" s="21" t="s">
        <v>297</v>
      </c>
      <c r="D491" s="21" t="s">
        <v>181</v>
      </c>
      <c r="E491" s="21" t="s">
        <v>249</v>
      </c>
      <c r="F491" s="21"/>
      <c r="G491" s="27">
        <f t="shared" ref="G491:G494" si="80">G492</f>
        <v>0</v>
      </c>
      <c r="H491" s="221"/>
    </row>
    <row r="492" spans="1:9" ht="47.25" hidden="1" x14ac:dyDescent="0.25">
      <c r="A492" s="38" t="s">
        <v>456</v>
      </c>
      <c r="B492" s="39">
        <v>905</v>
      </c>
      <c r="C492" s="21" t="s">
        <v>297</v>
      </c>
      <c r="D492" s="21" t="s">
        <v>181</v>
      </c>
      <c r="E492" s="21" t="s">
        <v>457</v>
      </c>
      <c r="F492" s="21"/>
      <c r="G492" s="27">
        <f t="shared" si="80"/>
        <v>0</v>
      </c>
      <c r="H492" s="221"/>
    </row>
    <row r="493" spans="1:9" ht="31.5" hidden="1" x14ac:dyDescent="0.25">
      <c r="A493" s="44" t="s">
        <v>458</v>
      </c>
      <c r="B493" s="39">
        <v>905</v>
      </c>
      <c r="C493" s="21" t="s">
        <v>297</v>
      </c>
      <c r="D493" s="21" t="s">
        <v>181</v>
      </c>
      <c r="E493" s="21" t="s">
        <v>459</v>
      </c>
      <c r="F493" s="21"/>
      <c r="G493" s="27">
        <f t="shared" si="80"/>
        <v>0</v>
      </c>
      <c r="H493" s="221"/>
    </row>
    <row r="494" spans="1:9" ht="31.5" hidden="1" x14ac:dyDescent="0.25">
      <c r="A494" s="26" t="s">
        <v>194</v>
      </c>
      <c r="B494" s="17">
        <v>905</v>
      </c>
      <c r="C494" s="21" t="s">
        <v>297</v>
      </c>
      <c r="D494" s="21" t="s">
        <v>181</v>
      </c>
      <c r="E494" s="21" t="s">
        <v>459</v>
      </c>
      <c r="F494" s="21" t="s">
        <v>195</v>
      </c>
      <c r="G494" s="27">
        <f t="shared" si="80"/>
        <v>0</v>
      </c>
      <c r="H494" s="221"/>
    </row>
    <row r="495" spans="1:9" ht="47.25" hidden="1" x14ac:dyDescent="0.25">
      <c r="A495" s="26" t="s">
        <v>196</v>
      </c>
      <c r="B495" s="17">
        <v>905</v>
      </c>
      <c r="C495" s="21" t="s">
        <v>297</v>
      </c>
      <c r="D495" s="21" t="s">
        <v>181</v>
      </c>
      <c r="E495" s="21" t="s">
        <v>459</v>
      </c>
      <c r="F495" s="21" t="s">
        <v>197</v>
      </c>
      <c r="G495" s="27"/>
      <c r="H495" s="221"/>
    </row>
    <row r="496" spans="1:9" ht="15.75" x14ac:dyDescent="0.25">
      <c r="A496" s="31" t="s">
        <v>204</v>
      </c>
      <c r="B496" s="17">
        <v>905</v>
      </c>
      <c r="C496" s="21" t="s">
        <v>297</v>
      </c>
      <c r="D496" s="21" t="s">
        <v>181</v>
      </c>
      <c r="E496" s="21" t="s">
        <v>205</v>
      </c>
      <c r="F496" s="21"/>
      <c r="G496" s="27">
        <f>G497+G500</f>
        <v>992.2</v>
      </c>
      <c r="H496" s="221"/>
    </row>
    <row r="497" spans="1:12" ht="31.5" x14ac:dyDescent="0.25">
      <c r="A497" s="31" t="s">
        <v>462</v>
      </c>
      <c r="B497" s="17">
        <v>905</v>
      </c>
      <c r="C497" s="21" t="s">
        <v>297</v>
      </c>
      <c r="D497" s="21" t="s">
        <v>181</v>
      </c>
      <c r="E497" s="21" t="s">
        <v>463</v>
      </c>
      <c r="F497" s="21"/>
      <c r="G497" s="27">
        <f>G498</f>
        <v>260.8</v>
      </c>
      <c r="H497" s="221"/>
    </row>
    <row r="498" spans="1:12" ht="31.5" x14ac:dyDescent="0.25">
      <c r="A498" s="26" t="s">
        <v>194</v>
      </c>
      <c r="B498" s="17">
        <v>905</v>
      </c>
      <c r="C498" s="21" t="s">
        <v>297</v>
      </c>
      <c r="D498" s="21" t="s">
        <v>181</v>
      </c>
      <c r="E498" s="21" t="s">
        <v>463</v>
      </c>
      <c r="F498" s="21" t="s">
        <v>195</v>
      </c>
      <c r="G498" s="27">
        <f t="shared" ref="G498" si="81">G499</f>
        <v>260.8</v>
      </c>
      <c r="H498" s="221"/>
    </row>
    <row r="499" spans="1:12" ht="47.25" x14ac:dyDescent="0.25">
      <c r="A499" s="26" t="s">
        <v>196</v>
      </c>
      <c r="B499" s="17">
        <v>905</v>
      </c>
      <c r="C499" s="21" t="s">
        <v>297</v>
      </c>
      <c r="D499" s="21" t="s">
        <v>181</v>
      </c>
      <c r="E499" s="21" t="s">
        <v>463</v>
      </c>
      <c r="F499" s="21" t="s">
        <v>197</v>
      </c>
      <c r="G499" s="27">
        <v>260.8</v>
      </c>
      <c r="H499" s="221"/>
    </row>
    <row r="500" spans="1:12" ht="15.75" x14ac:dyDescent="0.25">
      <c r="A500" s="31" t="s">
        <v>460</v>
      </c>
      <c r="B500" s="17">
        <v>905</v>
      </c>
      <c r="C500" s="21" t="s">
        <v>297</v>
      </c>
      <c r="D500" s="21" t="s">
        <v>181</v>
      </c>
      <c r="E500" s="21" t="s">
        <v>461</v>
      </c>
      <c r="F500" s="21"/>
      <c r="G500" s="27">
        <f>G501</f>
        <v>731.4</v>
      </c>
      <c r="H500" s="221"/>
    </row>
    <row r="501" spans="1:12" ht="31.5" x14ac:dyDescent="0.25">
      <c r="A501" s="26" t="s">
        <v>194</v>
      </c>
      <c r="B501" s="17">
        <v>905</v>
      </c>
      <c r="C501" s="21" t="s">
        <v>297</v>
      </c>
      <c r="D501" s="21" t="s">
        <v>181</v>
      </c>
      <c r="E501" s="21" t="s">
        <v>461</v>
      </c>
      <c r="F501" s="21" t="s">
        <v>195</v>
      </c>
      <c r="G501" s="27">
        <f>G502</f>
        <v>731.4</v>
      </c>
      <c r="H501" s="221"/>
    </row>
    <row r="502" spans="1:12" ht="47.25" x14ac:dyDescent="0.25">
      <c r="A502" s="26" t="s">
        <v>196</v>
      </c>
      <c r="B502" s="17">
        <v>905</v>
      </c>
      <c r="C502" s="21" t="s">
        <v>297</v>
      </c>
      <c r="D502" s="21" t="s">
        <v>181</v>
      </c>
      <c r="E502" s="21" t="s">
        <v>461</v>
      </c>
      <c r="F502" s="21" t="s">
        <v>197</v>
      </c>
      <c r="G502" s="27">
        <f>839-107.6</f>
        <v>731.4</v>
      </c>
      <c r="H502" s="221" t="s">
        <v>939</v>
      </c>
      <c r="I502" s="141"/>
    </row>
    <row r="503" spans="1:12" ht="15.75" hidden="1" x14ac:dyDescent="0.25">
      <c r="A503" s="45" t="s">
        <v>306</v>
      </c>
      <c r="B503" s="20">
        <v>905</v>
      </c>
      <c r="C503" s="25" t="s">
        <v>307</v>
      </c>
      <c r="D503" s="25"/>
      <c r="E503" s="25"/>
      <c r="F503" s="25"/>
      <c r="G503" s="22">
        <f t="shared" ref="G503:G507" si="82">G504</f>
        <v>0</v>
      </c>
      <c r="H503" s="221"/>
    </row>
    <row r="504" spans="1:12" ht="15.75" hidden="1" x14ac:dyDescent="0.25">
      <c r="A504" s="24" t="s">
        <v>464</v>
      </c>
      <c r="B504" s="20">
        <v>905</v>
      </c>
      <c r="C504" s="25" t="s">
        <v>307</v>
      </c>
      <c r="D504" s="25" t="s">
        <v>213</v>
      </c>
      <c r="E504" s="25"/>
      <c r="F504" s="25"/>
      <c r="G504" s="22">
        <f t="shared" si="82"/>
        <v>0</v>
      </c>
      <c r="H504" s="221"/>
    </row>
    <row r="505" spans="1:12" ht="31.5" hidden="1" x14ac:dyDescent="0.25">
      <c r="A505" s="26" t="s">
        <v>248</v>
      </c>
      <c r="B505" s="17">
        <v>905</v>
      </c>
      <c r="C505" s="21" t="s">
        <v>307</v>
      </c>
      <c r="D505" s="21" t="s">
        <v>213</v>
      </c>
      <c r="E505" s="21" t="s">
        <v>249</v>
      </c>
      <c r="F505" s="21"/>
      <c r="G505" s="27">
        <f t="shared" si="82"/>
        <v>0</v>
      </c>
      <c r="H505" s="221"/>
    </row>
    <row r="506" spans="1:12" ht="47.25" hidden="1" x14ac:dyDescent="0.25">
      <c r="A506" s="33" t="s">
        <v>465</v>
      </c>
      <c r="B506" s="17">
        <v>905</v>
      </c>
      <c r="C506" s="21" t="s">
        <v>307</v>
      </c>
      <c r="D506" s="21" t="s">
        <v>213</v>
      </c>
      <c r="E506" s="21" t="s">
        <v>466</v>
      </c>
      <c r="F506" s="21"/>
      <c r="G506" s="27">
        <f t="shared" si="82"/>
        <v>0</v>
      </c>
      <c r="H506" s="221"/>
    </row>
    <row r="507" spans="1:12" ht="31.5" hidden="1" x14ac:dyDescent="0.25">
      <c r="A507" s="26" t="s">
        <v>194</v>
      </c>
      <c r="B507" s="17">
        <v>905</v>
      </c>
      <c r="C507" s="21" t="s">
        <v>307</v>
      </c>
      <c r="D507" s="21" t="s">
        <v>213</v>
      </c>
      <c r="E507" s="21" t="s">
        <v>466</v>
      </c>
      <c r="F507" s="21" t="s">
        <v>195</v>
      </c>
      <c r="G507" s="27">
        <f t="shared" si="82"/>
        <v>0</v>
      </c>
      <c r="H507" s="221"/>
    </row>
    <row r="508" spans="1:12" ht="47.25" hidden="1" x14ac:dyDescent="0.25">
      <c r="A508" s="26" t="s">
        <v>196</v>
      </c>
      <c r="B508" s="17">
        <v>905</v>
      </c>
      <c r="C508" s="21" t="s">
        <v>307</v>
      </c>
      <c r="D508" s="21" t="s">
        <v>213</v>
      </c>
      <c r="E508" s="21" t="s">
        <v>466</v>
      </c>
      <c r="F508" s="21" t="s">
        <v>197</v>
      </c>
      <c r="G508" s="27">
        <f>1330-1330</f>
        <v>0</v>
      </c>
      <c r="H508" s="221"/>
      <c r="I508" s="141"/>
    </row>
    <row r="509" spans="1:12" ht="31.5" x14ac:dyDescent="0.25">
      <c r="A509" s="20" t="s">
        <v>467</v>
      </c>
      <c r="B509" s="20">
        <v>906</v>
      </c>
      <c r="C509" s="25"/>
      <c r="D509" s="25"/>
      <c r="E509" s="25"/>
      <c r="F509" s="25"/>
      <c r="G509" s="22">
        <f>G517+G510</f>
        <v>259312.85000000003</v>
      </c>
      <c r="H509" s="221"/>
      <c r="L509" s="142"/>
    </row>
    <row r="510" spans="1:12" ht="15.75" x14ac:dyDescent="0.25">
      <c r="A510" s="24" t="s">
        <v>180</v>
      </c>
      <c r="B510" s="20">
        <v>906</v>
      </c>
      <c r="C510" s="25" t="s">
        <v>181</v>
      </c>
      <c r="D510" s="25"/>
      <c r="E510" s="25"/>
      <c r="F510" s="25"/>
      <c r="G510" s="22">
        <f>G511</f>
        <v>5</v>
      </c>
      <c r="H510" s="221"/>
    </row>
    <row r="511" spans="1:12" ht="15.75" x14ac:dyDescent="0.25">
      <c r="A511" s="36" t="s">
        <v>202</v>
      </c>
      <c r="B511" s="20">
        <v>906</v>
      </c>
      <c r="C511" s="25" t="s">
        <v>181</v>
      </c>
      <c r="D511" s="25" t="s">
        <v>203</v>
      </c>
      <c r="E511" s="25"/>
      <c r="F511" s="25"/>
      <c r="G511" s="22">
        <f t="shared" ref="G511:G515" si="83">G512</f>
        <v>5</v>
      </c>
      <c r="H511" s="221"/>
    </row>
    <row r="512" spans="1:12" ht="18" customHeight="1" x14ac:dyDescent="0.25">
      <c r="A512" s="33" t="s">
        <v>184</v>
      </c>
      <c r="B512" s="17">
        <v>906</v>
      </c>
      <c r="C512" s="21" t="s">
        <v>181</v>
      </c>
      <c r="D512" s="21" t="s">
        <v>203</v>
      </c>
      <c r="E512" s="21" t="s">
        <v>185</v>
      </c>
      <c r="F512" s="21"/>
      <c r="G512" s="27">
        <f>G513</f>
        <v>5</v>
      </c>
      <c r="H512" s="221"/>
    </row>
    <row r="513" spans="1:9" ht="15.75" x14ac:dyDescent="0.25">
      <c r="A513" s="33" t="s">
        <v>204</v>
      </c>
      <c r="B513" s="17">
        <v>906</v>
      </c>
      <c r="C513" s="21" t="s">
        <v>181</v>
      </c>
      <c r="D513" s="21" t="s">
        <v>203</v>
      </c>
      <c r="E513" s="21" t="s">
        <v>205</v>
      </c>
      <c r="F513" s="21"/>
      <c r="G513" s="27">
        <f t="shared" si="83"/>
        <v>5</v>
      </c>
      <c r="H513" s="221"/>
    </row>
    <row r="514" spans="1:9" ht="15.75" x14ac:dyDescent="0.25">
      <c r="A514" s="26" t="s">
        <v>242</v>
      </c>
      <c r="B514" s="17">
        <v>906</v>
      </c>
      <c r="C514" s="21" t="s">
        <v>181</v>
      </c>
      <c r="D514" s="21" t="s">
        <v>203</v>
      </c>
      <c r="E514" s="21" t="s">
        <v>268</v>
      </c>
      <c r="F514" s="21"/>
      <c r="G514" s="27">
        <f>G515</f>
        <v>5</v>
      </c>
      <c r="H514" s="221"/>
    </row>
    <row r="515" spans="1:9" ht="31.5" x14ac:dyDescent="0.25">
      <c r="A515" s="26" t="s">
        <v>194</v>
      </c>
      <c r="B515" s="17">
        <v>906</v>
      </c>
      <c r="C515" s="21" t="s">
        <v>181</v>
      </c>
      <c r="D515" s="21" t="s">
        <v>203</v>
      </c>
      <c r="E515" s="21" t="s">
        <v>268</v>
      </c>
      <c r="F515" s="21" t="s">
        <v>195</v>
      </c>
      <c r="G515" s="27">
        <f t="shared" si="83"/>
        <v>5</v>
      </c>
      <c r="H515" s="221"/>
    </row>
    <row r="516" spans="1:9" ht="47.25" x14ac:dyDescent="0.25">
      <c r="A516" s="26" t="s">
        <v>196</v>
      </c>
      <c r="B516" s="17">
        <v>906</v>
      </c>
      <c r="C516" s="21" t="s">
        <v>181</v>
      </c>
      <c r="D516" s="21" t="s">
        <v>203</v>
      </c>
      <c r="E516" s="21" t="s">
        <v>268</v>
      </c>
      <c r="F516" s="21" t="s">
        <v>197</v>
      </c>
      <c r="G516" s="27">
        <v>5</v>
      </c>
      <c r="H516" s="221"/>
    </row>
    <row r="517" spans="1:9" ht="15.75" x14ac:dyDescent="0.25">
      <c r="A517" s="24" t="s">
        <v>326</v>
      </c>
      <c r="B517" s="20">
        <v>906</v>
      </c>
      <c r="C517" s="25" t="s">
        <v>327</v>
      </c>
      <c r="D517" s="25"/>
      <c r="E517" s="25"/>
      <c r="F517" s="25"/>
      <c r="G517" s="22">
        <f>G518+G557+G647+G659+G623</f>
        <v>259307.85000000003</v>
      </c>
      <c r="H517" s="221"/>
    </row>
    <row r="518" spans="1:9" ht="15.75" x14ac:dyDescent="0.25">
      <c r="A518" s="24" t="s">
        <v>468</v>
      </c>
      <c r="B518" s="20">
        <v>906</v>
      </c>
      <c r="C518" s="25" t="s">
        <v>327</v>
      </c>
      <c r="D518" s="25" t="s">
        <v>181</v>
      </c>
      <c r="E518" s="25"/>
      <c r="F518" s="25"/>
      <c r="G518" s="22">
        <f>G519+G537</f>
        <v>84218.6</v>
      </c>
      <c r="H518" s="221"/>
    </row>
    <row r="519" spans="1:9" ht="47.25" x14ac:dyDescent="0.25">
      <c r="A519" s="26" t="s">
        <v>469</v>
      </c>
      <c r="B519" s="17">
        <v>906</v>
      </c>
      <c r="C519" s="21" t="s">
        <v>327</v>
      </c>
      <c r="D519" s="21" t="s">
        <v>181</v>
      </c>
      <c r="E519" s="21" t="s">
        <v>470</v>
      </c>
      <c r="F519" s="21"/>
      <c r="G519" s="27">
        <f>G520+G524</f>
        <v>22748.600000000002</v>
      </c>
      <c r="H519" s="221"/>
    </row>
    <row r="520" spans="1:9" ht="47.25" x14ac:dyDescent="0.25">
      <c r="A520" s="26" t="s">
        <v>471</v>
      </c>
      <c r="B520" s="17">
        <v>906</v>
      </c>
      <c r="C520" s="21" t="s">
        <v>327</v>
      </c>
      <c r="D520" s="21" t="s">
        <v>181</v>
      </c>
      <c r="E520" s="21" t="s">
        <v>472</v>
      </c>
      <c r="F520" s="21"/>
      <c r="G520" s="27">
        <f>G521</f>
        <v>16546.300000000003</v>
      </c>
      <c r="H520" s="221"/>
    </row>
    <row r="521" spans="1:9" ht="47.25" x14ac:dyDescent="0.25">
      <c r="A521" s="26" t="s">
        <v>473</v>
      </c>
      <c r="B521" s="17">
        <v>906</v>
      </c>
      <c r="C521" s="21" t="s">
        <v>327</v>
      </c>
      <c r="D521" s="21" t="s">
        <v>181</v>
      </c>
      <c r="E521" s="21" t="s">
        <v>474</v>
      </c>
      <c r="F521" s="21"/>
      <c r="G521" s="27">
        <f t="shared" ref="G521" si="84">G522</f>
        <v>16546.300000000003</v>
      </c>
      <c r="H521" s="221"/>
    </row>
    <row r="522" spans="1:9" ht="47.25" x14ac:dyDescent="0.25">
      <c r="A522" s="26" t="s">
        <v>335</v>
      </c>
      <c r="B522" s="17">
        <v>906</v>
      </c>
      <c r="C522" s="21" t="s">
        <v>327</v>
      </c>
      <c r="D522" s="21" t="s">
        <v>181</v>
      </c>
      <c r="E522" s="21" t="s">
        <v>474</v>
      </c>
      <c r="F522" s="21" t="s">
        <v>336</v>
      </c>
      <c r="G522" s="27">
        <f>G523</f>
        <v>16546.300000000003</v>
      </c>
      <c r="H522" s="221"/>
    </row>
    <row r="523" spans="1:9" ht="15.75" x14ac:dyDescent="0.25">
      <c r="A523" s="26" t="s">
        <v>337</v>
      </c>
      <c r="B523" s="17">
        <v>906</v>
      </c>
      <c r="C523" s="21" t="s">
        <v>327</v>
      </c>
      <c r="D523" s="21" t="s">
        <v>181</v>
      </c>
      <c r="E523" s="21" t="s">
        <v>474</v>
      </c>
      <c r="F523" s="21" t="s">
        <v>338</v>
      </c>
      <c r="G523" s="28">
        <f>17368.2+6858.7-6314-1360.2-974.3-309.9-173.2-231.4+231.4+1200+251</f>
        <v>16546.300000000003</v>
      </c>
      <c r="H523" s="223" t="s">
        <v>1002</v>
      </c>
      <c r="I523" s="153"/>
    </row>
    <row r="524" spans="1:9" ht="47.25" x14ac:dyDescent="0.25">
      <c r="A524" s="26" t="s">
        <v>475</v>
      </c>
      <c r="B524" s="17">
        <v>906</v>
      </c>
      <c r="C524" s="21" t="s">
        <v>327</v>
      </c>
      <c r="D524" s="21" t="s">
        <v>181</v>
      </c>
      <c r="E524" s="21" t="s">
        <v>476</v>
      </c>
      <c r="F524" s="21"/>
      <c r="G524" s="27">
        <f>G525+G528+G531+G534</f>
        <v>6202.2999999999993</v>
      </c>
      <c r="H524" s="221"/>
    </row>
    <row r="525" spans="1:9" ht="47.25" hidden="1" x14ac:dyDescent="0.25">
      <c r="A525" s="26" t="s">
        <v>341</v>
      </c>
      <c r="B525" s="17">
        <v>906</v>
      </c>
      <c r="C525" s="21" t="s">
        <v>327</v>
      </c>
      <c r="D525" s="21" t="s">
        <v>181</v>
      </c>
      <c r="E525" s="21" t="s">
        <v>477</v>
      </c>
      <c r="F525" s="21"/>
      <c r="G525" s="27">
        <f t="shared" ref="G525:G526" si="85">G526</f>
        <v>0</v>
      </c>
      <c r="H525" s="221"/>
    </row>
    <row r="526" spans="1:9" ht="47.25" hidden="1" x14ac:dyDescent="0.25">
      <c r="A526" s="26" t="s">
        <v>335</v>
      </c>
      <c r="B526" s="17">
        <v>906</v>
      </c>
      <c r="C526" s="21" t="s">
        <v>327</v>
      </c>
      <c r="D526" s="21" t="s">
        <v>181</v>
      </c>
      <c r="E526" s="21" t="s">
        <v>477</v>
      </c>
      <c r="F526" s="21" t="s">
        <v>336</v>
      </c>
      <c r="G526" s="27">
        <f t="shared" si="85"/>
        <v>0</v>
      </c>
      <c r="H526" s="221"/>
    </row>
    <row r="527" spans="1:9" ht="15.75" hidden="1" x14ac:dyDescent="0.25">
      <c r="A527" s="26" t="s">
        <v>337</v>
      </c>
      <c r="B527" s="17">
        <v>906</v>
      </c>
      <c r="C527" s="21" t="s">
        <v>327</v>
      </c>
      <c r="D527" s="21" t="s">
        <v>181</v>
      </c>
      <c r="E527" s="21" t="s">
        <v>477</v>
      </c>
      <c r="F527" s="21" t="s">
        <v>338</v>
      </c>
      <c r="G527" s="27">
        <v>0</v>
      </c>
      <c r="H527" s="221"/>
    </row>
    <row r="528" spans="1:9" ht="31.5" x14ac:dyDescent="0.25">
      <c r="A528" s="26" t="s">
        <v>343</v>
      </c>
      <c r="B528" s="17">
        <v>906</v>
      </c>
      <c r="C528" s="21" t="s">
        <v>327</v>
      </c>
      <c r="D528" s="21" t="s">
        <v>181</v>
      </c>
      <c r="E528" s="21" t="s">
        <v>478</v>
      </c>
      <c r="F528" s="21"/>
      <c r="G528" s="27">
        <f t="shared" ref="G528:G529" si="86">G529</f>
        <v>1145</v>
      </c>
      <c r="H528" s="221"/>
    </row>
    <row r="529" spans="1:9" ht="47.25" x14ac:dyDescent="0.25">
      <c r="A529" s="26" t="s">
        <v>335</v>
      </c>
      <c r="B529" s="17">
        <v>906</v>
      </c>
      <c r="C529" s="21" t="s">
        <v>327</v>
      </c>
      <c r="D529" s="21" t="s">
        <v>181</v>
      </c>
      <c r="E529" s="21" t="s">
        <v>478</v>
      </c>
      <c r="F529" s="21" t="s">
        <v>336</v>
      </c>
      <c r="G529" s="27">
        <f t="shared" si="86"/>
        <v>1145</v>
      </c>
      <c r="H529" s="221"/>
    </row>
    <row r="530" spans="1:9" ht="15.75" x14ac:dyDescent="0.25">
      <c r="A530" s="26" t="s">
        <v>337</v>
      </c>
      <c r="B530" s="17">
        <v>906</v>
      </c>
      <c r="C530" s="21" t="s">
        <v>327</v>
      </c>
      <c r="D530" s="21" t="s">
        <v>181</v>
      </c>
      <c r="E530" s="21" t="s">
        <v>478</v>
      </c>
      <c r="F530" s="21" t="s">
        <v>338</v>
      </c>
      <c r="G530" s="27">
        <f>800+300+45</f>
        <v>1145</v>
      </c>
      <c r="H530" s="207"/>
    </row>
    <row r="531" spans="1:9" ht="47.25" x14ac:dyDescent="0.25">
      <c r="A531" s="26" t="s">
        <v>479</v>
      </c>
      <c r="B531" s="17">
        <v>906</v>
      </c>
      <c r="C531" s="21" t="s">
        <v>327</v>
      </c>
      <c r="D531" s="21" t="s">
        <v>181</v>
      </c>
      <c r="E531" s="21" t="s">
        <v>480</v>
      </c>
      <c r="F531" s="21"/>
      <c r="G531" s="27">
        <f t="shared" ref="G531" si="87">G532</f>
        <v>4825.8999999999996</v>
      </c>
      <c r="H531" s="221"/>
    </row>
    <row r="532" spans="1:9" ht="47.25" x14ac:dyDescent="0.25">
      <c r="A532" s="26" t="s">
        <v>335</v>
      </c>
      <c r="B532" s="17">
        <v>906</v>
      </c>
      <c r="C532" s="21" t="s">
        <v>327</v>
      </c>
      <c r="D532" s="21" t="s">
        <v>181</v>
      </c>
      <c r="E532" s="21" t="s">
        <v>480</v>
      </c>
      <c r="F532" s="21" t="s">
        <v>336</v>
      </c>
      <c r="G532" s="27">
        <f>G533</f>
        <v>4825.8999999999996</v>
      </c>
      <c r="H532" s="221"/>
    </row>
    <row r="533" spans="1:9" ht="15.75" x14ac:dyDescent="0.25">
      <c r="A533" s="26" t="s">
        <v>337</v>
      </c>
      <c r="B533" s="17">
        <v>906</v>
      </c>
      <c r="C533" s="21" t="s">
        <v>327</v>
      </c>
      <c r="D533" s="21" t="s">
        <v>181</v>
      </c>
      <c r="E533" s="21" t="s">
        <v>480</v>
      </c>
      <c r="F533" s="21" t="s">
        <v>338</v>
      </c>
      <c r="G533" s="28">
        <f>6730-1200-704.1</f>
        <v>4825.8999999999996</v>
      </c>
      <c r="H533" s="221" t="s">
        <v>940</v>
      </c>
    </row>
    <row r="534" spans="1:9" ht="31.5" x14ac:dyDescent="0.25">
      <c r="A534" s="26" t="s">
        <v>347</v>
      </c>
      <c r="B534" s="17">
        <v>906</v>
      </c>
      <c r="C534" s="21" t="s">
        <v>327</v>
      </c>
      <c r="D534" s="21" t="s">
        <v>181</v>
      </c>
      <c r="E534" s="21" t="s">
        <v>481</v>
      </c>
      <c r="F534" s="21"/>
      <c r="G534" s="27">
        <f t="shared" ref="G534:G535" si="88">G535</f>
        <v>231.4</v>
      </c>
      <c r="H534" s="221"/>
    </row>
    <row r="535" spans="1:9" ht="47.25" x14ac:dyDescent="0.25">
      <c r="A535" s="26" t="s">
        <v>335</v>
      </c>
      <c r="B535" s="17">
        <v>906</v>
      </c>
      <c r="C535" s="21" t="s">
        <v>327</v>
      </c>
      <c r="D535" s="21" t="s">
        <v>181</v>
      </c>
      <c r="E535" s="21" t="s">
        <v>481</v>
      </c>
      <c r="F535" s="21" t="s">
        <v>336</v>
      </c>
      <c r="G535" s="27">
        <f t="shared" si="88"/>
        <v>231.4</v>
      </c>
      <c r="H535" s="221"/>
    </row>
    <row r="536" spans="1:9" ht="15.75" x14ac:dyDescent="0.25">
      <c r="A536" s="26" t="s">
        <v>337</v>
      </c>
      <c r="B536" s="17">
        <v>906</v>
      </c>
      <c r="C536" s="21" t="s">
        <v>327</v>
      </c>
      <c r="D536" s="21" t="s">
        <v>181</v>
      </c>
      <c r="E536" s="21" t="s">
        <v>481</v>
      </c>
      <c r="F536" s="21" t="s">
        <v>338</v>
      </c>
      <c r="G536" s="27">
        <v>231.4</v>
      </c>
      <c r="H536" s="221"/>
    </row>
    <row r="537" spans="1:9" ht="15.75" x14ac:dyDescent="0.25">
      <c r="A537" s="26" t="s">
        <v>184</v>
      </c>
      <c r="B537" s="17">
        <v>906</v>
      </c>
      <c r="C537" s="21" t="s">
        <v>327</v>
      </c>
      <c r="D537" s="21" t="s">
        <v>181</v>
      </c>
      <c r="E537" s="21" t="s">
        <v>185</v>
      </c>
      <c r="F537" s="21"/>
      <c r="G537" s="27">
        <f>G538</f>
        <v>61470</v>
      </c>
      <c r="H537" s="221"/>
    </row>
    <row r="538" spans="1:9" ht="31.5" x14ac:dyDescent="0.25">
      <c r="A538" s="26" t="s">
        <v>248</v>
      </c>
      <c r="B538" s="17">
        <v>906</v>
      </c>
      <c r="C538" s="21" t="s">
        <v>327</v>
      </c>
      <c r="D538" s="21" t="s">
        <v>181</v>
      </c>
      <c r="E538" s="21" t="s">
        <v>249</v>
      </c>
      <c r="F538" s="21"/>
      <c r="G538" s="27">
        <f t="shared" ref="G538" si="89">G539+G542+G545+G548+G551+G554</f>
        <v>61470</v>
      </c>
      <c r="H538" s="221"/>
    </row>
    <row r="539" spans="1:9" ht="31.5" hidden="1" x14ac:dyDescent="0.25">
      <c r="A539" s="26" t="s">
        <v>482</v>
      </c>
      <c r="B539" s="17">
        <v>906</v>
      </c>
      <c r="C539" s="21" t="s">
        <v>327</v>
      </c>
      <c r="D539" s="21" t="s">
        <v>181</v>
      </c>
      <c r="E539" s="21" t="s">
        <v>483</v>
      </c>
      <c r="F539" s="21"/>
      <c r="G539" s="27">
        <f t="shared" ref="G539:G540" si="90">G540</f>
        <v>0</v>
      </c>
      <c r="H539" s="221"/>
    </row>
    <row r="540" spans="1:9" ht="47.25" hidden="1" x14ac:dyDescent="0.25">
      <c r="A540" s="26" t="s">
        <v>335</v>
      </c>
      <c r="B540" s="17">
        <v>906</v>
      </c>
      <c r="C540" s="21" t="s">
        <v>327</v>
      </c>
      <c r="D540" s="21" t="s">
        <v>181</v>
      </c>
      <c r="E540" s="21" t="s">
        <v>483</v>
      </c>
      <c r="F540" s="21" t="s">
        <v>336</v>
      </c>
      <c r="G540" s="27">
        <f t="shared" si="90"/>
        <v>0</v>
      </c>
      <c r="H540" s="221"/>
    </row>
    <row r="541" spans="1:9" ht="15.75" hidden="1" x14ac:dyDescent="0.25">
      <c r="A541" s="26" t="s">
        <v>337</v>
      </c>
      <c r="B541" s="17">
        <v>906</v>
      </c>
      <c r="C541" s="21" t="s">
        <v>327</v>
      </c>
      <c r="D541" s="21" t="s">
        <v>181</v>
      </c>
      <c r="E541" s="21" t="s">
        <v>483</v>
      </c>
      <c r="F541" s="21" t="s">
        <v>338</v>
      </c>
      <c r="G541" s="27"/>
      <c r="H541" s="221"/>
    </row>
    <row r="542" spans="1:9" ht="63" x14ac:dyDescent="0.25">
      <c r="A542" s="33" t="s">
        <v>352</v>
      </c>
      <c r="B542" s="17">
        <v>906</v>
      </c>
      <c r="C542" s="21" t="s">
        <v>327</v>
      </c>
      <c r="D542" s="21" t="s">
        <v>181</v>
      </c>
      <c r="E542" s="21" t="s">
        <v>353</v>
      </c>
      <c r="F542" s="21"/>
      <c r="G542" s="27">
        <f>G543</f>
        <v>336.3</v>
      </c>
      <c r="H542" s="221"/>
    </row>
    <row r="543" spans="1:9" ht="47.25" x14ac:dyDescent="0.25">
      <c r="A543" s="26" t="s">
        <v>335</v>
      </c>
      <c r="B543" s="17">
        <v>906</v>
      </c>
      <c r="C543" s="21" t="s">
        <v>327</v>
      </c>
      <c r="D543" s="21" t="s">
        <v>181</v>
      </c>
      <c r="E543" s="21" t="s">
        <v>353</v>
      </c>
      <c r="F543" s="21" t="s">
        <v>336</v>
      </c>
      <c r="G543" s="27">
        <f t="shared" ref="G543" si="91">G544</f>
        <v>336.3</v>
      </c>
      <c r="H543" s="221"/>
    </row>
    <row r="544" spans="1:9" ht="15.75" x14ac:dyDescent="0.25">
      <c r="A544" s="26" t="s">
        <v>337</v>
      </c>
      <c r="B544" s="17">
        <v>906</v>
      </c>
      <c r="C544" s="21" t="s">
        <v>327</v>
      </c>
      <c r="D544" s="21" t="s">
        <v>181</v>
      </c>
      <c r="E544" s="21" t="s">
        <v>353</v>
      </c>
      <c r="F544" s="21" t="s">
        <v>338</v>
      </c>
      <c r="G544" s="27">
        <f>416.2-106+26.1</f>
        <v>336.3</v>
      </c>
      <c r="H544" s="221" t="s">
        <v>999</v>
      </c>
      <c r="I544" s="141"/>
    </row>
    <row r="545" spans="1:9" ht="78.75" x14ac:dyDescent="0.25">
      <c r="A545" s="33" t="s">
        <v>484</v>
      </c>
      <c r="B545" s="17">
        <v>906</v>
      </c>
      <c r="C545" s="21" t="s">
        <v>327</v>
      </c>
      <c r="D545" s="21" t="s">
        <v>181</v>
      </c>
      <c r="E545" s="21" t="s">
        <v>355</v>
      </c>
      <c r="F545" s="21"/>
      <c r="G545" s="27">
        <f t="shared" ref="G545" si="92">G546</f>
        <v>1548.6999999999998</v>
      </c>
      <c r="H545" s="221"/>
    </row>
    <row r="546" spans="1:9" ht="47.25" x14ac:dyDescent="0.25">
      <c r="A546" s="26" t="s">
        <v>335</v>
      </c>
      <c r="B546" s="17">
        <v>906</v>
      </c>
      <c r="C546" s="21" t="s">
        <v>327</v>
      </c>
      <c r="D546" s="21" t="s">
        <v>181</v>
      </c>
      <c r="E546" s="21" t="s">
        <v>355</v>
      </c>
      <c r="F546" s="21" t="s">
        <v>336</v>
      </c>
      <c r="G546" s="27">
        <f>G547</f>
        <v>1548.6999999999998</v>
      </c>
      <c r="H546" s="221"/>
    </row>
    <row r="547" spans="1:9" ht="15.75" x14ac:dyDescent="0.25">
      <c r="A547" s="26" t="s">
        <v>337</v>
      </c>
      <c r="B547" s="17">
        <v>906</v>
      </c>
      <c r="C547" s="21" t="s">
        <v>327</v>
      </c>
      <c r="D547" s="21" t="s">
        <v>181</v>
      </c>
      <c r="E547" s="21" t="s">
        <v>355</v>
      </c>
      <c r="F547" s="21" t="s">
        <v>338</v>
      </c>
      <c r="G547" s="27">
        <f>1900-203.2-6.9-141.2</f>
        <v>1548.6999999999998</v>
      </c>
      <c r="H547" s="221" t="s">
        <v>963</v>
      </c>
      <c r="I547" s="141"/>
    </row>
    <row r="548" spans="1:9" ht="94.5" x14ac:dyDescent="0.25">
      <c r="A548" s="33" t="s">
        <v>485</v>
      </c>
      <c r="B548" s="17">
        <v>906</v>
      </c>
      <c r="C548" s="21" t="s">
        <v>327</v>
      </c>
      <c r="D548" s="21" t="s">
        <v>181</v>
      </c>
      <c r="E548" s="21" t="s">
        <v>486</v>
      </c>
      <c r="F548" s="21"/>
      <c r="G548" s="27">
        <f>G549</f>
        <v>56320</v>
      </c>
      <c r="H548" s="221"/>
    </row>
    <row r="549" spans="1:9" ht="47.25" x14ac:dyDescent="0.25">
      <c r="A549" s="26" t="s">
        <v>335</v>
      </c>
      <c r="B549" s="17">
        <v>906</v>
      </c>
      <c r="C549" s="21" t="s">
        <v>327</v>
      </c>
      <c r="D549" s="21" t="s">
        <v>181</v>
      </c>
      <c r="E549" s="21" t="s">
        <v>486</v>
      </c>
      <c r="F549" s="21" t="s">
        <v>336</v>
      </c>
      <c r="G549" s="27">
        <f t="shared" ref="G549" si="93">G550</f>
        <v>56320</v>
      </c>
      <c r="H549" s="221"/>
    </row>
    <row r="550" spans="1:9" ht="15.75" x14ac:dyDescent="0.25">
      <c r="A550" s="26" t="s">
        <v>337</v>
      </c>
      <c r="B550" s="17">
        <v>906</v>
      </c>
      <c r="C550" s="21" t="s">
        <v>327</v>
      </c>
      <c r="D550" s="21" t="s">
        <v>181</v>
      </c>
      <c r="E550" s="21" t="s">
        <v>486</v>
      </c>
      <c r="F550" s="21" t="s">
        <v>338</v>
      </c>
      <c r="G550" s="28">
        <f>66162.2-7643.6-2198.6</f>
        <v>56320</v>
      </c>
      <c r="H550" s="132"/>
      <c r="I550" s="141"/>
    </row>
    <row r="551" spans="1:9" ht="110.25" x14ac:dyDescent="0.25">
      <c r="A551" s="33" t="s">
        <v>356</v>
      </c>
      <c r="B551" s="17">
        <v>906</v>
      </c>
      <c r="C551" s="21" t="s">
        <v>327</v>
      </c>
      <c r="D551" s="21" t="s">
        <v>181</v>
      </c>
      <c r="E551" s="21" t="s">
        <v>357</v>
      </c>
      <c r="F551" s="21"/>
      <c r="G551" s="27">
        <f t="shared" ref="G551" si="94">G552</f>
        <v>3265</v>
      </c>
      <c r="H551" s="221"/>
    </row>
    <row r="552" spans="1:9" ht="47.25" x14ac:dyDescent="0.25">
      <c r="A552" s="26" t="s">
        <v>335</v>
      </c>
      <c r="B552" s="17">
        <v>906</v>
      </c>
      <c r="C552" s="21" t="s">
        <v>327</v>
      </c>
      <c r="D552" s="21" t="s">
        <v>181</v>
      </c>
      <c r="E552" s="21" t="s">
        <v>357</v>
      </c>
      <c r="F552" s="21" t="s">
        <v>336</v>
      </c>
      <c r="G552" s="27">
        <f>G553</f>
        <v>3265</v>
      </c>
      <c r="H552" s="221"/>
    </row>
    <row r="553" spans="1:9" ht="15.75" x14ac:dyDescent="0.25">
      <c r="A553" s="26" t="s">
        <v>337</v>
      </c>
      <c r="B553" s="17">
        <v>906</v>
      </c>
      <c r="C553" s="21" t="s">
        <v>327</v>
      </c>
      <c r="D553" s="21" t="s">
        <v>181</v>
      </c>
      <c r="E553" s="21" t="s">
        <v>357</v>
      </c>
      <c r="F553" s="21" t="s">
        <v>338</v>
      </c>
      <c r="G553" s="28">
        <f>2937.2-58.2+369.7+16.3</f>
        <v>3265</v>
      </c>
      <c r="H553" s="221" t="s">
        <v>978</v>
      </c>
      <c r="I553" s="141"/>
    </row>
    <row r="554" spans="1:9" ht="157.5" hidden="1" x14ac:dyDescent="0.25">
      <c r="A554" s="26" t="s">
        <v>487</v>
      </c>
      <c r="B554" s="17">
        <v>906</v>
      </c>
      <c r="C554" s="21" t="s">
        <v>327</v>
      </c>
      <c r="D554" s="21" t="s">
        <v>181</v>
      </c>
      <c r="E554" s="21" t="s">
        <v>488</v>
      </c>
      <c r="F554" s="21"/>
      <c r="G554" s="28">
        <f t="shared" ref="G554:G555" si="95">G555</f>
        <v>0</v>
      </c>
      <c r="H554" s="221"/>
    </row>
    <row r="555" spans="1:9" ht="47.25" hidden="1" x14ac:dyDescent="0.25">
      <c r="A555" s="26" t="s">
        <v>335</v>
      </c>
      <c r="B555" s="17">
        <v>906</v>
      </c>
      <c r="C555" s="21" t="s">
        <v>327</v>
      </c>
      <c r="D555" s="21" t="s">
        <v>181</v>
      </c>
      <c r="E555" s="21" t="s">
        <v>488</v>
      </c>
      <c r="F555" s="21" t="s">
        <v>336</v>
      </c>
      <c r="G555" s="28">
        <f t="shared" si="95"/>
        <v>0</v>
      </c>
      <c r="H555" s="221"/>
    </row>
    <row r="556" spans="1:9" ht="15.75" hidden="1" x14ac:dyDescent="0.25">
      <c r="A556" s="26" t="s">
        <v>337</v>
      </c>
      <c r="B556" s="17">
        <v>906</v>
      </c>
      <c r="C556" s="21" t="s">
        <v>327</v>
      </c>
      <c r="D556" s="21" t="s">
        <v>181</v>
      </c>
      <c r="E556" s="21" t="s">
        <v>488</v>
      </c>
      <c r="F556" s="21" t="s">
        <v>338</v>
      </c>
      <c r="G556" s="28">
        <f>276.5-276.5</f>
        <v>0</v>
      </c>
      <c r="H556" s="221"/>
      <c r="I556" s="141"/>
    </row>
    <row r="557" spans="1:9" ht="15.75" x14ac:dyDescent="0.25">
      <c r="A557" s="24" t="s">
        <v>489</v>
      </c>
      <c r="B557" s="20">
        <v>906</v>
      </c>
      <c r="C557" s="25" t="s">
        <v>327</v>
      </c>
      <c r="D557" s="25" t="s">
        <v>276</v>
      </c>
      <c r="E557" s="25"/>
      <c r="F557" s="25"/>
      <c r="G557" s="22">
        <f>G558+G591</f>
        <v>126425.1</v>
      </c>
      <c r="H557" s="221"/>
    </row>
    <row r="558" spans="1:9" ht="47.25" x14ac:dyDescent="0.25">
      <c r="A558" s="26" t="s">
        <v>490</v>
      </c>
      <c r="B558" s="17">
        <v>906</v>
      </c>
      <c r="C558" s="21" t="s">
        <v>327</v>
      </c>
      <c r="D558" s="21" t="s">
        <v>276</v>
      </c>
      <c r="E558" s="21" t="s">
        <v>470</v>
      </c>
      <c r="F558" s="21"/>
      <c r="G558" s="27">
        <f>G559+G563</f>
        <v>37008.699999999997</v>
      </c>
      <c r="H558" s="221"/>
    </row>
    <row r="559" spans="1:9" ht="47.25" x14ac:dyDescent="0.25">
      <c r="A559" s="26" t="s">
        <v>471</v>
      </c>
      <c r="B559" s="17">
        <v>906</v>
      </c>
      <c r="C559" s="21" t="s">
        <v>327</v>
      </c>
      <c r="D559" s="21" t="s">
        <v>276</v>
      </c>
      <c r="E559" s="21" t="s">
        <v>472</v>
      </c>
      <c r="F559" s="21"/>
      <c r="G559" s="27">
        <f>G560</f>
        <v>32735.699999999997</v>
      </c>
      <c r="H559" s="221"/>
    </row>
    <row r="560" spans="1:9" ht="47.25" x14ac:dyDescent="0.25">
      <c r="A560" s="26" t="s">
        <v>491</v>
      </c>
      <c r="B560" s="17">
        <v>906</v>
      </c>
      <c r="C560" s="21" t="s">
        <v>327</v>
      </c>
      <c r="D560" s="21" t="s">
        <v>276</v>
      </c>
      <c r="E560" s="21" t="s">
        <v>492</v>
      </c>
      <c r="F560" s="21"/>
      <c r="G560" s="27">
        <f t="shared" ref="G560" si="96">G561</f>
        <v>32735.699999999997</v>
      </c>
      <c r="H560" s="221"/>
    </row>
    <row r="561" spans="1:9" ht="47.25" x14ac:dyDescent="0.25">
      <c r="A561" s="26" t="s">
        <v>335</v>
      </c>
      <c r="B561" s="17">
        <v>906</v>
      </c>
      <c r="C561" s="21" t="s">
        <v>327</v>
      </c>
      <c r="D561" s="21" t="s">
        <v>276</v>
      </c>
      <c r="E561" s="21" t="s">
        <v>492</v>
      </c>
      <c r="F561" s="21" t="s">
        <v>336</v>
      </c>
      <c r="G561" s="27">
        <f>G562</f>
        <v>32735.699999999997</v>
      </c>
      <c r="H561" s="221"/>
    </row>
    <row r="562" spans="1:9" ht="15.75" x14ac:dyDescent="0.25">
      <c r="A562" s="26" t="s">
        <v>337</v>
      </c>
      <c r="B562" s="17">
        <v>906</v>
      </c>
      <c r="C562" s="21" t="s">
        <v>327</v>
      </c>
      <c r="D562" s="21" t="s">
        <v>276</v>
      </c>
      <c r="E562" s="21" t="s">
        <v>492</v>
      </c>
      <c r="F562" s="21" t="s">
        <v>338</v>
      </c>
      <c r="G562" s="28">
        <f>21817.5+13206.2-481.7+562.6-953.4-587.9-353.5-574.1+100</f>
        <v>32735.699999999997</v>
      </c>
      <c r="H562" s="223"/>
      <c r="I562" s="153"/>
    </row>
    <row r="563" spans="1:9" ht="31.5" x14ac:dyDescent="0.25">
      <c r="A563" s="26" t="s">
        <v>494</v>
      </c>
      <c r="B563" s="17">
        <v>906</v>
      </c>
      <c r="C563" s="21" t="s">
        <v>327</v>
      </c>
      <c r="D563" s="21" t="s">
        <v>276</v>
      </c>
      <c r="E563" s="21" t="s">
        <v>495</v>
      </c>
      <c r="F563" s="21"/>
      <c r="G563" s="27">
        <f>G569+G585+G582+G588+G579+G564+G570+G573+G576</f>
        <v>4273</v>
      </c>
      <c r="H563" s="221"/>
    </row>
    <row r="564" spans="1:9" ht="63" hidden="1" x14ac:dyDescent="0.25">
      <c r="A564" s="26" t="s">
        <v>496</v>
      </c>
      <c r="B564" s="17">
        <v>906</v>
      </c>
      <c r="C564" s="21" t="s">
        <v>327</v>
      </c>
      <c r="D564" s="21" t="s">
        <v>276</v>
      </c>
      <c r="E564" s="21" t="s">
        <v>497</v>
      </c>
      <c r="F564" s="21"/>
      <c r="G564" s="27">
        <f t="shared" ref="G564:G565" si="97">G565</f>
        <v>0</v>
      </c>
      <c r="H564" s="221"/>
    </row>
    <row r="565" spans="1:9" ht="47.25" hidden="1" x14ac:dyDescent="0.25">
      <c r="A565" s="26" t="s">
        <v>335</v>
      </c>
      <c r="B565" s="17">
        <v>906</v>
      </c>
      <c r="C565" s="21" t="s">
        <v>327</v>
      </c>
      <c r="D565" s="21" t="s">
        <v>276</v>
      </c>
      <c r="E565" s="21" t="s">
        <v>497</v>
      </c>
      <c r="F565" s="21" t="s">
        <v>336</v>
      </c>
      <c r="G565" s="27">
        <f t="shared" si="97"/>
        <v>0</v>
      </c>
      <c r="H565" s="221"/>
    </row>
    <row r="566" spans="1:9" ht="15.75" hidden="1" x14ac:dyDescent="0.25">
      <c r="A566" s="26" t="s">
        <v>337</v>
      </c>
      <c r="B566" s="17">
        <v>906</v>
      </c>
      <c r="C566" s="21" t="s">
        <v>327</v>
      </c>
      <c r="D566" s="21" t="s">
        <v>276</v>
      </c>
      <c r="E566" s="21" t="s">
        <v>497</v>
      </c>
      <c r="F566" s="21" t="s">
        <v>338</v>
      </c>
      <c r="G566" s="27">
        <v>0</v>
      </c>
      <c r="H566" s="221"/>
    </row>
    <row r="567" spans="1:9" ht="48.75" hidden="1" customHeight="1" x14ac:dyDescent="0.25">
      <c r="A567" s="26" t="s">
        <v>498</v>
      </c>
      <c r="B567" s="17">
        <v>906</v>
      </c>
      <c r="C567" s="21" t="s">
        <v>327</v>
      </c>
      <c r="D567" s="21" t="s">
        <v>276</v>
      </c>
      <c r="E567" s="21" t="s">
        <v>499</v>
      </c>
      <c r="F567" s="21"/>
      <c r="G567" s="27">
        <f t="shared" ref="G567:G568" si="98">G568</f>
        <v>0</v>
      </c>
      <c r="H567" s="221"/>
    </row>
    <row r="568" spans="1:9" ht="47.25" hidden="1" x14ac:dyDescent="0.25">
      <c r="A568" s="26" t="s">
        <v>335</v>
      </c>
      <c r="B568" s="17">
        <v>906</v>
      </c>
      <c r="C568" s="21" t="s">
        <v>327</v>
      </c>
      <c r="D568" s="21" t="s">
        <v>276</v>
      </c>
      <c r="E568" s="21" t="s">
        <v>499</v>
      </c>
      <c r="F568" s="21" t="s">
        <v>336</v>
      </c>
      <c r="G568" s="27">
        <f t="shared" si="98"/>
        <v>0</v>
      </c>
      <c r="H568" s="221"/>
    </row>
    <row r="569" spans="1:9" ht="15.75" hidden="1" x14ac:dyDescent="0.25">
      <c r="A569" s="26" t="s">
        <v>337</v>
      </c>
      <c r="B569" s="17">
        <v>906</v>
      </c>
      <c r="C569" s="21" t="s">
        <v>327</v>
      </c>
      <c r="D569" s="21" t="s">
        <v>276</v>
      </c>
      <c r="E569" s="21" t="s">
        <v>499</v>
      </c>
      <c r="F569" s="21" t="s">
        <v>338</v>
      </c>
      <c r="G569" s="27">
        <v>0</v>
      </c>
      <c r="H569" s="221"/>
    </row>
    <row r="570" spans="1:9" ht="63" x14ac:dyDescent="0.25">
      <c r="A570" s="26" t="s">
        <v>500</v>
      </c>
      <c r="B570" s="17">
        <v>906</v>
      </c>
      <c r="C570" s="21" t="s">
        <v>327</v>
      </c>
      <c r="D570" s="21" t="s">
        <v>276</v>
      </c>
      <c r="E570" s="21" t="s">
        <v>501</v>
      </c>
      <c r="F570" s="21"/>
      <c r="G570" s="27">
        <f>G571</f>
        <v>2690</v>
      </c>
      <c r="H570" s="221"/>
    </row>
    <row r="571" spans="1:9" ht="47.25" x14ac:dyDescent="0.25">
      <c r="A571" s="26" t="s">
        <v>335</v>
      </c>
      <c r="B571" s="17">
        <v>906</v>
      </c>
      <c r="C571" s="21" t="s">
        <v>327</v>
      </c>
      <c r="D571" s="21" t="s">
        <v>276</v>
      </c>
      <c r="E571" s="21" t="s">
        <v>501</v>
      </c>
      <c r="F571" s="21" t="s">
        <v>336</v>
      </c>
      <c r="G571" s="27">
        <f t="shared" ref="G571" si="99">G572</f>
        <v>2690</v>
      </c>
      <c r="H571" s="221"/>
    </row>
    <row r="572" spans="1:9" ht="15.75" x14ac:dyDescent="0.25">
      <c r="A572" s="26" t="s">
        <v>337</v>
      </c>
      <c r="B572" s="17">
        <v>906</v>
      </c>
      <c r="C572" s="21" t="s">
        <v>327</v>
      </c>
      <c r="D572" s="21" t="s">
        <v>276</v>
      </c>
      <c r="E572" s="21" t="s">
        <v>501</v>
      </c>
      <c r="F572" s="21" t="s">
        <v>338</v>
      </c>
      <c r="G572" s="28">
        <f>3010-320</f>
        <v>2690</v>
      </c>
      <c r="H572" s="221"/>
    </row>
    <row r="573" spans="1:9" ht="63" x14ac:dyDescent="0.25">
      <c r="A573" s="26" t="s">
        <v>502</v>
      </c>
      <c r="B573" s="17">
        <v>906</v>
      </c>
      <c r="C573" s="21" t="s">
        <v>327</v>
      </c>
      <c r="D573" s="21" t="s">
        <v>276</v>
      </c>
      <c r="E573" s="21" t="s">
        <v>503</v>
      </c>
      <c r="F573" s="21"/>
      <c r="G573" s="27">
        <f t="shared" ref="G573" si="100">G574</f>
        <v>320</v>
      </c>
      <c r="H573" s="221"/>
    </row>
    <row r="574" spans="1:9" ht="47.25" x14ac:dyDescent="0.25">
      <c r="A574" s="26" t="s">
        <v>335</v>
      </c>
      <c r="B574" s="17">
        <v>906</v>
      </c>
      <c r="C574" s="21" t="s">
        <v>327</v>
      </c>
      <c r="D574" s="21" t="s">
        <v>276</v>
      </c>
      <c r="E574" s="21" t="s">
        <v>503</v>
      </c>
      <c r="F574" s="21" t="s">
        <v>336</v>
      </c>
      <c r="G574" s="27">
        <f>G575</f>
        <v>320</v>
      </c>
      <c r="H574" s="221"/>
    </row>
    <row r="575" spans="1:9" ht="15.75" x14ac:dyDescent="0.25">
      <c r="A575" s="26" t="s">
        <v>337</v>
      </c>
      <c r="B575" s="17">
        <v>906</v>
      </c>
      <c r="C575" s="21" t="s">
        <v>327</v>
      </c>
      <c r="D575" s="21" t="s">
        <v>276</v>
      </c>
      <c r="E575" s="21" t="s">
        <v>503</v>
      </c>
      <c r="F575" s="21" t="s">
        <v>338</v>
      </c>
      <c r="G575" s="27">
        <v>320</v>
      </c>
      <c r="H575" s="221"/>
    </row>
    <row r="576" spans="1:9" ht="47.25" hidden="1" x14ac:dyDescent="0.25">
      <c r="A576" s="26" t="s">
        <v>504</v>
      </c>
      <c r="B576" s="17">
        <v>906</v>
      </c>
      <c r="C576" s="21" t="s">
        <v>327</v>
      </c>
      <c r="D576" s="21" t="s">
        <v>276</v>
      </c>
      <c r="E576" s="21" t="s">
        <v>505</v>
      </c>
      <c r="F576" s="21"/>
      <c r="G576" s="27">
        <f t="shared" ref="G576:G577" si="101">G577</f>
        <v>0</v>
      </c>
      <c r="H576" s="221"/>
    </row>
    <row r="577" spans="1:9" ht="47.25" hidden="1" x14ac:dyDescent="0.25">
      <c r="A577" s="26" t="s">
        <v>335</v>
      </c>
      <c r="B577" s="17">
        <v>906</v>
      </c>
      <c r="C577" s="21" t="s">
        <v>327</v>
      </c>
      <c r="D577" s="21" t="s">
        <v>276</v>
      </c>
      <c r="E577" s="21" t="s">
        <v>505</v>
      </c>
      <c r="F577" s="21" t="s">
        <v>336</v>
      </c>
      <c r="G577" s="27">
        <f t="shared" si="101"/>
        <v>0</v>
      </c>
      <c r="H577" s="221"/>
    </row>
    <row r="578" spans="1:9" ht="15.75" hidden="1" x14ac:dyDescent="0.25">
      <c r="A578" s="26" t="s">
        <v>337</v>
      </c>
      <c r="B578" s="17">
        <v>906</v>
      </c>
      <c r="C578" s="21" t="s">
        <v>327</v>
      </c>
      <c r="D578" s="21" t="s">
        <v>276</v>
      </c>
      <c r="E578" s="21" t="s">
        <v>505</v>
      </c>
      <c r="F578" s="21" t="s">
        <v>338</v>
      </c>
      <c r="G578" s="27">
        <v>0</v>
      </c>
      <c r="H578" s="221"/>
    </row>
    <row r="579" spans="1:9" ht="47.25" x14ac:dyDescent="0.25">
      <c r="A579" s="26" t="s">
        <v>341</v>
      </c>
      <c r="B579" s="17">
        <v>906</v>
      </c>
      <c r="C579" s="21" t="s">
        <v>327</v>
      </c>
      <c r="D579" s="21" t="s">
        <v>276</v>
      </c>
      <c r="E579" s="21" t="s">
        <v>506</v>
      </c>
      <c r="F579" s="21"/>
      <c r="G579" s="27">
        <f t="shared" ref="G579:G580" si="102">G580</f>
        <v>841</v>
      </c>
      <c r="H579" s="221"/>
    </row>
    <row r="580" spans="1:9" ht="47.25" x14ac:dyDescent="0.25">
      <c r="A580" s="26" t="s">
        <v>335</v>
      </c>
      <c r="B580" s="17">
        <v>906</v>
      </c>
      <c r="C580" s="21" t="s">
        <v>327</v>
      </c>
      <c r="D580" s="21" t="s">
        <v>276</v>
      </c>
      <c r="E580" s="21" t="s">
        <v>506</v>
      </c>
      <c r="F580" s="21" t="s">
        <v>336</v>
      </c>
      <c r="G580" s="27">
        <f t="shared" si="102"/>
        <v>841</v>
      </c>
      <c r="H580" s="221"/>
    </row>
    <row r="581" spans="1:9" ht="15.75" x14ac:dyDescent="0.25">
      <c r="A581" s="26" t="s">
        <v>337</v>
      </c>
      <c r="B581" s="17">
        <v>906</v>
      </c>
      <c r="C581" s="21" t="s">
        <v>327</v>
      </c>
      <c r="D581" s="21" t="s">
        <v>276</v>
      </c>
      <c r="E581" s="21" t="s">
        <v>506</v>
      </c>
      <c r="F581" s="21" t="s">
        <v>338</v>
      </c>
      <c r="G581" s="27">
        <f>341+2968-2468</f>
        <v>841</v>
      </c>
      <c r="H581" s="146"/>
    </row>
    <row r="582" spans="1:9" ht="31.5" hidden="1" x14ac:dyDescent="0.25">
      <c r="A582" s="26" t="s">
        <v>343</v>
      </c>
      <c r="B582" s="17">
        <v>906</v>
      </c>
      <c r="C582" s="21" t="s">
        <v>327</v>
      </c>
      <c r="D582" s="21" t="s">
        <v>276</v>
      </c>
      <c r="E582" s="21" t="s">
        <v>507</v>
      </c>
      <c r="F582" s="21"/>
      <c r="G582" s="27">
        <f t="shared" ref="G582:G583" si="103">G583</f>
        <v>0</v>
      </c>
      <c r="H582" s="221"/>
    </row>
    <row r="583" spans="1:9" ht="47.25" hidden="1" x14ac:dyDescent="0.25">
      <c r="A583" s="26" t="s">
        <v>335</v>
      </c>
      <c r="B583" s="17">
        <v>906</v>
      </c>
      <c r="C583" s="21" t="s">
        <v>327</v>
      </c>
      <c r="D583" s="21" t="s">
        <v>276</v>
      </c>
      <c r="E583" s="21" t="s">
        <v>507</v>
      </c>
      <c r="F583" s="21" t="s">
        <v>336</v>
      </c>
      <c r="G583" s="27">
        <f t="shared" si="103"/>
        <v>0</v>
      </c>
      <c r="H583" s="221"/>
    </row>
    <row r="584" spans="1:9" ht="15.75" hidden="1" x14ac:dyDescent="0.25">
      <c r="A584" s="26" t="s">
        <v>337</v>
      </c>
      <c r="B584" s="17">
        <v>906</v>
      </c>
      <c r="C584" s="21" t="s">
        <v>327</v>
      </c>
      <c r="D584" s="21" t="s">
        <v>276</v>
      </c>
      <c r="E584" s="21" t="s">
        <v>507</v>
      </c>
      <c r="F584" s="21" t="s">
        <v>338</v>
      </c>
      <c r="G584" s="27">
        <v>0</v>
      </c>
      <c r="H584" s="221"/>
    </row>
    <row r="585" spans="1:9" ht="47.25" x14ac:dyDescent="0.25">
      <c r="A585" s="26" t="s">
        <v>345</v>
      </c>
      <c r="B585" s="17">
        <v>906</v>
      </c>
      <c r="C585" s="21" t="s">
        <v>327</v>
      </c>
      <c r="D585" s="21" t="s">
        <v>276</v>
      </c>
      <c r="E585" s="21" t="s">
        <v>508</v>
      </c>
      <c r="F585" s="21"/>
      <c r="G585" s="27">
        <f>G586</f>
        <v>192.6</v>
      </c>
      <c r="H585" s="221"/>
    </row>
    <row r="586" spans="1:9" ht="47.25" x14ac:dyDescent="0.25">
      <c r="A586" s="26" t="s">
        <v>335</v>
      </c>
      <c r="B586" s="17">
        <v>906</v>
      </c>
      <c r="C586" s="21" t="s">
        <v>327</v>
      </c>
      <c r="D586" s="21" t="s">
        <v>276</v>
      </c>
      <c r="E586" s="21" t="s">
        <v>508</v>
      </c>
      <c r="F586" s="21" t="s">
        <v>336</v>
      </c>
      <c r="G586" s="27">
        <f t="shared" ref="G586" si="104">G587</f>
        <v>192.6</v>
      </c>
      <c r="H586" s="221"/>
    </row>
    <row r="587" spans="1:9" ht="15.75" x14ac:dyDescent="0.25">
      <c r="A587" s="26" t="s">
        <v>337</v>
      </c>
      <c r="B587" s="17">
        <v>906</v>
      </c>
      <c r="C587" s="21" t="s">
        <v>327</v>
      </c>
      <c r="D587" s="21" t="s">
        <v>276</v>
      </c>
      <c r="E587" s="21" t="s">
        <v>508</v>
      </c>
      <c r="F587" s="21" t="s">
        <v>338</v>
      </c>
      <c r="G587" s="27">
        <f>127+32.1+33.5</f>
        <v>192.6</v>
      </c>
      <c r="H587" s="221" t="s">
        <v>986</v>
      </c>
    </row>
    <row r="588" spans="1:9" ht="31.5" x14ac:dyDescent="0.25">
      <c r="A588" s="26" t="s">
        <v>347</v>
      </c>
      <c r="B588" s="17">
        <v>906</v>
      </c>
      <c r="C588" s="21" t="s">
        <v>327</v>
      </c>
      <c r="D588" s="21" t="s">
        <v>276</v>
      </c>
      <c r="E588" s="21" t="s">
        <v>509</v>
      </c>
      <c r="F588" s="21"/>
      <c r="G588" s="27">
        <f t="shared" ref="G588:G589" si="105">G589</f>
        <v>229.4</v>
      </c>
      <c r="H588" s="221"/>
    </row>
    <row r="589" spans="1:9" ht="47.25" x14ac:dyDescent="0.25">
      <c r="A589" s="26" t="s">
        <v>335</v>
      </c>
      <c r="B589" s="17">
        <v>906</v>
      </c>
      <c r="C589" s="21" t="s">
        <v>327</v>
      </c>
      <c r="D589" s="21" t="s">
        <v>276</v>
      </c>
      <c r="E589" s="21" t="s">
        <v>509</v>
      </c>
      <c r="F589" s="21" t="s">
        <v>336</v>
      </c>
      <c r="G589" s="27">
        <f t="shared" si="105"/>
        <v>229.4</v>
      </c>
      <c r="H589" s="221"/>
    </row>
    <row r="590" spans="1:9" ht="15.75" x14ac:dyDescent="0.25">
      <c r="A590" s="26" t="s">
        <v>337</v>
      </c>
      <c r="B590" s="17">
        <v>906</v>
      </c>
      <c r="C590" s="21" t="s">
        <v>327</v>
      </c>
      <c r="D590" s="21" t="s">
        <v>276</v>
      </c>
      <c r="E590" s="21" t="s">
        <v>509</v>
      </c>
      <c r="F590" s="21" t="s">
        <v>338</v>
      </c>
      <c r="G590" s="27">
        <v>229.4</v>
      </c>
      <c r="H590" s="132"/>
      <c r="I590" s="152"/>
    </row>
    <row r="591" spans="1:9" ht="15.75" x14ac:dyDescent="0.25">
      <c r="A591" s="26" t="s">
        <v>184</v>
      </c>
      <c r="B591" s="17">
        <v>906</v>
      </c>
      <c r="C591" s="21" t="s">
        <v>327</v>
      </c>
      <c r="D591" s="21" t="s">
        <v>276</v>
      </c>
      <c r="E591" s="21" t="s">
        <v>185</v>
      </c>
      <c r="F591" s="21"/>
      <c r="G591" s="27">
        <f t="shared" ref="G591" si="106">G592</f>
        <v>89416.400000000009</v>
      </c>
      <c r="H591" s="221"/>
    </row>
    <row r="592" spans="1:9" ht="31.5" x14ac:dyDescent="0.25">
      <c r="A592" s="26" t="s">
        <v>248</v>
      </c>
      <c r="B592" s="17">
        <v>906</v>
      </c>
      <c r="C592" s="21" t="s">
        <v>327</v>
      </c>
      <c r="D592" s="21" t="s">
        <v>276</v>
      </c>
      <c r="E592" s="21" t="s">
        <v>249</v>
      </c>
      <c r="F592" s="21"/>
      <c r="G592" s="27">
        <f>G599+G602+G608+G611+G614+G617+G593+G596+G620+G605</f>
        <v>89416.400000000009</v>
      </c>
      <c r="H592" s="221"/>
    </row>
    <row r="593" spans="1:12" ht="47.25" hidden="1" x14ac:dyDescent="0.25">
      <c r="A593" s="26" t="s">
        <v>514</v>
      </c>
      <c r="B593" s="17">
        <v>906</v>
      </c>
      <c r="C593" s="21" t="s">
        <v>327</v>
      </c>
      <c r="D593" s="21" t="s">
        <v>276</v>
      </c>
      <c r="E593" s="21" t="s">
        <v>515</v>
      </c>
      <c r="F593" s="21"/>
      <c r="G593" s="27">
        <f t="shared" ref="G593:G594" si="107">G594</f>
        <v>0</v>
      </c>
      <c r="H593" s="221"/>
    </row>
    <row r="594" spans="1:12" ht="47.25" hidden="1" x14ac:dyDescent="0.25">
      <c r="A594" s="26" t="s">
        <v>335</v>
      </c>
      <c r="B594" s="17">
        <v>906</v>
      </c>
      <c r="C594" s="21" t="s">
        <v>327</v>
      </c>
      <c r="D594" s="21" t="s">
        <v>276</v>
      </c>
      <c r="E594" s="21" t="s">
        <v>515</v>
      </c>
      <c r="F594" s="21" t="s">
        <v>336</v>
      </c>
      <c r="G594" s="27">
        <f t="shared" si="107"/>
        <v>0</v>
      </c>
      <c r="H594" s="221"/>
    </row>
    <row r="595" spans="1:12" ht="15.75" hidden="1" x14ac:dyDescent="0.25">
      <c r="A595" s="26" t="s">
        <v>337</v>
      </c>
      <c r="B595" s="17">
        <v>906</v>
      </c>
      <c r="C595" s="21" t="s">
        <v>327</v>
      </c>
      <c r="D595" s="21" t="s">
        <v>276</v>
      </c>
      <c r="E595" s="21" t="s">
        <v>515</v>
      </c>
      <c r="F595" s="21" t="s">
        <v>338</v>
      </c>
      <c r="G595" s="27">
        <v>0</v>
      </c>
      <c r="H595" s="221"/>
    </row>
    <row r="596" spans="1:12" ht="15.75" hidden="1" x14ac:dyDescent="0.25">
      <c r="A596" s="26" t="s">
        <v>516</v>
      </c>
      <c r="B596" s="17">
        <v>906</v>
      </c>
      <c r="C596" s="21" t="s">
        <v>327</v>
      </c>
      <c r="D596" s="21" t="s">
        <v>276</v>
      </c>
      <c r="E596" s="21" t="s">
        <v>517</v>
      </c>
      <c r="F596" s="21"/>
      <c r="G596" s="27">
        <f t="shared" ref="G596:G597" si="108">G597</f>
        <v>0</v>
      </c>
      <c r="H596" s="221"/>
    </row>
    <row r="597" spans="1:12" ht="47.25" hidden="1" x14ac:dyDescent="0.25">
      <c r="A597" s="26" t="s">
        <v>335</v>
      </c>
      <c r="B597" s="17">
        <v>906</v>
      </c>
      <c r="C597" s="21" t="s">
        <v>327</v>
      </c>
      <c r="D597" s="21" t="s">
        <v>276</v>
      </c>
      <c r="E597" s="21" t="s">
        <v>517</v>
      </c>
      <c r="F597" s="21" t="s">
        <v>336</v>
      </c>
      <c r="G597" s="27">
        <f t="shared" si="108"/>
        <v>0</v>
      </c>
      <c r="H597" s="221"/>
    </row>
    <row r="598" spans="1:12" ht="15.75" hidden="1" x14ac:dyDescent="0.25">
      <c r="A598" s="26" t="s">
        <v>337</v>
      </c>
      <c r="B598" s="17">
        <v>906</v>
      </c>
      <c r="C598" s="21" t="s">
        <v>327</v>
      </c>
      <c r="D598" s="21" t="s">
        <v>276</v>
      </c>
      <c r="E598" s="21" t="s">
        <v>517</v>
      </c>
      <c r="F598" s="21" t="s">
        <v>338</v>
      </c>
      <c r="G598" s="28">
        <v>0</v>
      </c>
      <c r="H598" s="221"/>
    </row>
    <row r="599" spans="1:12" ht="31.5" hidden="1" x14ac:dyDescent="0.25">
      <c r="A599" s="26" t="s">
        <v>518</v>
      </c>
      <c r="B599" s="17">
        <v>906</v>
      </c>
      <c r="C599" s="21" t="s">
        <v>327</v>
      </c>
      <c r="D599" s="21" t="s">
        <v>276</v>
      </c>
      <c r="E599" s="21" t="s">
        <v>519</v>
      </c>
      <c r="F599" s="21"/>
      <c r="G599" s="27">
        <f t="shared" ref="G599:G600" si="109">G600</f>
        <v>0</v>
      </c>
      <c r="H599" s="221"/>
    </row>
    <row r="600" spans="1:12" ht="47.25" hidden="1" x14ac:dyDescent="0.25">
      <c r="A600" s="26" t="s">
        <v>335</v>
      </c>
      <c r="B600" s="17">
        <v>906</v>
      </c>
      <c r="C600" s="21" t="s">
        <v>327</v>
      </c>
      <c r="D600" s="21" t="s">
        <v>276</v>
      </c>
      <c r="E600" s="21" t="s">
        <v>519</v>
      </c>
      <c r="F600" s="21" t="s">
        <v>336</v>
      </c>
      <c r="G600" s="27">
        <f t="shared" si="109"/>
        <v>0</v>
      </c>
      <c r="H600" s="221"/>
    </row>
    <row r="601" spans="1:12" ht="15.75" hidden="1" x14ac:dyDescent="0.25">
      <c r="A601" s="26" t="s">
        <v>337</v>
      </c>
      <c r="B601" s="17">
        <v>906</v>
      </c>
      <c r="C601" s="21" t="s">
        <v>327</v>
      </c>
      <c r="D601" s="21" t="s">
        <v>276</v>
      </c>
      <c r="E601" s="21" t="s">
        <v>519</v>
      </c>
      <c r="F601" s="21" t="s">
        <v>338</v>
      </c>
      <c r="G601" s="27">
        <f>157.3-157.3</f>
        <v>0</v>
      </c>
      <c r="H601" s="221"/>
      <c r="I601" s="141"/>
    </row>
    <row r="602" spans="1:12" ht="31.5" x14ac:dyDescent="0.25">
      <c r="A602" s="26" t="s">
        <v>520</v>
      </c>
      <c r="B602" s="17">
        <v>906</v>
      </c>
      <c r="C602" s="21" t="s">
        <v>327</v>
      </c>
      <c r="D602" s="21" t="s">
        <v>276</v>
      </c>
      <c r="E602" s="21" t="s">
        <v>521</v>
      </c>
      <c r="F602" s="21"/>
      <c r="G602" s="27">
        <f t="shared" ref="G602" si="110">G603</f>
        <v>1232.5999999999999</v>
      </c>
      <c r="H602" s="221"/>
    </row>
    <row r="603" spans="1:12" ht="47.25" x14ac:dyDescent="0.25">
      <c r="A603" s="26" t="s">
        <v>335</v>
      </c>
      <c r="B603" s="17">
        <v>906</v>
      </c>
      <c r="C603" s="21" t="s">
        <v>327</v>
      </c>
      <c r="D603" s="21" t="s">
        <v>276</v>
      </c>
      <c r="E603" s="21" t="s">
        <v>521</v>
      </c>
      <c r="F603" s="21" t="s">
        <v>336</v>
      </c>
      <c r="G603" s="27">
        <f>G604</f>
        <v>1232.5999999999999</v>
      </c>
      <c r="H603" s="221"/>
      <c r="L603" s="142"/>
    </row>
    <row r="604" spans="1:12" ht="15.75" x14ac:dyDescent="0.25">
      <c r="A604" s="26" t="s">
        <v>337</v>
      </c>
      <c r="B604" s="17">
        <v>906</v>
      </c>
      <c r="C604" s="21" t="s">
        <v>327</v>
      </c>
      <c r="D604" s="21" t="s">
        <v>276</v>
      </c>
      <c r="E604" s="21" t="s">
        <v>521</v>
      </c>
      <c r="F604" s="21" t="s">
        <v>338</v>
      </c>
      <c r="G604" s="28">
        <f>1572.5-278.9-61</f>
        <v>1232.5999999999999</v>
      </c>
      <c r="H604" s="221" t="s">
        <v>956</v>
      </c>
      <c r="I604" s="141"/>
    </row>
    <row r="605" spans="1:12" ht="47.25" x14ac:dyDescent="0.25">
      <c r="A605" s="26" t="s">
        <v>522</v>
      </c>
      <c r="B605" s="17">
        <v>906</v>
      </c>
      <c r="C605" s="21" t="s">
        <v>327</v>
      </c>
      <c r="D605" s="21" t="s">
        <v>276</v>
      </c>
      <c r="E605" s="21" t="s">
        <v>523</v>
      </c>
      <c r="F605" s="21"/>
      <c r="G605" s="28">
        <f>G606</f>
        <v>448.7</v>
      </c>
      <c r="H605" s="221"/>
    </row>
    <row r="606" spans="1:12" ht="47.25" x14ac:dyDescent="0.25">
      <c r="A606" s="26" t="s">
        <v>335</v>
      </c>
      <c r="B606" s="17">
        <v>906</v>
      </c>
      <c r="C606" s="21" t="s">
        <v>327</v>
      </c>
      <c r="D606" s="21" t="s">
        <v>276</v>
      </c>
      <c r="E606" s="21" t="s">
        <v>523</v>
      </c>
      <c r="F606" s="21" t="s">
        <v>336</v>
      </c>
      <c r="G606" s="28">
        <f t="shared" ref="G606" si="111">G607</f>
        <v>448.7</v>
      </c>
      <c r="H606" s="221"/>
    </row>
    <row r="607" spans="1:12" ht="15.75" x14ac:dyDescent="0.25">
      <c r="A607" s="26" t="s">
        <v>337</v>
      </c>
      <c r="B607" s="17">
        <v>906</v>
      </c>
      <c r="C607" s="21" t="s">
        <v>327</v>
      </c>
      <c r="D607" s="21" t="s">
        <v>276</v>
      </c>
      <c r="E607" s="21" t="s">
        <v>523</v>
      </c>
      <c r="F607" s="21" t="s">
        <v>338</v>
      </c>
      <c r="G607" s="28">
        <f>733.5-244.8-40</f>
        <v>448.7</v>
      </c>
      <c r="H607" s="221" t="s">
        <v>957</v>
      </c>
      <c r="I607" s="141"/>
    </row>
    <row r="608" spans="1:12" ht="94.5" x14ac:dyDescent="0.25">
      <c r="A608" s="33" t="s">
        <v>524</v>
      </c>
      <c r="B608" s="17">
        <v>906</v>
      </c>
      <c r="C608" s="21" t="s">
        <v>327</v>
      </c>
      <c r="D608" s="21" t="s">
        <v>276</v>
      </c>
      <c r="E608" s="21" t="s">
        <v>525</v>
      </c>
      <c r="F608" s="21"/>
      <c r="G608" s="27">
        <f t="shared" ref="G608" si="112">G609</f>
        <v>79753.600000000006</v>
      </c>
      <c r="H608" s="221"/>
    </row>
    <row r="609" spans="1:9" ht="47.25" x14ac:dyDescent="0.25">
      <c r="A609" s="26" t="s">
        <v>335</v>
      </c>
      <c r="B609" s="17">
        <v>906</v>
      </c>
      <c r="C609" s="21" t="s">
        <v>327</v>
      </c>
      <c r="D609" s="21" t="s">
        <v>276</v>
      </c>
      <c r="E609" s="21" t="s">
        <v>525</v>
      </c>
      <c r="F609" s="21" t="s">
        <v>336</v>
      </c>
      <c r="G609" s="27">
        <f>G610</f>
        <v>79753.600000000006</v>
      </c>
      <c r="H609" s="221"/>
    </row>
    <row r="610" spans="1:9" ht="15.75" x14ac:dyDescent="0.25">
      <c r="A610" s="26" t="s">
        <v>337</v>
      </c>
      <c r="B610" s="17">
        <v>906</v>
      </c>
      <c r="C610" s="21" t="s">
        <v>327</v>
      </c>
      <c r="D610" s="21" t="s">
        <v>276</v>
      </c>
      <c r="E610" s="21" t="s">
        <v>525</v>
      </c>
      <c r="F610" s="21" t="s">
        <v>338</v>
      </c>
      <c r="G610" s="28">
        <f>93568.6-13815</f>
        <v>79753.600000000006</v>
      </c>
      <c r="H610" s="221"/>
      <c r="I610" s="141"/>
    </row>
    <row r="611" spans="1:9" ht="63" x14ac:dyDescent="0.25">
      <c r="A611" s="33" t="s">
        <v>352</v>
      </c>
      <c r="B611" s="17">
        <v>906</v>
      </c>
      <c r="C611" s="21" t="s">
        <v>327</v>
      </c>
      <c r="D611" s="21" t="s">
        <v>276</v>
      </c>
      <c r="E611" s="21" t="s">
        <v>353</v>
      </c>
      <c r="F611" s="21"/>
      <c r="G611" s="27">
        <f>G612</f>
        <v>615.50000000000011</v>
      </c>
      <c r="H611" s="221"/>
    </row>
    <row r="612" spans="1:9" ht="47.25" x14ac:dyDescent="0.25">
      <c r="A612" s="26" t="s">
        <v>335</v>
      </c>
      <c r="B612" s="17">
        <v>906</v>
      </c>
      <c r="C612" s="21" t="s">
        <v>327</v>
      </c>
      <c r="D612" s="21" t="s">
        <v>276</v>
      </c>
      <c r="E612" s="21" t="s">
        <v>353</v>
      </c>
      <c r="F612" s="21" t="s">
        <v>336</v>
      </c>
      <c r="G612" s="27">
        <f t="shared" ref="G612" si="113">G613</f>
        <v>615.50000000000011</v>
      </c>
      <c r="H612" s="221"/>
    </row>
    <row r="613" spans="1:9" ht="15.75" x14ac:dyDescent="0.25">
      <c r="A613" s="26" t="s">
        <v>337</v>
      </c>
      <c r="B613" s="17">
        <v>906</v>
      </c>
      <c r="C613" s="21" t="s">
        <v>327</v>
      </c>
      <c r="D613" s="21" t="s">
        <v>276</v>
      </c>
      <c r="E613" s="21" t="s">
        <v>353</v>
      </c>
      <c r="F613" s="21" t="s">
        <v>338</v>
      </c>
      <c r="G613" s="28">
        <f>1101.7-190.8-295.4</f>
        <v>615.50000000000011</v>
      </c>
      <c r="H613" s="221" t="s">
        <v>1000</v>
      </c>
      <c r="I613" s="141"/>
    </row>
    <row r="614" spans="1:9" ht="78.75" x14ac:dyDescent="0.25">
      <c r="A614" s="33" t="s">
        <v>354</v>
      </c>
      <c r="B614" s="17">
        <v>906</v>
      </c>
      <c r="C614" s="21" t="s">
        <v>327</v>
      </c>
      <c r="D614" s="21" t="s">
        <v>276</v>
      </c>
      <c r="E614" s="21" t="s">
        <v>355</v>
      </c>
      <c r="F614" s="21"/>
      <c r="G614" s="27">
        <f>G615</f>
        <v>2096.8000000000002</v>
      </c>
      <c r="H614" s="221"/>
    </row>
    <row r="615" spans="1:9" ht="47.25" x14ac:dyDescent="0.25">
      <c r="A615" s="26" t="s">
        <v>335</v>
      </c>
      <c r="B615" s="17">
        <v>906</v>
      </c>
      <c r="C615" s="21" t="s">
        <v>327</v>
      </c>
      <c r="D615" s="21" t="s">
        <v>276</v>
      </c>
      <c r="E615" s="21" t="s">
        <v>355</v>
      </c>
      <c r="F615" s="21" t="s">
        <v>336</v>
      </c>
      <c r="G615" s="27">
        <f t="shared" ref="G615" si="114">G616</f>
        <v>2096.8000000000002</v>
      </c>
      <c r="H615" s="221"/>
    </row>
    <row r="616" spans="1:9" ht="15.75" x14ac:dyDescent="0.25">
      <c r="A616" s="26" t="s">
        <v>337</v>
      </c>
      <c r="B616" s="17">
        <v>906</v>
      </c>
      <c r="C616" s="21" t="s">
        <v>327</v>
      </c>
      <c r="D616" s="21" t="s">
        <v>276</v>
      </c>
      <c r="E616" s="21" t="s">
        <v>355</v>
      </c>
      <c r="F616" s="21" t="s">
        <v>338</v>
      </c>
      <c r="G616" s="28">
        <f>2823.2-667.7-58.7</f>
        <v>2096.8000000000002</v>
      </c>
      <c r="H616" s="221" t="s">
        <v>964</v>
      </c>
      <c r="I616" s="141"/>
    </row>
    <row r="617" spans="1:9" ht="47.25" x14ac:dyDescent="0.25">
      <c r="A617" s="33" t="s">
        <v>526</v>
      </c>
      <c r="B617" s="17">
        <v>906</v>
      </c>
      <c r="C617" s="21" t="s">
        <v>327</v>
      </c>
      <c r="D617" s="21" t="s">
        <v>276</v>
      </c>
      <c r="E617" s="21" t="s">
        <v>527</v>
      </c>
      <c r="F617" s="21"/>
      <c r="G617" s="27">
        <f t="shared" ref="G617" si="115">G618</f>
        <v>856.2</v>
      </c>
      <c r="H617" s="221"/>
    </row>
    <row r="618" spans="1:9" ht="47.25" x14ac:dyDescent="0.25">
      <c r="A618" s="26" t="s">
        <v>335</v>
      </c>
      <c r="B618" s="17">
        <v>906</v>
      </c>
      <c r="C618" s="21" t="s">
        <v>327</v>
      </c>
      <c r="D618" s="21" t="s">
        <v>276</v>
      </c>
      <c r="E618" s="21" t="s">
        <v>527</v>
      </c>
      <c r="F618" s="21" t="s">
        <v>336</v>
      </c>
      <c r="G618" s="27">
        <f>G619</f>
        <v>856.2</v>
      </c>
      <c r="H618" s="221"/>
    </row>
    <row r="619" spans="1:9" ht="15.75" x14ac:dyDescent="0.25">
      <c r="A619" s="26" t="s">
        <v>337</v>
      </c>
      <c r="B619" s="17">
        <v>906</v>
      </c>
      <c r="C619" s="21" t="s">
        <v>327</v>
      </c>
      <c r="D619" s="21" t="s">
        <v>276</v>
      </c>
      <c r="E619" s="21" t="s">
        <v>527</v>
      </c>
      <c r="F619" s="21" t="s">
        <v>338</v>
      </c>
      <c r="G619" s="28">
        <f>998.4-111.9-30.3</f>
        <v>856.2</v>
      </c>
      <c r="H619" s="221" t="s">
        <v>958</v>
      </c>
      <c r="I619" s="141"/>
    </row>
    <row r="620" spans="1:9" ht="110.25" x14ac:dyDescent="0.25">
      <c r="A620" s="33" t="s">
        <v>528</v>
      </c>
      <c r="B620" s="17">
        <v>906</v>
      </c>
      <c r="C620" s="21" t="s">
        <v>327</v>
      </c>
      <c r="D620" s="21" t="s">
        <v>276</v>
      </c>
      <c r="E620" s="21" t="s">
        <v>357</v>
      </c>
      <c r="F620" s="21"/>
      <c r="G620" s="27">
        <f>G621</f>
        <v>4413</v>
      </c>
      <c r="H620" s="221"/>
    </row>
    <row r="621" spans="1:9" ht="47.25" x14ac:dyDescent="0.25">
      <c r="A621" s="26" t="s">
        <v>335</v>
      </c>
      <c r="B621" s="17">
        <v>906</v>
      </c>
      <c r="C621" s="21" t="s">
        <v>327</v>
      </c>
      <c r="D621" s="21" t="s">
        <v>276</v>
      </c>
      <c r="E621" s="21" t="s">
        <v>357</v>
      </c>
      <c r="F621" s="21" t="s">
        <v>336</v>
      </c>
      <c r="G621" s="27">
        <f t="shared" ref="G621" si="116">G622</f>
        <v>4413</v>
      </c>
      <c r="H621" s="221"/>
    </row>
    <row r="622" spans="1:9" ht="15.75" x14ac:dyDescent="0.25">
      <c r="A622" s="26" t="s">
        <v>337</v>
      </c>
      <c r="B622" s="17">
        <v>906</v>
      </c>
      <c r="C622" s="21" t="s">
        <v>327</v>
      </c>
      <c r="D622" s="21" t="s">
        <v>276</v>
      </c>
      <c r="E622" s="21" t="s">
        <v>357</v>
      </c>
      <c r="F622" s="21" t="s">
        <v>338</v>
      </c>
      <c r="G622" s="28">
        <f>5441.9-1072.9+39+5</f>
        <v>4413</v>
      </c>
      <c r="H622" s="221" t="s">
        <v>979</v>
      </c>
      <c r="I622" s="141"/>
    </row>
    <row r="623" spans="1:9" ht="15.75" x14ac:dyDescent="0.25">
      <c r="A623" s="24" t="s">
        <v>328</v>
      </c>
      <c r="B623" s="20">
        <v>906</v>
      </c>
      <c r="C623" s="25" t="s">
        <v>327</v>
      </c>
      <c r="D623" s="25" t="s">
        <v>278</v>
      </c>
      <c r="E623" s="25"/>
      <c r="F623" s="25"/>
      <c r="G623" s="46">
        <f>G624+G636</f>
        <v>24427.350000000002</v>
      </c>
      <c r="H623" s="221"/>
      <c r="I623" s="141"/>
    </row>
    <row r="624" spans="1:9" ht="47.25" x14ac:dyDescent="0.25">
      <c r="A624" s="26" t="s">
        <v>490</v>
      </c>
      <c r="B624" s="17">
        <v>906</v>
      </c>
      <c r="C624" s="21" t="s">
        <v>327</v>
      </c>
      <c r="D624" s="21" t="s">
        <v>278</v>
      </c>
      <c r="E624" s="21" t="s">
        <v>470</v>
      </c>
      <c r="F624" s="21"/>
      <c r="G624" s="28">
        <f>G625+G629</f>
        <v>22968.400000000001</v>
      </c>
      <c r="H624" s="221"/>
      <c r="I624" s="141"/>
    </row>
    <row r="625" spans="1:10" ht="47.25" x14ac:dyDescent="0.25">
      <c r="A625" s="26" t="s">
        <v>471</v>
      </c>
      <c r="B625" s="17">
        <v>906</v>
      </c>
      <c r="C625" s="21" t="s">
        <v>327</v>
      </c>
      <c r="D625" s="21" t="s">
        <v>278</v>
      </c>
      <c r="E625" s="21" t="s">
        <v>472</v>
      </c>
      <c r="F625" s="21"/>
      <c r="G625" s="28">
        <f>G626</f>
        <v>22767.9</v>
      </c>
      <c r="H625" s="221"/>
      <c r="I625" s="141"/>
    </row>
    <row r="626" spans="1:10" ht="47.25" x14ac:dyDescent="0.25">
      <c r="A626" s="26" t="s">
        <v>333</v>
      </c>
      <c r="B626" s="17">
        <v>906</v>
      </c>
      <c r="C626" s="21" t="s">
        <v>327</v>
      </c>
      <c r="D626" s="21" t="s">
        <v>278</v>
      </c>
      <c r="E626" s="21" t="s">
        <v>493</v>
      </c>
      <c r="F626" s="21"/>
      <c r="G626" s="28">
        <f>G627</f>
        <v>22767.9</v>
      </c>
      <c r="H626" s="221"/>
      <c r="I626" s="141"/>
    </row>
    <row r="627" spans="1:10" ht="47.25" x14ac:dyDescent="0.25">
      <c r="A627" s="26" t="s">
        <v>335</v>
      </c>
      <c r="B627" s="17">
        <v>906</v>
      </c>
      <c r="C627" s="21" t="s">
        <v>327</v>
      </c>
      <c r="D627" s="21" t="s">
        <v>278</v>
      </c>
      <c r="E627" s="21" t="s">
        <v>493</v>
      </c>
      <c r="F627" s="21" t="s">
        <v>336</v>
      </c>
      <c r="G627" s="28">
        <f>G628</f>
        <v>22767.9</v>
      </c>
      <c r="H627" s="221"/>
      <c r="I627" s="141"/>
    </row>
    <row r="628" spans="1:10" ht="15.75" x14ac:dyDescent="0.25">
      <c r="A628" s="26" t="s">
        <v>337</v>
      </c>
      <c r="B628" s="17">
        <v>906</v>
      </c>
      <c r="C628" s="21" t="s">
        <v>327</v>
      </c>
      <c r="D628" s="21" t="s">
        <v>278</v>
      </c>
      <c r="E628" s="21" t="s">
        <v>493</v>
      </c>
      <c r="F628" s="21" t="s">
        <v>338</v>
      </c>
      <c r="G628" s="28">
        <f>21044+80-157-200.5+200.5+1451.9+600-251</f>
        <v>22767.9</v>
      </c>
      <c r="H628" s="132" t="s">
        <v>1003</v>
      </c>
      <c r="I628" s="153"/>
      <c r="J628" s="134"/>
    </row>
    <row r="629" spans="1:10" ht="47.25" x14ac:dyDescent="0.25">
      <c r="A629" s="33" t="s">
        <v>831</v>
      </c>
      <c r="B629" s="17">
        <v>906</v>
      </c>
      <c r="C629" s="21" t="s">
        <v>327</v>
      </c>
      <c r="E629" s="21" t="s">
        <v>511</v>
      </c>
      <c r="F629" s="21"/>
      <c r="G629" s="28">
        <f>G633+G630</f>
        <v>200.5</v>
      </c>
      <c r="H629" s="221"/>
      <c r="I629" s="141"/>
    </row>
    <row r="630" spans="1:10" ht="31.5" x14ac:dyDescent="0.25">
      <c r="A630" s="26" t="s">
        <v>347</v>
      </c>
      <c r="B630" s="17">
        <v>906</v>
      </c>
      <c r="C630" s="21" t="s">
        <v>327</v>
      </c>
      <c r="D630" s="21" t="s">
        <v>278</v>
      </c>
      <c r="E630" s="21" t="s">
        <v>920</v>
      </c>
      <c r="F630" s="21"/>
      <c r="G630" s="28">
        <f>G631</f>
        <v>200.5</v>
      </c>
      <c r="H630" s="221"/>
      <c r="I630" s="141"/>
    </row>
    <row r="631" spans="1:10" ht="47.25" x14ac:dyDescent="0.25">
      <c r="A631" s="26" t="s">
        <v>335</v>
      </c>
      <c r="B631" s="17">
        <v>906</v>
      </c>
      <c r="C631" s="21" t="s">
        <v>327</v>
      </c>
      <c r="D631" s="21" t="s">
        <v>278</v>
      </c>
      <c r="E631" s="21" t="s">
        <v>920</v>
      </c>
      <c r="F631" s="21" t="s">
        <v>336</v>
      </c>
      <c r="G631" s="28">
        <f>G632</f>
        <v>200.5</v>
      </c>
      <c r="H631" s="221"/>
      <c r="I631" s="141"/>
    </row>
    <row r="632" spans="1:10" ht="15.75" x14ac:dyDescent="0.25">
      <c r="A632" s="26" t="s">
        <v>337</v>
      </c>
      <c r="B632" s="17">
        <v>906</v>
      </c>
      <c r="C632" s="21" t="s">
        <v>327</v>
      </c>
      <c r="D632" s="21" t="s">
        <v>278</v>
      </c>
      <c r="E632" s="21" t="s">
        <v>920</v>
      </c>
      <c r="F632" s="21" t="s">
        <v>338</v>
      </c>
      <c r="G632" s="28">
        <v>200.5</v>
      </c>
      <c r="H632" s="242"/>
      <c r="I632" s="141"/>
    </row>
    <row r="633" spans="1:10" ht="31.5" hidden="1" x14ac:dyDescent="0.25">
      <c r="A633" s="47" t="s">
        <v>832</v>
      </c>
      <c r="B633" s="17">
        <v>906</v>
      </c>
      <c r="C633" s="21" t="s">
        <v>327</v>
      </c>
      <c r="D633" s="21" t="s">
        <v>278</v>
      </c>
      <c r="E633" s="21" t="s">
        <v>833</v>
      </c>
      <c r="F633" s="21"/>
      <c r="G633" s="28">
        <f>G634</f>
        <v>0</v>
      </c>
      <c r="H633" s="221"/>
      <c r="I633" s="141"/>
    </row>
    <row r="634" spans="1:10" ht="47.25" hidden="1" x14ac:dyDescent="0.25">
      <c r="A634" s="33" t="s">
        <v>335</v>
      </c>
      <c r="B634" s="17">
        <v>906</v>
      </c>
      <c r="C634" s="21" t="s">
        <v>327</v>
      </c>
      <c r="D634" s="21" t="s">
        <v>278</v>
      </c>
      <c r="E634" s="21" t="s">
        <v>833</v>
      </c>
      <c r="F634" s="21" t="s">
        <v>336</v>
      </c>
      <c r="G634" s="28">
        <f>G635</f>
        <v>0</v>
      </c>
      <c r="H634" s="132"/>
      <c r="I634" s="141"/>
    </row>
    <row r="635" spans="1:10" ht="15.75" hidden="1" x14ac:dyDescent="0.25">
      <c r="A635" s="33" t="s">
        <v>337</v>
      </c>
      <c r="B635" s="17">
        <v>906</v>
      </c>
      <c r="C635" s="21" t="s">
        <v>327</v>
      </c>
      <c r="D635" s="21" t="s">
        <v>278</v>
      </c>
      <c r="E635" s="21" t="s">
        <v>833</v>
      </c>
      <c r="F635" s="21" t="s">
        <v>338</v>
      </c>
      <c r="G635" s="28">
        <f>355.9-355.9</f>
        <v>0</v>
      </c>
      <c r="H635" s="221" t="s">
        <v>941</v>
      </c>
      <c r="I635" s="141"/>
    </row>
    <row r="636" spans="1:10" ht="15.75" x14ac:dyDescent="0.25">
      <c r="A636" s="26" t="s">
        <v>529</v>
      </c>
      <c r="B636" s="17">
        <v>906</v>
      </c>
      <c r="C636" s="21" t="s">
        <v>327</v>
      </c>
      <c r="D636" s="21" t="s">
        <v>278</v>
      </c>
      <c r="E636" s="21" t="s">
        <v>185</v>
      </c>
      <c r="F636" s="21"/>
      <c r="G636" s="28">
        <f>G637</f>
        <v>1458.95</v>
      </c>
      <c r="H636" s="221"/>
      <c r="I636" s="141"/>
    </row>
    <row r="637" spans="1:10" ht="31.5" x14ac:dyDescent="0.25">
      <c r="A637" s="26" t="s">
        <v>248</v>
      </c>
      <c r="B637" s="17">
        <v>906</v>
      </c>
      <c r="C637" s="21" t="s">
        <v>327</v>
      </c>
      <c r="D637" s="21" t="s">
        <v>278</v>
      </c>
      <c r="E637" s="21" t="s">
        <v>249</v>
      </c>
      <c r="F637" s="21"/>
      <c r="G637" s="28">
        <f>G638+G641+G644</f>
        <v>1458.95</v>
      </c>
      <c r="H637" s="221"/>
      <c r="I637" s="141"/>
    </row>
    <row r="638" spans="1:10" ht="63" x14ac:dyDescent="0.25">
      <c r="A638" s="33" t="s">
        <v>352</v>
      </c>
      <c r="B638" s="17">
        <v>906</v>
      </c>
      <c r="C638" s="21" t="s">
        <v>327</v>
      </c>
      <c r="D638" s="21" t="s">
        <v>278</v>
      </c>
      <c r="E638" s="21" t="s">
        <v>353</v>
      </c>
      <c r="F638" s="21"/>
      <c r="G638" s="28">
        <f>G639</f>
        <v>69</v>
      </c>
      <c r="H638" s="221"/>
      <c r="I638" s="141"/>
    </row>
    <row r="639" spans="1:10" ht="47.25" x14ac:dyDescent="0.25">
      <c r="A639" s="26" t="s">
        <v>335</v>
      </c>
      <c r="B639" s="17">
        <v>906</v>
      </c>
      <c r="C639" s="21" t="s">
        <v>327</v>
      </c>
      <c r="D639" s="21" t="s">
        <v>278</v>
      </c>
      <c r="E639" s="21" t="s">
        <v>353</v>
      </c>
      <c r="F639" s="21" t="s">
        <v>336</v>
      </c>
      <c r="G639" s="28">
        <f>G640</f>
        <v>69</v>
      </c>
      <c r="H639" s="221"/>
      <c r="I639" s="141"/>
    </row>
    <row r="640" spans="1:10" ht="15.75" x14ac:dyDescent="0.25">
      <c r="A640" s="26" t="s">
        <v>337</v>
      </c>
      <c r="B640" s="17">
        <v>906</v>
      </c>
      <c r="C640" s="21" t="s">
        <v>327</v>
      </c>
      <c r="D640" s="21" t="s">
        <v>278</v>
      </c>
      <c r="E640" s="21" t="s">
        <v>353</v>
      </c>
      <c r="F640" s="21" t="s">
        <v>338</v>
      </c>
      <c r="G640" s="28">
        <f>110-41</f>
        <v>69</v>
      </c>
      <c r="H640" s="221" t="s">
        <v>965</v>
      </c>
      <c r="I640" s="141"/>
    </row>
    <row r="641" spans="1:9" ht="78.75" x14ac:dyDescent="0.25">
      <c r="A641" s="33" t="s">
        <v>354</v>
      </c>
      <c r="B641" s="17">
        <v>906</v>
      </c>
      <c r="C641" s="21" t="s">
        <v>327</v>
      </c>
      <c r="D641" s="21" t="s">
        <v>278</v>
      </c>
      <c r="E641" s="21" t="s">
        <v>355</v>
      </c>
      <c r="F641" s="21"/>
      <c r="G641" s="28">
        <f>G642</f>
        <v>512.20000000000005</v>
      </c>
      <c r="H641" s="221"/>
      <c r="I641" s="141"/>
    </row>
    <row r="642" spans="1:9" ht="47.25" x14ac:dyDescent="0.25">
      <c r="A642" s="26" t="s">
        <v>335</v>
      </c>
      <c r="B642" s="17">
        <v>906</v>
      </c>
      <c r="C642" s="21" t="s">
        <v>327</v>
      </c>
      <c r="D642" s="21" t="s">
        <v>278</v>
      </c>
      <c r="E642" s="21" t="s">
        <v>355</v>
      </c>
      <c r="F642" s="21" t="s">
        <v>336</v>
      </c>
      <c r="G642" s="28">
        <f>G643</f>
        <v>512.20000000000005</v>
      </c>
      <c r="H642" s="221"/>
      <c r="I642" s="141"/>
    </row>
    <row r="643" spans="1:9" ht="15.75" x14ac:dyDescent="0.25">
      <c r="A643" s="26" t="s">
        <v>337</v>
      </c>
      <c r="B643" s="17">
        <v>906</v>
      </c>
      <c r="C643" s="21" t="s">
        <v>327</v>
      </c>
      <c r="D643" s="21" t="s">
        <v>278</v>
      </c>
      <c r="E643" s="21" t="s">
        <v>355</v>
      </c>
      <c r="F643" s="21" t="s">
        <v>338</v>
      </c>
      <c r="G643" s="28">
        <f>572.2-60</f>
        <v>512.20000000000005</v>
      </c>
      <c r="H643" s="221" t="s">
        <v>966</v>
      </c>
      <c r="I643" s="141"/>
    </row>
    <row r="644" spans="1:9" ht="110.25" x14ac:dyDescent="0.25">
      <c r="A644" s="33" t="s">
        <v>356</v>
      </c>
      <c r="B644" s="17">
        <v>906</v>
      </c>
      <c r="C644" s="21" t="s">
        <v>327</v>
      </c>
      <c r="D644" s="21" t="s">
        <v>278</v>
      </c>
      <c r="E644" s="21" t="s">
        <v>357</v>
      </c>
      <c r="F644" s="21"/>
      <c r="G644" s="28">
        <f>G645</f>
        <v>877.75</v>
      </c>
      <c r="H644" s="221"/>
      <c r="I644" s="141"/>
    </row>
    <row r="645" spans="1:9" ht="47.25" x14ac:dyDescent="0.25">
      <c r="A645" s="26" t="s">
        <v>335</v>
      </c>
      <c r="B645" s="17">
        <v>906</v>
      </c>
      <c r="C645" s="21" t="s">
        <v>327</v>
      </c>
      <c r="D645" s="21" t="s">
        <v>278</v>
      </c>
      <c r="E645" s="21" t="s">
        <v>357</v>
      </c>
      <c r="F645" s="21" t="s">
        <v>336</v>
      </c>
      <c r="G645" s="28">
        <f>G646</f>
        <v>877.75</v>
      </c>
      <c r="H645" s="221"/>
      <c r="I645" s="141"/>
    </row>
    <row r="646" spans="1:9" ht="15.75" x14ac:dyDescent="0.25">
      <c r="A646" s="26" t="s">
        <v>337</v>
      </c>
      <c r="B646" s="17">
        <v>906</v>
      </c>
      <c r="C646" s="21" t="s">
        <v>327</v>
      </c>
      <c r="D646" s="21" t="s">
        <v>278</v>
      </c>
      <c r="E646" s="21" t="s">
        <v>357</v>
      </c>
      <c r="F646" s="21" t="s">
        <v>338</v>
      </c>
      <c r="G646" s="28">
        <f>900-0.95-21.3</f>
        <v>877.75</v>
      </c>
      <c r="H646" s="221" t="s">
        <v>980</v>
      </c>
      <c r="I646" s="141"/>
    </row>
    <row r="647" spans="1:9" ht="31.5" x14ac:dyDescent="0.25">
      <c r="A647" s="24" t="s">
        <v>530</v>
      </c>
      <c r="B647" s="20">
        <v>906</v>
      </c>
      <c r="C647" s="25" t="s">
        <v>327</v>
      </c>
      <c r="D647" s="25" t="s">
        <v>327</v>
      </c>
      <c r="E647" s="25"/>
      <c r="F647" s="25"/>
      <c r="G647" s="22">
        <f>G648+G653</f>
        <v>4788.6000000000004</v>
      </c>
      <c r="H647" s="221"/>
    </row>
    <row r="648" spans="1:9" ht="47.25" x14ac:dyDescent="0.25">
      <c r="A648" s="26" t="s">
        <v>490</v>
      </c>
      <c r="B648" s="17">
        <v>906</v>
      </c>
      <c r="C648" s="21" t="s">
        <v>327</v>
      </c>
      <c r="D648" s="21" t="s">
        <v>327</v>
      </c>
      <c r="E648" s="21" t="s">
        <v>470</v>
      </c>
      <c r="F648" s="21"/>
      <c r="G648" s="27">
        <f>G649</f>
        <v>3484.8</v>
      </c>
      <c r="H648" s="221"/>
    </row>
    <row r="649" spans="1:9" ht="31.5" x14ac:dyDescent="0.25">
      <c r="A649" s="26" t="s">
        <v>531</v>
      </c>
      <c r="B649" s="17">
        <v>906</v>
      </c>
      <c r="C649" s="21" t="s">
        <v>327</v>
      </c>
      <c r="D649" s="21" t="s">
        <v>532</v>
      </c>
      <c r="E649" s="21" t="s">
        <v>533</v>
      </c>
      <c r="F649" s="21"/>
      <c r="G649" s="27">
        <f t="shared" ref="G649" si="117">G650</f>
        <v>3484.8</v>
      </c>
      <c r="H649" s="221"/>
    </row>
    <row r="650" spans="1:9" ht="47.25" x14ac:dyDescent="0.25">
      <c r="A650" s="26" t="s">
        <v>534</v>
      </c>
      <c r="B650" s="17">
        <v>906</v>
      </c>
      <c r="C650" s="21" t="s">
        <v>327</v>
      </c>
      <c r="D650" s="21" t="s">
        <v>327</v>
      </c>
      <c r="E650" s="21" t="s">
        <v>535</v>
      </c>
      <c r="F650" s="21"/>
      <c r="G650" s="27">
        <f>G651</f>
        <v>3484.8</v>
      </c>
      <c r="H650" s="221"/>
    </row>
    <row r="651" spans="1:9" ht="47.25" x14ac:dyDescent="0.25">
      <c r="A651" s="26" t="s">
        <v>335</v>
      </c>
      <c r="B651" s="17">
        <v>906</v>
      </c>
      <c r="C651" s="21" t="s">
        <v>327</v>
      </c>
      <c r="D651" s="21" t="s">
        <v>327</v>
      </c>
      <c r="E651" s="21" t="s">
        <v>535</v>
      </c>
      <c r="F651" s="21" t="s">
        <v>336</v>
      </c>
      <c r="G651" s="27">
        <f t="shared" ref="G651:G656" si="118">G652</f>
        <v>3484.8</v>
      </c>
      <c r="H651" s="221"/>
    </row>
    <row r="652" spans="1:9" ht="15.75" x14ac:dyDescent="0.25">
      <c r="A652" s="26" t="s">
        <v>337</v>
      </c>
      <c r="B652" s="17">
        <v>906</v>
      </c>
      <c r="C652" s="21" t="s">
        <v>327</v>
      </c>
      <c r="D652" s="21" t="s">
        <v>327</v>
      </c>
      <c r="E652" s="21" t="s">
        <v>535</v>
      </c>
      <c r="F652" s="21" t="s">
        <v>338</v>
      </c>
      <c r="G652" s="28">
        <v>3484.8</v>
      </c>
      <c r="H652" s="221"/>
    </row>
    <row r="653" spans="1:9" ht="15.75" x14ac:dyDescent="0.25">
      <c r="A653" s="26" t="s">
        <v>184</v>
      </c>
      <c r="B653" s="17">
        <v>906</v>
      </c>
      <c r="C653" s="21" t="s">
        <v>327</v>
      </c>
      <c r="D653" s="21" t="s">
        <v>327</v>
      </c>
      <c r="E653" s="21" t="s">
        <v>185</v>
      </c>
      <c r="F653" s="21"/>
      <c r="G653" s="27">
        <f t="shared" ref="G653" si="119">G654</f>
        <v>1303.8000000000002</v>
      </c>
      <c r="H653" s="221"/>
    </row>
    <row r="654" spans="1:9" ht="31.5" x14ac:dyDescent="0.25">
      <c r="A654" s="26" t="s">
        <v>248</v>
      </c>
      <c r="B654" s="17">
        <v>906</v>
      </c>
      <c r="C654" s="21" t="s">
        <v>327</v>
      </c>
      <c r="D654" s="21" t="s">
        <v>327</v>
      </c>
      <c r="E654" s="21" t="s">
        <v>249</v>
      </c>
      <c r="F654" s="21"/>
      <c r="G654" s="27">
        <f>G656</f>
        <v>1303.8000000000002</v>
      </c>
      <c r="H654" s="221"/>
    </row>
    <row r="655" spans="1:9" ht="63" hidden="1" x14ac:dyDescent="0.25">
      <c r="A655" s="26" t="s">
        <v>536</v>
      </c>
      <c r="B655" s="17">
        <v>906</v>
      </c>
      <c r="C655" s="21" t="s">
        <v>327</v>
      </c>
      <c r="D655" s="21" t="s">
        <v>327</v>
      </c>
      <c r="E655" s="21" t="s">
        <v>537</v>
      </c>
      <c r="F655" s="21"/>
      <c r="G655" s="27">
        <f t="shared" si="118"/>
        <v>1303.8000000000002</v>
      </c>
      <c r="H655" s="221"/>
    </row>
    <row r="656" spans="1:9" ht="31.5" x14ac:dyDescent="0.25">
      <c r="A656" s="33" t="s">
        <v>538</v>
      </c>
      <c r="B656" s="17">
        <v>906</v>
      </c>
      <c r="C656" s="21" t="s">
        <v>327</v>
      </c>
      <c r="D656" s="21" t="s">
        <v>327</v>
      </c>
      <c r="E656" s="21" t="s">
        <v>539</v>
      </c>
      <c r="F656" s="21"/>
      <c r="G656" s="27">
        <f t="shared" si="118"/>
        <v>1303.8000000000002</v>
      </c>
      <c r="H656" s="221"/>
    </row>
    <row r="657" spans="1:9" ht="47.25" x14ac:dyDescent="0.25">
      <c r="A657" s="26" t="s">
        <v>335</v>
      </c>
      <c r="B657" s="17">
        <v>906</v>
      </c>
      <c r="C657" s="21" t="s">
        <v>327</v>
      </c>
      <c r="D657" s="21" t="s">
        <v>327</v>
      </c>
      <c r="E657" s="21" t="s">
        <v>539</v>
      </c>
      <c r="F657" s="21" t="s">
        <v>336</v>
      </c>
      <c r="G657" s="27">
        <f>G658</f>
        <v>1303.8000000000002</v>
      </c>
      <c r="H657" s="221"/>
    </row>
    <row r="658" spans="1:9" ht="15.75" x14ac:dyDescent="0.25">
      <c r="A658" s="26" t="s">
        <v>337</v>
      </c>
      <c r="B658" s="17">
        <v>906</v>
      </c>
      <c r="C658" s="21" t="s">
        <v>327</v>
      </c>
      <c r="D658" s="21" t="s">
        <v>327</v>
      </c>
      <c r="E658" s="21" t="s">
        <v>539</v>
      </c>
      <c r="F658" s="21" t="s">
        <v>338</v>
      </c>
      <c r="G658" s="28">
        <f>1660.4-356.6</f>
        <v>1303.8000000000002</v>
      </c>
      <c r="H658" s="221"/>
      <c r="I658" s="141"/>
    </row>
    <row r="659" spans="1:9" ht="15.75" x14ac:dyDescent="0.25">
      <c r="A659" s="24" t="s">
        <v>358</v>
      </c>
      <c r="B659" s="20">
        <v>906</v>
      </c>
      <c r="C659" s="25" t="s">
        <v>327</v>
      </c>
      <c r="D659" s="25" t="s">
        <v>282</v>
      </c>
      <c r="E659" s="25"/>
      <c r="F659" s="25"/>
      <c r="G659" s="22">
        <f>G660+G669</f>
        <v>19448.2</v>
      </c>
      <c r="H659" s="221"/>
    </row>
    <row r="660" spans="1:9" ht="47.25" hidden="1" x14ac:dyDescent="0.25">
      <c r="A660" s="26" t="s">
        <v>397</v>
      </c>
      <c r="B660" s="17">
        <v>906</v>
      </c>
      <c r="C660" s="21" t="s">
        <v>327</v>
      </c>
      <c r="D660" s="21" t="s">
        <v>282</v>
      </c>
      <c r="E660" s="21" t="s">
        <v>398</v>
      </c>
      <c r="F660" s="21"/>
      <c r="G660" s="27">
        <f>G661+G664</f>
        <v>0</v>
      </c>
      <c r="H660" s="221"/>
      <c r="I660" s="141"/>
    </row>
    <row r="661" spans="1:9" ht="31.5" hidden="1" x14ac:dyDescent="0.25">
      <c r="A661" s="26" t="s">
        <v>399</v>
      </c>
      <c r="B661" s="17">
        <v>906</v>
      </c>
      <c r="C661" s="21" t="s">
        <v>327</v>
      </c>
      <c r="D661" s="21" t="s">
        <v>282</v>
      </c>
      <c r="E661" s="21" t="s">
        <v>400</v>
      </c>
      <c r="F661" s="21"/>
      <c r="G661" s="27">
        <f>G662</f>
        <v>0</v>
      </c>
      <c r="H661" s="221"/>
    </row>
    <row r="662" spans="1:9" ht="31.5" hidden="1" x14ac:dyDescent="0.25">
      <c r="A662" s="26" t="s">
        <v>194</v>
      </c>
      <c r="B662" s="17">
        <v>906</v>
      </c>
      <c r="C662" s="21" t="s">
        <v>327</v>
      </c>
      <c r="D662" s="21" t="s">
        <v>282</v>
      </c>
      <c r="E662" s="21" t="s">
        <v>400</v>
      </c>
      <c r="F662" s="21" t="s">
        <v>195</v>
      </c>
      <c r="G662" s="27">
        <f>G663</f>
        <v>0</v>
      </c>
      <c r="H662" s="221"/>
    </row>
    <row r="663" spans="1:9" ht="47.25" hidden="1" x14ac:dyDescent="0.25">
      <c r="A663" s="26" t="s">
        <v>196</v>
      </c>
      <c r="B663" s="17">
        <v>906</v>
      </c>
      <c r="C663" s="21" t="s">
        <v>327</v>
      </c>
      <c r="D663" s="21" t="s">
        <v>282</v>
      </c>
      <c r="E663" s="21" t="s">
        <v>400</v>
      </c>
      <c r="F663" s="21" t="s">
        <v>197</v>
      </c>
      <c r="G663" s="27">
        <f>50-50</f>
        <v>0</v>
      </c>
      <c r="H663" s="132"/>
      <c r="I663" s="152"/>
    </row>
    <row r="664" spans="1:9" ht="63" hidden="1" x14ac:dyDescent="0.25">
      <c r="A664" s="26" t="s">
        <v>540</v>
      </c>
      <c r="B664" s="17">
        <v>906</v>
      </c>
      <c r="C664" s="21" t="s">
        <v>327</v>
      </c>
      <c r="D664" s="21" t="s">
        <v>282</v>
      </c>
      <c r="E664" s="21" t="s">
        <v>541</v>
      </c>
      <c r="F664" s="21"/>
      <c r="G664" s="27">
        <f>G665+G667</f>
        <v>0</v>
      </c>
      <c r="H664" s="221"/>
    </row>
    <row r="665" spans="1:9" ht="94.5" hidden="1" x14ac:dyDescent="0.25">
      <c r="A665" s="26" t="s">
        <v>190</v>
      </c>
      <c r="B665" s="17">
        <v>906</v>
      </c>
      <c r="C665" s="21" t="s">
        <v>327</v>
      </c>
      <c r="D665" s="21" t="s">
        <v>282</v>
      </c>
      <c r="E665" s="21" t="s">
        <v>541</v>
      </c>
      <c r="F665" s="21" t="s">
        <v>191</v>
      </c>
      <c r="G665" s="27">
        <f>G666</f>
        <v>0</v>
      </c>
      <c r="H665" s="221"/>
    </row>
    <row r="666" spans="1:9" ht="31.5" hidden="1" x14ac:dyDescent="0.25">
      <c r="A666" s="26" t="s">
        <v>405</v>
      </c>
      <c r="B666" s="17">
        <v>906</v>
      </c>
      <c r="C666" s="21" t="s">
        <v>327</v>
      </c>
      <c r="D666" s="21" t="s">
        <v>282</v>
      </c>
      <c r="E666" s="21" t="s">
        <v>541</v>
      </c>
      <c r="F666" s="21" t="s">
        <v>272</v>
      </c>
      <c r="G666" s="27">
        <f>5-5</f>
        <v>0</v>
      </c>
      <c r="H666" s="221"/>
    </row>
    <row r="667" spans="1:9" ht="31.5" hidden="1" x14ac:dyDescent="0.25">
      <c r="A667" s="26" t="s">
        <v>194</v>
      </c>
      <c r="B667" s="17">
        <v>906</v>
      </c>
      <c r="C667" s="21" t="s">
        <v>327</v>
      </c>
      <c r="D667" s="21" t="s">
        <v>282</v>
      </c>
      <c r="E667" s="21" t="s">
        <v>541</v>
      </c>
      <c r="F667" s="21" t="s">
        <v>195</v>
      </c>
      <c r="G667" s="27">
        <f>G668</f>
        <v>0</v>
      </c>
      <c r="H667" s="221"/>
    </row>
    <row r="668" spans="1:9" ht="47.25" hidden="1" x14ac:dyDescent="0.25">
      <c r="A668" s="26" t="s">
        <v>196</v>
      </c>
      <c r="B668" s="17">
        <v>906</v>
      </c>
      <c r="C668" s="21" t="s">
        <v>327</v>
      </c>
      <c r="D668" s="21" t="s">
        <v>282</v>
      </c>
      <c r="E668" s="21" t="s">
        <v>541</v>
      </c>
      <c r="F668" s="21" t="s">
        <v>197</v>
      </c>
      <c r="G668" s="27">
        <f>15-15</f>
        <v>0</v>
      </c>
      <c r="H668" s="221"/>
    </row>
    <row r="669" spans="1:9" ht="15.75" x14ac:dyDescent="0.25">
      <c r="A669" s="26" t="s">
        <v>184</v>
      </c>
      <c r="B669" s="17">
        <v>906</v>
      </c>
      <c r="C669" s="21" t="s">
        <v>327</v>
      </c>
      <c r="D669" s="21" t="s">
        <v>282</v>
      </c>
      <c r="E669" s="21" t="s">
        <v>185</v>
      </c>
      <c r="F669" s="21"/>
      <c r="G669" s="27">
        <f>G670+G676</f>
        <v>19448.2</v>
      </c>
      <c r="H669" s="221"/>
    </row>
    <row r="670" spans="1:9" ht="31.5" x14ac:dyDescent="0.25">
      <c r="A670" s="26" t="s">
        <v>186</v>
      </c>
      <c r="B670" s="17">
        <v>906</v>
      </c>
      <c r="C670" s="21" t="s">
        <v>327</v>
      </c>
      <c r="D670" s="21" t="s">
        <v>282</v>
      </c>
      <c r="E670" s="21" t="s">
        <v>187</v>
      </c>
      <c r="F670" s="21"/>
      <c r="G670" s="27">
        <f t="shared" ref="G670" si="120">G671</f>
        <v>5522.0999999999995</v>
      </c>
      <c r="H670" s="221"/>
    </row>
    <row r="671" spans="1:9" ht="47.25" x14ac:dyDescent="0.25">
      <c r="A671" s="26" t="s">
        <v>188</v>
      </c>
      <c r="B671" s="17">
        <v>906</v>
      </c>
      <c r="C671" s="21" t="s">
        <v>327</v>
      </c>
      <c r="D671" s="21" t="s">
        <v>282</v>
      </c>
      <c r="E671" s="21" t="s">
        <v>189</v>
      </c>
      <c r="F671" s="21"/>
      <c r="G671" s="27">
        <f>G672+G674</f>
        <v>5522.0999999999995</v>
      </c>
      <c r="H671" s="221"/>
    </row>
    <row r="672" spans="1:9" ht="94.5" x14ac:dyDescent="0.25">
      <c r="A672" s="26" t="s">
        <v>190</v>
      </c>
      <c r="B672" s="17">
        <v>906</v>
      </c>
      <c r="C672" s="21" t="s">
        <v>327</v>
      </c>
      <c r="D672" s="21" t="s">
        <v>282</v>
      </c>
      <c r="E672" s="21" t="s">
        <v>189</v>
      </c>
      <c r="F672" s="21" t="s">
        <v>191</v>
      </c>
      <c r="G672" s="27">
        <f t="shared" ref="G672" si="121">G673</f>
        <v>5369.2</v>
      </c>
      <c r="H672" s="221"/>
    </row>
    <row r="673" spans="1:11" ht="31.5" x14ac:dyDescent="0.25">
      <c r="A673" s="26" t="s">
        <v>192</v>
      </c>
      <c r="B673" s="17">
        <v>906</v>
      </c>
      <c r="C673" s="21" t="s">
        <v>327</v>
      </c>
      <c r="D673" s="21" t="s">
        <v>282</v>
      </c>
      <c r="E673" s="21" t="s">
        <v>189</v>
      </c>
      <c r="F673" s="21" t="s">
        <v>193</v>
      </c>
      <c r="G673" s="28">
        <f>4975.7+5.8+26.5+361.2</f>
        <v>5369.2</v>
      </c>
      <c r="H673" s="193"/>
    </row>
    <row r="674" spans="1:11" ht="31.5" x14ac:dyDescent="0.25">
      <c r="A674" s="26" t="s">
        <v>194</v>
      </c>
      <c r="B674" s="17">
        <v>906</v>
      </c>
      <c r="C674" s="21" t="s">
        <v>327</v>
      </c>
      <c r="D674" s="21" t="s">
        <v>282</v>
      </c>
      <c r="E674" s="21" t="s">
        <v>189</v>
      </c>
      <c r="F674" s="21" t="s">
        <v>195</v>
      </c>
      <c r="G674" s="27">
        <f t="shared" ref="G674" si="122">G675</f>
        <v>152.89999999999998</v>
      </c>
      <c r="H674" s="221"/>
    </row>
    <row r="675" spans="1:11" ht="47.25" x14ac:dyDescent="0.25">
      <c r="A675" s="26" t="s">
        <v>196</v>
      </c>
      <c r="B675" s="17">
        <v>906</v>
      </c>
      <c r="C675" s="21" t="s">
        <v>327</v>
      </c>
      <c r="D675" s="21" t="s">
        <v>282</v>
      </c>
      <c r="E675" s="21" t="s">
        <v>189</v>
      </c>
      <c r="F675" s="21" t="s">
        <v>197</v>
      </c>
      <c r="G675" s="27">
        <f>163-5.8-4.3</f>
        <v>152.89999999999998</v>
      </c>
      <c r="H675" s="193" t="s">
        <v>929</v>
      </c>
    </row>
    <row r="676" spans="1:11" ht="15.75" x14ac:dyDescent="0.25">
      <c r="A676" s="26" t="s">
        <v>204</v>
      </c>
      <c r="B676" s="17">
        <v>906</v>
      </c>
      <c r="C676" s="21" t="s">
        <v>327</v>
      </c>
      <c r="D676" s="21" t="s">
        <v>282</v>
      </c>
      <c r="E676" s="21" t="s">
        <v>205</v>
      </c>
      <c r="F676" s="21"/>
      <c r="G676" s="27">
        <f>G680+G677</f>
        <v>13926.1</v>
      </c>
      <c r="H676" s="221"/>
    </row>
    <row r="677" spans="1:11" ht="15.75" x14ac:dyDescent="0.25">
      <c r="A677" s="26" t="s">
        <v>542</v>
      </c>
      <c r="B677" s="17">
        <v>906</v>
      </c>
      <c r="C677" s="21" t="s">
        <v>327</v>
      </c>
      <c r="D677" s="21" t="s">
        <v>282</v>
      </c>
      <c r="E677" s="21" t="s">
        <v>543</v>
      </c>
      <c r="F677" s="21"/>
      <c r="G677" s="27">
        <f>G678</f>
        <v>375</v>
      </c>
      <c r="H677" s="221"/>
    </row>
    <row r="678" spans="1:11" ht="31.5" x14ac:dyDescent="0.25">
      <c r="A678" s="26" t="s">
        <v>194</v>
      </c>
      <c r="B678" s="17">
        <v>906</v>
      </c>
      <c r="C678" s="21" t="s">
        <v>327</v>
      </c>
      <c r="D678" s="21" t="s">
        <v>282</v>
      </c>
      <c r="E678" s="21" t="s">
        <v>543</v>
      </c>
      <c r="F678" s="21" t="s">
        <v>195</v>
      </c>
      <c r="G678" s="27">
        <f>G679</f>
        <v>375</v>
      </c>
      <c r="H678" s="221"/>
    </row>
    <row r="679" spans="1:11" ht="47.25" x14ac:dyDescent="0.25">
      <c r="A679" s="26" t="s">
        <v>196</v>
      </c>
      <c r="B679" s="17">
        <v>906</v>
      </c>
      <c r="C679" s="21" t="s">
        <v>327</v>
      </c>
      <c r="D679" s="21" t="s">
        <v>282</v>
      </c>
      <c r="E679" s="21" t="s">
        <v>543</v>
      </c>
      <c r="F679" s="21" t="s">
        <v>197</v>
      </c>
      <c r="G679" s="27">
        <f>206.3+143.7+25</f>
        <v>375</v>
      </c>
      <c r="H679" s="193"/>
      <c r="I679" s="141"/>
    </row>
    <row r="680" spans="1:11" ht="31.5" x14ac:dyDescent="0.25">
      <c r="A680" s="26" t="s">
        <v>403</v>
      </c>
      <c r="B680" s="17">
        <v>906</v>
      </c>
      <c r="C680" s="21" t="s">
        <v>327</v>
      </c>
      <c r="D680" s="21" t="s">
        <v>282</v>
      </c>
      <c r="E680" s="21" t="s">
        <v>404</v>
      </c>
      <c r="F680" s="21"/>
      <c r="G680" s="27">
        <f>G681+G683+G685</f>
        <v>13551.1</v>
      </c>
      <c r="H680" s="221"/>
      <c r="J680" s="247"/>
      <c r="K680" s="247"/>
    </row>
    <row r="681" spans="1:11" ht="94.5" x14ac:dyDescent="0.25">
      <c r="A681" s="26" t="s">
        <v>190</v>
      </c>
      <c r="B681" s="17">
        <v>906</v>
      </c>
      <c r="C681" s="21" t="s">
        <v>327</v>
      </c>
      <c r="D681" s="21" t="s">
        <v>282</v>
      </c>
      <c r="E681" s="21" t="s">
        <v>404</v>
      </c>
      <c r="F681" s="21" t="s">
        <v>191</v>
      </c>
      <c r="G681" s="27">
        <f>G682</f>
        <v>12024.2</v>
      </c>
      <c r="H681" s="221"/>
      <c r="J681" s="247"/>
      <c r="K681" s="247"/>
    </row>
    <row r="682" spans="1:11" ht="31.5" x14ac:dyDescent="0.25">
      <c r="A682" s="26" t="s">
        <v>405</v>
      </c>
      <c r="B682" s="17">
        <v>906</v>
      </c>
      <c r="C682" s="21" t="s">
        <v>327</v>
      </c>
      <c r="D682" s="21" t="s">
        <v>282</v>
      </c>
      <c r="E682" s="21" t="s">
        <v>404</v>
      </c>
      <c r="F682" s="21" t="s">
        <v>272</v>
      </c>
      <c r="G682" s="28">
        <f>11988.7-469.4+38-0.8+257.9+209.8</f>
        <v>12024.2</v>
      </c>
      <c r="H682" s="132" t="s">
        <v>942</v>
      </c>
      <c r="I682" s="152"/>
      <c r="J682" s="247"/>
      <c r="K682" s="247"/>
    </row>
    <row r="683" spans="1:11" ht="31.5" x14ac:dyDescent="0.25">
      <c r="A683" s="26" t="s">
        <v>194</v>
      </c>
      <c r="B683" s="17">
        <v>906</v>
      </c>
      <c r="C683" s="21" t="s">
        <v>327</v>
      </c>
      <c r="D683" s="21" t="s">
        <v>282</v>
      </c>
      <c r="E683" s="21" t="s">
        <v>404</v>
      </c>
      <c r="F683" s="21" t="s">
        <v>195</v>
      </c>
      <c r="G683" s="27">
        <f>G684</f>
        <v>1518.6</v>
      </c>
      <c r="H683" s="221"/>
      <c r="J683" s="247"/>
      <c r="K683" s="247"/>
    </row>
    <row r="684" spans="1:11" ht="47.25" x14ac:dyDescent="0.25">
      <c r="A684" s="26" t="s">
        <v>196</v>
      </c>
      <c r="B684" s="17">
        <v>906</v>
      </c>
      <c r="C684" s="21" t="s">
        <v>327</v>
      </c>
      <c r="D684" s="21" t="s">
        <v>282</v>
      </c>
      <c r="E684" s="21" t="s">
        <v>404</v>
      </c>
      <c r="F684" s="21" t="s">
        <v>197</v>
      </c>
      <c r="G684" s="27">
        <f>1416.8-152.7-1+252.5+3</f>
        <v>1518.6</v>
      </c>
      <c r="H684" s="132" t="s">
        <v>928</v>
      </c>
      <c r="I684" s="152"/>
      <c r="J684" s="247"/>
      <c r="K684" s="247"/>
    </row>
    <row r="685" spans="1:11" ht="15.75" x14ac:dyDescent="0.25">
      <c r="A685" s="26" t="s">
        <v>198</v>
      </c>
      <c r="B685" s="17">
        <v>906</v>
      </c>
      <c r="C685" s="21" t="s">
        <v>327</v>
      </c>
      <c r="D685" s="21" t="s">
        <v>282</v>
      </c>
      <c r="E685" s="21" t="s">
        <v>404</v>
      </c>
      <c r="F685" s="21" t="s">
        <v>208</v>
      </c>
      <c r="G685" s="27">
        <f>G686</f>
        <v>8.3000000000000007</v>
      </c>
      <c r="H685" s="221"/>
      <c r="J685" s="247"/>
      <c r="K685" s="247"/>
    </row>
    <row r="686" spans="1:11" ht="15.75" x14ac:dyDescent="0.25">
      <c r="A686" s="26" t="s">
        <v>633</v>
      </c>
      <c r="B686" s="17">
        <v>906</v>
      </c>
      <c r="C686" s="21" t="s">
        <v>327</v>
      </c>
      <c r="D686" s="21" t="s">
        <v>282</v>
      </c>
      <c r="E686" s="21" t="s">
        <v>404</v>
      </c>
      <c r="F686" s="21" t="s">
        <v>201</v>
      </c>
      <c r="G686" s="27">
        <f>7-1.8+1+0.8+1.3</f>
        <v>8.3000000000000007</v>
      </c>
      <c r="H686" s="132" t="s">
        <v>930</v>
      </c>
      <c r="I686" s="152"/>
      <c r="J686" s="247"/>
      <c r="K686" s="247"/>
    </row>
    <row r="687" spans="1:11" ht="47.25" x14ac:dyDescent="0.25">
      <c r="A687" s="20" t="s">
        <v>544</v>
      </c>
      <c r="B687" s="20">
        <v>907</v>
      </c>
      <c r="C687" s="21"/>
      <c r="D687" s="21"/>
      <c r="E687" s="21"/>
      <c r="F687" s="21"/>
      <c r="G687" s="22">
        <f t="shared" ref="G687" si="123">G688+G718</f>
        <v>46212.5</v>
      </c>
      <c r="H687" s="221"/>
    </row>
    <row r="688" spans="1:11" ht="15.75" x14ac:dyDescent="0.25">
      <c r="A688" s="24" t="s">
        <v>326</v>
      </c>
      <c r="B688" s="20">
        <v>907</v>
      </c>
      <c r="C688" s="25" t="s">
        <v>532</v>
      </c>
      <c r="D688" s="25"/>
      <c r="E688" s="25"/>
      <c r="F688" s="25"/>
      <c r="G688" s="22">
        <f>G689</f>
        <v>11339.5</v>
      </c>
      <c r="H688" s="221"/>
    </row>
    <row r="689" spans="1:10" ht="15.75" x14ac:dyDescent="0.25">
      <c r="A689" s="24" t="s">
        <v>328</v>
      </c>
      <c r="B689" s="20">
        <v>907</v>
      </c>
      <c r="C689" s="25" t="s">
        <v>327</v>
      </c>
      <c r="D689" s="25" t="s">
        <v>278</v>
      </c>
      <c r="E689" s="25"/>
      <c r="F689" s="25"/>
      <c r="G689" s="22">
        <f t="shared" ref="G689" si="124">G690+G707</f>
        <v>11339.5</v>
      </c>
      <c r="H689" s="221"/>
      <c r="J689" s="142"/>
    </row>
    <row r="690" spans="1:10" ht="47.25" x14ac:dyDescent="0.25">
      <c r="A690" s="26" t="s">
        <v>545</v>
      </c>
      <c r="B690" s="17">
        <v>907</v>
      </c>
      <c r="C690" s="21" t="s">
        <v>327</v>
      </c>
      <c r="D690" s="21" t="s">
        <v>278</v>
      </c>
      <c r="E690" s="21" t="s">
        <v>546</v>
      </c>
      <c r="F690" s="21"/>
      <c r="G690" s="27">
        <f>G691</f>
        <v>10705.5</v>
      </c>
      <c r="H690" s="221"/>
    </row>
    <row r="691" spans="1:10" ht="47.25" x14ac:dyDescent="0.25">
      <c r="A691" s="26" t="s">
        <v>547</v>
      </c>
      <c r="B691" s="17">
        <v>907</v>
      </c>
      <c r="C691" s="21" t="s">
        <v>327</v>
      </c>
      <c r="D691" s="21" t="s">
        <v>278</v>
      </c>
      <c r="E691" s="21" t="s">
        <v>548</v>
      </c>
      <c r="F691" s="21"/>
      <c r="G691" s="27">
        <f t="shared" ref="G691" si="125">G692+G695+G698+G704+G701</f>
        <v>10705.5</v>
      </c>
      <c r="H691" s="221"/>
    </row>
    <row r="692" spans="1:10" ht="47.25" x14ac:dyDescent="0.25">
      <c r="A692" s="26" t="s">
        <v>333</v>
      </c>
      <c r="B692" s="17">
        <v>907</v>
      </c>
      <c r="C692" s="21" t="s">
        <v>327</v>
      </c>
      <c r="D692" s="21" t="s">
        <v>278</v>
      </c>
      <c r="E692" s="21" t="s">
        <v>549</v>
      </c>
      <c r="F692" s="21"/>
      <c r="G692" s="27">
        <f>G693</f>
        <v>10669.5</v>
      </c>
      <c r="H692" s="221"/>
    </row>
    <row r="693" spans="1:10" ht="47.25" x14ac:dyDescent="0.25">
      <c r="A693" s="26" t="s">
        <v>335</v>
      </c>
      <c r="B693" s="17">
        <v>907</v>
      </c>
      <c r="C693" s="21" t="s">
        <v>327</v>
      </c>
      <c r="D693" s="21" t="s">
        <v>278</v>
      </c>
      <c r="E693" s="21" t="s">
        <v>549</v>
      </c>
      <c r="F693" s="21" t="s">
        <v>336</v>
      </c>
      <c r="G693" s="27">
        <f t="shared" ref="G693" si="126">G694</f>
        <v>10669.5</v>
      </c>
      <c r="H693" s="221"/>
    </row>
    <row r="694" spans="1:10" ht="15.75" x14ac:dyDescent="0.25">
      <c r="A694" s="26" t="s">
        <v>337</v>
      </c>
      <c r="B694" s="17">
        <v>907</v>
      </c>
      <c r="C694" s="21" t="s">
        <v>327</v>
      </c>
      <c r="D694" s="21" t="s">
        <v>278</v>
      </c>
      <c r="E694" s="21" t="s">
        <v>549</v>
      </c>
      <c r="F694" s="21" t="s">
        <v>338</v>
      </c>
      <c r="G694" s="28">
        <f>10500+753.9-531.9-52.5</f>
        <v>10669.5</v>
      </c>
      <c r="H694" s="132"/>
      <c r="I694" s="153"/>
    </row>
    <row r="695" spans="1:10" ht="47.25" hidden="1" x14ac:dyDescent="0.25">
      <c r="A695" s="26" t="s">
        <v>341</v>
      </c>
      <c r="B695" s="17">
        <v>907</v>
      </c>
      <c r="C695" s="21" t="s">
        <v>327</v>
      </c>
      <c r="D695" s="21" t="s">
        <v>276</v>
      </c>
      <c r="E695" s="21" t="s">
        <v>550</v>
      </c>
      <c r="F695" s="21"/>
      <c r="G695" s="27">
        <f t="shared" ref="G695:G696" si="127">G696</f>
        <v>0</v>
      </c>
      <c r="H695" s="221"/>
    </row>
    <row r="696" spans="1:10" ht="47.25" hidden="1" x14ac:dyDescent="0.25">
      <c r="A696" s="26" t="s">
        <v>335</v>
      </c>
      <c r="B696" s="17">
        <v>907</v>
      </c>
      <c r="C696" s="21" t="s">
        <v>327</v>
      </c>
      <c r="D696" s="21" t="s">
        <v>276</v>
      </c>
      <c r="E696" s="21" t="s">
        <v>550</v>
      </c>
      <c r="F696" s="21" t="s">
        <v>336</v>
      </c>
      <c r="G696" s="27">
        <f t="shared" si="127"/>
        <v>0</v>
      </c>
      <c r="H696" s="221"/>
    </row>
    <row r="697" spans="1:10" ht="15.75" hidden="1" x14ac:dyDescent="0.25">
      <c r="A697" s="26" t="s">
        <v>337</v>
      </c>
      <c r="B697" s="17">
        <v>907</v>
      </c>
      <c r="C697" s="21" t="s">
        <v>327</v>
      </c>
      <c r="D697" s="21" t="s">
        <v>276</v>
      </c>
      <c r="E697" s="21" t="s">
        <v>550</v>
      </c>
      <c r="F697" s="21" t="s">
        <v>338</v>
      </c>
      <c r="G697" s="27">
        <v>0</v>
      </c>
      <c r="H697" s="221"/>
    </row>
    <row r="698" spans="1:10" ht="31.5" hidden="1" x14ac:dyDescent="0.25">
      <c r="A698" s="26" t="s">
        <v>343</v>
      </c>
      <c r="B698" s="17">
        <v>907</v>
      </c>
      <c r="C698" s="21" t="s">
        <v>327</v>
      </c>
      <c r="D698" s="21" t="s">
        <v>276</v>
      </c>
      <c r="E698" s="21" t="s">
        <v>551</v>
      </c>
      <c r="F698" s="21"/>
      <c r="G698" s="27">
        <f t="shared" ref="G698:G699" si="128">G699</f>
        <v>0</v>
      </c>
      <c r="H698" s="221"/>
    </row>
    <row r="699" spans="1:10" ht="47.25" hidden="1" x14ac:dyDescent="0.25">
      <c r="A699" s="26" t="s">
        <v>335</v>
      </c>
      <c r="B699" s="17">
        <v>907</v>
      </c>
      <c r="C699" s="21" t="s">
        <v>327</v>
      </c>
      <c r="D699" s="21" t="s">
        <v>276</v>
      </c>
      <c r="E699" s="21" t="s">
        <v>551</v>
      </c>
      <c r="F699" s="21" t="s">
        <v>336</v>
      </c>
      <c r="G699" s="27">
        <f t="shared" si="128"/>
        <v>0</v>
      </c>
      <c r="H699" s="221"/>
    </row>
    <row r="700" spans="1:10" ht="15.75" hidden="1" x14ac:dyDescent="0.25">
      <c r="A700" s="26" t="s">
        <v>337</v>
      </c>
      <c r="B700" s="17">
        <v>907</v>
      </c>
      <c r="C700" s="21" t="s">
        <v>327</v>
      </c>
      <c r="D700" s="21" t="s">
        <v>276</v>
      </c>
      <c r="E700" s="21" t="s">
        <v>551</v>
      </c>
      <c r="F700" s="21" t="s">
        <v>338</v>
      </c>
      <c r="G700" s="27">
        <v>0</v>
      </c>
      <c r="H700" s="221"/>
    </row>
    <row r="701" spans="1:10" ht="47.25" x14ac:dyDescent="0.25">
      <c r="A701" s="26" t="s">
        <v>345</v>
      </c>
      <c r="B701" s="17">
        <v>907</v>
      </c>
      <c r="C701" s="21" t="s">
        <v>327</v>
      </c>
      <c r="D701" s="21" t="s">
        <v>278</v>
      </c>
      <c r="E701" s="21" t="s">
        <v>552</v>
      </c>
      <c r="F701" s="21"/>
      <c r="G701" s="27">
        <f t="shared" ref="G701" si="129">G702</f>
        <v>36</v>
      </c>
      <c r="H701" s="221"/>
    </row>
    <row r="702" spans="1:10" ht="47.25" x14ac:dyDescent="0.25">
      <c r="A702" s="26" t="s">
        <v>335</v>
      </c>
      <c r="B702" s="17">
        <v>907</v>
      </c>
      <c r="C702" s="21" t="s">
        <v>327</v>
      </c>
      <c r="D702" s="21" t="s">
        <v>278</v>
      </c>
      <c r="E702" s="21" t="s">
        <v>552</v>
      </c>
      <c r="F702" s="21" t="s">
        <v>336</v>
      </c>
      <c r="G702" s="27">
        <f>G703</f>
        <v>36</v>
      </c>
      <c r="H702" s="221"/>
    </row>
    <row r="703" spans="1:10" ht="15.75" x14ac:dyDescent="0.25">
      <c r="A703" s="26" t="s">
        <v>337</v>
      </c>
      <c r="B703" s="17">
        <v>907</v>
      </c>
      <c r="C703" s="21" t="s">
        <v>327</v>
      </c>
      <c r="D703" s="21" t="s">
        <v>278</v>
      </c>
      <c r="E703" s="21" t="s">
        <v>552</v>
      </c>
      <c r="F703" s="21" t="s">
        <v>338</v>
      </c>
      <c r="G703" s="27">
        <v>36</v>
      </c>
      <c r="H703" s="221"/>
    </row>
    <row r="704" spans="1:10" ht="31.5" hidden="1" x14ac:dyDescent="0.25">
      <c r="A704" s="26" t="s">
        <v>347</v>
      </c>
      <c r="B704" s="17">
        <v>907</v>
      </c>
      <c r="C704" s="21" t="s">
        <v>327</v>
      </c>
      <c r="D704" s="21" t="s">
        <v>276</v>
      </c>
      <c r="E704" s="21" t="s">
        <v>553</v>
      </c>
      <c r="F704" s="21"/>
      <c r="G704" s="27">
        <f t="shared" ref="G704:G705" si="130">G705</f>
        <v>0</v>
      </c>
      <c r="H704" s="221"/>
    </row>
    <row r="705" spans="1:10" ht="47.25" hidden="1" x14ac:dyDescent="0.25">
      <c r="A705" s="26" t="s">
        <v>335</v>
      </c>
      <c r="B705" s="17">
        <v>907</v>
      </c>
      <c r="C705" s="21" t="s">
        <v>327</v>
      </c>
      <c r="D705" s="21" t="s">
        <v>276</v>
      </c>
      <c r="E705" s="21" t="s">
        <v>553</v>
      </c>
      <c r="F705" s="21" t="s">
        <v>336</v>
      </c>
      <c r="G705" s="27">
        <f t="shared" si="130"/>
        <v>0</v>
      </c>
      <c r="H705" s="221"/>
    </row>
    <row r="706" spans="1:10" ht="15.75" hidden="1" x14ac:dyDescent="0.25">
      <c r="A706" s="26" t="s">
        <v>337</v>
      </c>
      <c r="B706" s="17">
        <v>907</v>
      </c>
      <c r="C706" s="21" t="s">
        <v>327</v>
      </c>
      <c r="D706" s="21" t="s">
        <v>276</v>
      </c>
      <c r="E706" s="21" t="s">
        <v>553</v>
      </c>
      <c r="F706" s="21" t="s">
        <v>338</v>
      </c>
      <c r="G706" s="27">
        <v>0</v>
      </c>
      <c r="H706" s="221"/>
    </row>
    <row r="707" spans="1:10" ht="15.75" x14ac:dyDescent="0.25">
      <c r="A707" s="26" t="s">
        <v>184</v>
      </c>
      <c r="B707" s="17">
        <v>907</v>
      </c>
      <c r="C707" s="21" t="s">
        <v>327</v>
      </c>
      <c r="D707" s="21" t="s">
        <v>278</v>
      </c>
      <c r="E707" s="21" t="s">
        <v>185</v>
      </c>
      <c r="F707" s="21"/>
      <c r="G707" s="27">
        <f>G708</f>
        <v>634</v>
      </c>
      <c r="H707" s="221"/>
    </row>
    <row r="708" spans="1:10" ht="31.5" x14ac:dyDescent="0.25">
      <c r="A708" s="26" t="s">
        <v>248</v>
      </c>
      <c r="B708" s="17">
        <v>907</v>
      </c>
      <c r="C708" s="21" t="s">
        <v>327</v>
      </c>
      <c r="D708" s="21" t="s">
        <v>278</v>
      </c>
      <c r="E708" s="21" t="s">
        <v>249</v>
      </c>
      <c r="F708" s="21"/>
      <c r="G708" s="27">
        <f>G709+G712+G715</f>
        <v>634</v>
      </c>
      <c r="H708" s="221"/>
    </row>
    <row r="709" spans="1:10" ht="63" x14ac:dyDescent="0.25">
      <c r="A709" s="33" t="s">
        <v>352</v>
      </c>
      <c r="B709" s="17">
        <v>907</v>
      </c>
      <c r="C709" s="21" t="s">
        <v>327</v>
      </c>
      <c r="D709" s="21" t="s">
        <v>278</v>
      </c>
      <c r="E709" s="21" t="s">
        <v>353</v>
      </c>
      <c r="F709" s="21"/>
      <c r="G709" s="27">
        <f>G710</f>
        <v>0</v>
      </c>
      <c r="H709" s="221"/>
    </row>
    <row r="710" spans="1:10" ht="47.25" x14ac:dyDescent="0.25">
      <c r="A710" s="26" t="s">
        <v>335</v>
      </c>
      <c r="B710" s="17">
        <v>907</v>
      </c>
      <c r="C710" s="21" t="s">
        <v>327</v>
      </c>
      <c r="D710" s="21" t="s">
        <v>278</v>
      </c>
      <c r="E710" s="21" t="s">
        <v>353</v>
      </c>
      <c r="F710" s="21" t="s">
        <v>336</v>
      </c>
      <c r="G710" s="27">
        <f t="shared" ref="G710" si="131">G711</f>
        <v>0</v>
      </c>
      <c r="H710" s="221"/>
    </row>
    <row r="711" spans="1:10" ht="15.75" x14ac:dyDescent="0.25">
      <c r="A711" s="26" t="s">
        <v>337</v>
      </c>
      <c r="B711" s="17">
        <v>907</v>
      </c>
      <c r="C711" s="21" t="s">
        <v>327</v>
      </c>
      <c r="D711" s="21" t="s">
        <v>278</v>
      </c>
      <c r="E711" s="21" t="s">
        <v>353</v>
      </c>
      <c r="F711" s="21" t="s">
        <v>338</v>
      </c>
      <c r="G711" s="27">
        <f>50-50</f>
        <v>0</v>
      </c>
      <c r="H711" s="221" t="s">
        <v>921</v>
      </c>
    </row>
    <row r="712" spans="1:10" ht="78.75" x14ac:dyDescent="0.25">
      <c r="A712" s="33" t="s">
        <v>354</v>
      </c>
      <c r="B712" s="17">
        <v>907</v>
      </c>
      <c r="C712" s="21" t="s">
        <v>327</v>
      </c>
      <c r="D712" s="21" t="s">
        <v>278</v>
      </c>
      <c r="E712" s="21" t="s">
        <v>355</v>
      </c>
      <c r="F712" s="21"/>
      <c r="G712" s="27">
        <f t="shared" ref="G712:G716" si="132">G713</f>
        <v>204.20000000000002</v>
      </c>
      <c r="H712" s="221"/>
    </row>
    <row r="713" spans="1:10" ht="47.25" x14ac:dyDescent="0.25">
      <c r="A713" s="26" t="s">
        <v>335</v>
      </c>
      <c r="B713" s="17">
        <v>907</v>
      </c>
      <c r="C713" s="21" t="s">
        <v>327</v>
      </c>
      <c r="D713" s="21" t="s">
        <v>278</v>
      </c>
      <c r="E713" s="21" t="s">
        <v>355</v>
      </c>
      <c r="F713" s="21" t="s">
        <v>336</v>
      </c>
      <c r="G713" s="27">
        <f>G714</f>
        <v>204.20000000000002</v>
      </c>
      <c r="H713" s="221"/>
    </row>
    <row r="714" spans="1:10" ht="15.75" x14ac:dyDescent="0.25">
      <c r="A714" s="26" t="s">
        <v>337</v>
      </c>
      <c r="B714" s="17">
        <v>907</v>
      </c>
      <c r="C714" s="21" t="s">
        <v>327</v>
      </c>
      <c r="D714" s="21" t="s">
        <v>278</v>
      </c>
      <c r="E714" s="21" t="s">
        <v>355</v>
      </c>
      <c r="F714" s="21" t="s">
        <v>338</v>
      </c>
      <c r="G714" s="27">
        <f>200-2.7+6.9</f>
        <v>204.20000000000002</v>
      </c>
      <c r="H714" s="221"/>
      <c r="I714" s="141"/>
      <c r="J714" s="142"/>
    </row>
    <row r="715" spans="1:10" ht="110.25" x14ac:dyDescent="0.25">
      <c r="A715" s="33" t="s">
        <v>528</v>
      </c>
      <c r="B715" s="17">
        <v>907</v>
      </c>
      <c r="C715" s="21" t="s">
        <v>327</v>
      </c>
      <c r="D715" s="21" t="s">
        <v>278</v>
      </c>
      <c r="E715" s="21" t="s">
        <v>357</v>
      </c>
      <c r="F715" s="21"/>
      <c r="G715" s="27">
        <f>G716</f>
        <v>429.8</v>
      </c>
      <c r="H715" s="221"/>
    </row>
    <row r="716" spans="1:10" ht="47.25" x14ac:dyDescent="0.25">
      <c r="A716" s="26" t="s">
        <v>335</v>
      </c>
      <c r="B716" s="17">
        <v>907</v>
      </c>
      <c r="C716" s="21" t="s">
        <v>327</v>
      </c>
      <c r="D716" s="21" t="s">
        <v>278</v>
      </c>
      <c r="E716" s="21" t="s">
        <v>357</v>
      </c>
      <c r="F716" s="21" t="s">
        <v>336</v>
      </c>
      <c r="G716" s="27">
        <f t="shared" si="132"/>
        <v>429.8</v>
      </c>
      <c r="H716" s="221"/>
    </row>
    <row r="717" spans="1:10" ht="15.75" x14ac:dyDescent="0.25">
      <c r="A717" s="26" t="s">
        <v>337</v>
      </c>
      <c r="B717" s="17">
        <v>907</v>
      </c>
      <c r="C717" s="21" t="s">
        <v>327</v>
      </c>
      <c r="D717" s="21" t="s">
        <v>278</v>
      </c>
      <c r="E717" s="21" t="s">
        <v>357</v>
      </c>
      <c r="F717" s="21" t="s">
        <v>338</v>
      </c>
      <c r="G717" s="27">
        <f>500-20.2-50</f>
        <v>429.8</v>
      </c>
      <c r="H717" s="221" t="s">
        <v>921</v>
      </c>
      <c r="I717" s="141"/>
    </row>
    <row r="718" spans="1:10" ht="15.75" x14ac:dyDescent="0.25">
      <c r="A718" s="24" t="s">
        <v>554</v>
      </c>
      <c r="B718" s="20">
        <v>907</v>
      </c>
      <c r="C718" s="25" t="s">
        <v>555</v>
      </c>
      <c r="D718" s="21"/>
      <c r="E718" s="21"/>
      <c r="F718" s="21"/>
      <c r="G718" s="22">
        <f t="shared" ref="G718" si="133">G719+G739</f>
        <v>34873</v>
      </c>
      <c r="H718" s="221"/>
    </row>
    <row r="719" spans="1:10" ht="15.75" x14ac:dyDescent="0.25">
      <c r="A719" s="24" t="s">
        <v>556</v>
      </c>
      <c r="B719" s="20">
        <v>907</v>
      </c>
      <c r="C719" s="25" t="s">
        <v>555</v>
      </c>
      <c r="D719" s="25" t="s">
        <v>181</v>
      </c>
      <c r="E719" s="21"/>
      <c r="F719" s="21"/>
      <c r="G719" s="22">
        <f>G720+G735</f>
        <v>23494.200000000004</v>
      </c>
      <c r="H719" s="221"/>
    </row>
    <row r="720" spans="1:10" ht="47.25" x14ac:dyDescent="0.25">
      <c r="A720" s="26" t="s">
        <v>545</v>
      </c>
      <c r="B720" s="17">
        <v>907</v>
      </c>
      <c r="C720" s="21" t="s">
        <v>555</v>
      </c>
      <c r="D720" s="21" t="s">
        <v>181</v>
      </c>
      <c r="E720" s="21" t="s">
        <v>546</v>
      </c>
      <c r="F720" s="21"/>
      <c r="G720" s="27">
        <f>G721</f>
        <v>22994.200000000004</v>
      </c>
      <c r="H720" s="221"/>
    </row>
    <row r="721" spans="1:10" ht="47.25" x14ac:dyDescent="0.25">
      <c r="A721" s="26" t="s">
        <v>557</v>
      </c>
      <c r="B721" s="17">
        <v>907</v>
      </c>
      <c r="C721" s="21" t="s">
        <v>555</v>
      </c>
      <c r="D721" s="21" t="s">
        <v>181</v>
      </c>
      <c r="E721" s="21" t="s">
        <v>558</v>
      </c>
      <c r="F721" s="21"/>
      <c r="G721" s="27">
        <f>G722+G725+G728+G731</f>
        <v>22994.200000000004</v>
      </c>
      <c r="H721" s="221"/>
    </row>
    <row r="722" spans="1:10" ht="47.25" x14ac:dyDescent="0.25">
      <c r="A722" s="26" t="s">
        <v>559</v>
      </c>
      <c r="B722" s="17">
        <v>907</v>
      </c>
      <c r="C722" s="21" t="s">
        <v>555</v>
      </c>
      <c r="D722" s="21" t="s">
        <v>181</v>
      </c>
      <c r="E722" s="21" t="s">
        <v>560</v>
      </c>
      <c r="F722" s="21"/>
      <c r="G722" s="27">
        <f>G723</f>
        <v>22696.700000000004</v>
      </c>
      <c r="H722" s="221"/>
    </row>
    <row r="723" spans="1:10" ht="47.25" x14ac:dyDescent="0.25">
      <c r="A723" s="26" t="s">
        <v>335</v>
      </c>
      <c r="B723" s="17">
        <v>907</v>
      </c>
      <c r="C723" s="21" t="s">
        <v>555</v>
      </c>
      <c r="D723" s="21" t="s">
        <v>181</v>
      </c>
      <c r="E723" s="21" t="s">
        <v>560</v>
      </c>
      <c r="F723" s="21" t="s">
        <v>336</v>
      </c>
      <c r="G723" s="27">
        <f t="shared" ref="G723" si="134">G724</f>
        <v>22696.700000000004</v>
      </c>
      <c r="H723" s="221"/>
    </row>
    <row r="724" spans="1:10" ht="15.75" x14ac:dyDescent="0.25">
      <c r="A724" s="26" t="s">
        <v>337</v>
      </c>
      <c r="B724" s="17">
        <v>907</v>
      </c>
      <c r="C724" s="21" t="s">
        <v>555</v>
      </c>
      <c r="D724" s="21" t="s">
        <v>181</v>
      </c>
      <c r="E724" s="21" t="s">
        <v>560</v>
      </c>
      <c r="F724" s="21" t="s">
        <v>338</v>
      </c>
      <c r="G724" s="28">
        <f>10890+1490.1+9887.3-199+308+231-216.6+49+256.9</f>
        <v>22696.700000000004</v>
      </c>
      <c r="H724" s="132"/>
      <c r="I724" s="153"/>
      <c r="J724" s="134"/>
    </row>
    <row r="725" spans="1:10" ht="47.25" x14ac:dyDescent="0.25">
      <c r="A725" s="26" t="s">
        <v>341</v>
      </c>
      <c r="B725" s="17">
        <v>907</v>
      </c>
      <c r="C725" s="21" t="s">
        <v>555</v>
      </c>
      <c r="D725" s="21" t="s">
        <v>181</v>
      </c>
      <c r="E725" s="21" t="s">
        <v>561</v>
      </c>
      <c r="F725" s="21"/>
      <c r="G725" s="27">
        <f t="shared" ref="G725:G726" si="135">G726</f>
        <v>297.5</v>
      </c>
      <c r="H725" s="221"/>
    </row>
    <row r="726" spans="1:10" ht="47.25" x14ac:dyDescent="0.25">
      <c r="A726" s="26" t="s">
        <v>335</v>
      </c>
      <c r="B726" s="17">
        <v>907</v>
      </c>
      <c r="C726" s="21" t="s">
        <v>555</v>
      </c>
      <c r="D726" s="21" t="s">
        <v>181</v>
      </c>
      <c r="E726" s="21" t="s">
        <v>561</v>
      </c>
      <c r="F726" s="21" t="s">
        <v>336</v>
      </c>
      <c r="G726" s="27">
        <f t="shared" si="135"/>
        <v>297.5</v>
      </c>
      <c r="H726" s="221"/>
    </row>
    <row r="727" spans="1:10" ht="15.75" x14ac:dyDescent="0.25">
      <c r="A727" s="26" t="s">
        <v>337</v>
      </c>
      <c r="B727" s="17">
        <v>907</v>
      </c>
      <c r="C727" s="21" t="s">
        <v>555</v>
      </c>
      <c r="D727" s="21" t="s">
        <v>181</v>
      </c>
      <c r="E727" s="21" t="s">
        <v>561</v>
      </c>
      <c r="F727" s="21" t="s">
        <v>338</v>
      </c>
      <c r="G727" s="27">
        <f>797.5-500</f>
        <v>297.5</v>
      </c>
      <c r="H727" s="193"/>
    </row>
    <row r="728" spans="1:10" ht="31.5" hidden="1" x14ac:dyDescent="0.25">
      <c r="A728" s="26" t="s">
        <v>343</v>
      </c>
      <c r="B728" s="17">
        <v>907</v>
      </c>
      <c r="C728" s="21" t="s">
        <v>555</v>
      </c>
      <c r="D728" s="21" t="s">
        <v>181</v>
      </c>
      <c r="E728" s="21" t="s">
        <v>562</v>
      </c>
      <c r="F728" s="21"/>
      <c r="G728" s="27">
        <f t="shared" ref="G728:G729" si="136">G729</f>
        <v>0</v>
      </c>
      <c r="H728" s="221"/>
    </row>
    <row r="729" spans="1:10" ht="47.25" hidden="1" x14ac:dyDescent="0.25">
      <c r="A729" s="26" t="s">
        <v>335</v>
      </c>
      <c r="B729" s="17">
        <v>907</v>
      </c>
      <c r="C729" s="21" t="s">
        <v>555</v>
      </c>
      <c r="D729" s="21" t="s">
        <v>181</v>
      </c>
      <c r="E729" s="21" t="s">
        <v>562</v>
      </c>
      <c r="F729" s="21" t="s">
        <v>336</v>
      </c>
      <c r="G729" s="27">
        <f t="shared" si="136"/>
        <v>0</v>
      </c>
      <c r="H729" s="221"/>
    </row>
    <row r="730" spans="1:10" ht="15.75" hidden="1" x14ac:dyDescent="0.25">
      <c r="A730" s="26" t="s">
        <v>337</v>
      </c>
      <c r="B730" s="17">
        <v>907</v>
      </c>
      <c r="C730" s="21" t="s">
        <v>555</v>
      </c>
      <c r="D730" s="21" t="s">
        <v>181</v>
      </c>
      <c r="E730" s="21" t="s">
        <v>562</v>
      </c>
      <c r="F730" s="21" t="s">
        <v>338</v>
      </c>
      <c r="G730" s="27">
        <v>0</v>
      </c>
      <c r="H730" s="221"/>
    </row>
    <row r="731" spans="1:10" ht="31.5" hidden="1" x14ac:dyDescent="0.25">
      <c r="A731" s="26" t="s">
        <v>347</v>
      </c>
      <c r="B731" s="17">
        <v>907</v>
      </c>
      <c r="C731" s="21" t="s">
        <v>555</v>
      </c>
      <c r="D731" s="21" t="s">
        <v>181</v>
      </c>
      <c r="E731" s="21" t="s">
        <v>563</v>
      </c>
      <c r="F731" s="21"/>
      <c r="G731" s="27">
        <f t="shared" ref="G731:G732" si="137">G732</f>
        <v>0</v>
      </c>
      <c r="H731" s="221"/>
    </row>
    <row r="732" spans="1:10" ht="47.25" hidden="1" x14ac:dyDescent="0.25">
      <c r="A732" s="26" t="s">
        <v>335</v>
      </c>
      <c r="B732" s="17">
        <v>907</v>
      </c>
      <c r="C732" s="21" t="s">
        <v>555</v>
      </c>
      <c r="D732" s="21" t="s">
        <v>181</v>
      </c>
      <c r="E732" s="21" t="s">
        <v>563</v>
      </c>
      <c r="F732" s="21" t="s">
        <v>336</v>
      </c>
      <c r="G732" s="27">
        <f t="shared" si="137"/>
        <v>0</v>
      </c>
      <c r="H732" s="221"/>
    </row>
    <row r="733" spans="1:10" ht="15.75" hidden="1" x14ac:dyDescent="0.25">
      <c r="A733" s="26" t="s">
        <v>337</v>
      </c>
      <c r="B733" s="17">
        <v>907</v>
      </c>
      <c r="C733" s="21" t="s">
        <v>555</v>
      </c>
      <c r="D733" s="21" t="s">
        <v>181</v>
      </c>
      <c r="E733" s="21" t="s">
        <v>563</v>
      </c>
      <c r="F733" s="21" t="s">
        <v>338</v>
      </c>
      <c r="G733" s="27">
        <v>0</v>
      </c>
      <c r="H733" s="221"/>
    </row>
    <row r="734" spans="1:10" ht="15.75" x14ac:dyDescent="0.25">
      <c r="A734" s="26" t="s">
        <v>184</v>
      </c>
      <c r="B734" s="17">
        <v>907</v>
      </c>
      <c r="C734" s="21" t="s">
        <v>555</v>
      </c>
      <c r="D734" s="21" t="s">
        <v>181</v>
      </c>
      <c r="E734" s="21" t="s">
        <v>185</v>
      </c>
      <c r="F734" s="21"/>
      <c r="G734" s="27">
        <f>G735</f>
        <v>500</v>
      </c>
      <c r="H734" s="221"/>
    </row>
    <row r="735" spans="1:10" ht="31.5" x14ac:dyDescent="0.25">
      <c r="A735" s="26" t="s">
        <v>248</v>
      </c>
      <c r="B735" s="17">
        <v>907</v>
      </c>
      <c r="C735" s="21" t="s">
        <v>555</v>
      </c>
      <c r="D735" s="21" t="s">
        <v>181</v>
      </c>
      <c r="E735" s="21" t="s">
        <v>249</v>
      </c>
      <c r="F735" s="21"/>
      <c r="G735" s="27">
        <f>G736</f>
        <v>500</v>
      </c>
      <c r="H735" s="221"/>
    </row>
    <row r="736" spans="1:10" ht="31.5" x14ac:dyDescent="0.25">
      <c r="A736" s="26" t="s">
        <v>876</v>
      </c>
      <c r="B736" s="17">
        <v>907</v>
      </c>
      <c r="C736" s="21" t="s">
        <v>555</v>
      </c>
      <c r="D736" s="21" t="s">
        <v>181</v>
      </c>
      <c r="E736" s="21" t="s">
        <v>873</v>
      </c>
      <c r="F736" s="21"/>
      <c r="G736" s="27">
        <f>G738</f>
        <v>500</v>
      </c>
      <c r="H736" s="221"/>
    </row>
    <row r="737" spans="1:13" ht="47.25" x14ac:dyDescent="0.25">
      <c r="A737" s="26" t="s">
        <v>335</v>
      </c>
      <c r="B737" s="17">
        <v>907</v>
      </c>
      <c r="C737" s="21" t="s">
        <v>555</v>
      </c>
      <c r="D737" s="21" t="s">
        <v>181</v>
      </c>
      <c r="E737" s="21" t="s">
        <v>873</v>
      </c>
      <c r="F737" s="21" t="s">
        <v>336</v>
      </c>
      <c r="G737" s="27">
        <f>G738</f>
        <v>500</v>
      </c>
      <c r="H737" s="221"/>
    </row>
    <row r="738" spans="1:13" ht="15.75" x14ac:dyDescent="0.25">
      <c r="A738" s="26" t="s">
        <v>337</v>
      </c>
      <c r="B738" s="17">
        <v>907</v>
      </c>
      <c r="C738" s="21" t="s">
        <v>555</v>
      </c>
      <c r="D738" s="21" t="s">
        <v>181</v>
      </c>
      <c r="E738" s="21" t="s">
        <v>873</v>
      </c>
      <c r="F738" s="21" t="s">
        <v>338</v>
      </c>
      <c r="G738" s="27">
        <v>500</v>
      </c>
      <c r="H738" s="193"/>
    </row>
    <row r="739" spans="1:13" ht="31.5" x14ac:dyDescent="0.25">
      <c r="A739" s="24" t="s">
        <v>564</v>
      </c>
      <c r="B739" s="20">
        <v>907</v>
      </c>
      <c r="C739" s="25" t="s">
        <v>555</v>
      </c>
      <c r="D739" s="25" t="s">
        <v>297</v>
      </c>
      <c r="E739" s="25"/>
      <c r="F739" s="25"/>
      <c r="G739" s="22">
        <f t="shared" ref="G739" si="138">G747+G740</f>
        <v>11378.8</v>
      </c>
      <c r="H739" s="221"/>
    </row>
    <row r="740" spans="1:13" ht="47.25" x14ac:dyDescent="0.25">
      <c r="A740" s="31" t="s">
        <v>545</v>
      </c>
      <c r="B740" s="17">
        <v>907</v>
      </c>
      <c r="C740" s="21" t="s">
        <v>555</v>
      </c>
      <c r="D740" s="21" t="s">
        <v>297</v>
      </c>
      <c r="E740" s="42" t="s">
        <v>546</v>
      </c>
      <c r="F740" s="21"/>
      <c r="G740" s="27">
        <f t="shared" ref="G740:G741" si="139">G741</f>
        <v>2797</v>
      </c>
      <c r="H740" s="221"/>
    </row>
    <row r="741" spans="1:13" ht="47.25" x14ac:dyDescent="0.25">
      <c r="A741" s="47" t="s">
        <v>565</v>
      </c>
      <c r="B741" s="17">
        <v>907</v>
      </c>
      <c r="C741" s="21" t="s">
        <v>555</v>
      </c>
      <c r="D741" s="21" t="s">
        <v>297</v>
      </c>
      <c r="E741" s="42" t="s">
        <v>566</v>
      </c>
      <c r="F741" s="21"/>
      <c r="G741" s="27">
        <f t="shared" si="139"/>
        <v>2797</v>
      </c>
      <c r="H741" s="221"/>
    </row>
    <row r="742" spans="1:13" ht="31.5" x14ac:dyDescent="0.25">
      <c r="A742" s="31" t="s">
        <v>220</v>
      </c>
      <c r="B742" s="17">
        <v>907</v>
      </c>
      <c r="C742" s="21" t="s">
        <v>555</v>
      </c>
      <c r="D742" s="21" t="s">
        <v>297</v>
      </c>
      <c r="E742" s="42" t="s">
        <v>567</v>
      </c>
      <c r="F742" s="21"/>
      <c r="G742" s="27">
        <f>G745+G743</f>
        <v>2797</v>
      </c>
      <c r="H742" s="221"/>
    </row>
    <row r="743" spans="1:13" ht="94.5" x14ac:dyDescent="0.25">
      <c r="A743" s="26" t="s">
        <v>190</v>
      </c>
      <c r="B743" s="17">
        <v>907</v>
      </c>
      <c r="C743" s="21" t="s">
        <v>555</v>
      </c>
      <c r="D743" s="21" t="s">
        <v>297</v>
      </c>
      <c r="E743" s="42" t="s">
        <v>567</v>
      </c>
      <c r="F743" s="21" t="s">
        <v>191</v>
      </c>
      <c r="G743" s="27">
        <f>G744</f>
        <v>1805</v>
      </c>
      <c r="H743" s="221"/>
    </row>
    <row r="744" spans="1:13" ht="31.5" x14ac:dyDescent="0.25">
      <c r="A744" s="26" t="s">
        <v>192</v>
      </c>
      <c r="B744" s="17">
        <v>907</v>
      </c>
      <c r="C744" s="21" t="s">
        <v>555</v>
      </c>
      <c r="D744" s="21" t="s">
        <v>297</v>
      </c>
      <c r="E744" s="42" t="s">
        <v>567</v>
      </c>
      <c r="F744" s="21" t="s">
        <v>193</v>
      </c>
      <c r="G744" s="27">
        <f>2111-11-45-100-150</f>
        <v>1805</v>
      </c>
      <c r="H744" s="221" t="s">
        <v>996</v>
      </c>
      <c r="I744" s="141"/>
      <c r="M744" s="135"/>
    </row>
    <row r="745" spans="1:13" ht="31.5" x14ac:dyDescent="0.25">
      <c r="A745" s="31" t="s">
        <v>194</v>
      </c>
      <c r="B745" s="17">
        <v>907</v>
      </c>
      <c r="C745" s="21" t="s">
        <v>555</v>
      </c>
      <c r="D745" s="21" t="s">
        <v>297</v>
      </c>
      <c r="E745" s="42" t="s">
        <v>567</v>
      </c>
      <c r="F745" s="21" t="s">
        <v>195</v>
      </c>
      <c r="G745" s="27">
        <f t="shared" ref="G745" si="140">G746</f>
        <v>992</v>
      </c>
      <c r="H745" s="221"/>
    </row>
    <row r="746" spans="1:13" ht="47.25" x14ac:dyDescent="0.25">
      <c r="A746" s="31" t="s">
        <v>196</v>
      </c>
      <c r="B746" s="17">
        <v>907</v>
      </c>
      <c r="C746" s="21" t="s">
        <v>555</v>
      </c>
      <c r="D746" s="21" t="s">
        <v>297</v>
      </c>
      <c r="E746" s="42" t="s">
        <v>567</v>
      </c>
      <c r="F746" s="21" t="s">
        <v>197</v>
      </c>
      <c r="G746" s="27">
        <f>3047-2111+11+45</f>
        <v>992</v>
      </c>
      <c r="H746" s="221" t="s">
        <v>894</v>
      </c>
      <c r="I746" s="141"/>
    </row>
    <row r="747" spans="1:13" ht="15.75" x14ac:dyDescent="0.25">
      <c r="A747" s="26" t="s">
        <v>184</v>
      </c>
      <c r="B747" s="17">
        <v>907</v>
      </c>
      <c r="C747" s="21" t="s">
        <v>555</v>
      </c>
      <c r="D747" s="21" t="s">
        <v>297</v>
      </c>
      <c r="E747" s="21" t="s">
        <v>185</v>
      </c>
      <c r="F747" s="21"/>
      <c r="G747" s="27">
        <f>G748+G754</f>
        <v>8581.7999999999993</v>
      </c>
      <c r="H747" s="221"/>
    </row>
    <row r="748" spans="1:13" ht="31.5" x14ac:dyDescent="0.25">
      <c r="A748" s="26" t="s">
        <v>186</v>
      </c>
      <c r="B748" s="17">
        <v>907</v>
      </c>
      <c r="C748" s="21" t="s">
        <v>555</v>
      </c>
      <c r="D748" s="21" t="s">
        <v>297</v>
      </c>
      <c r="E748" s="21" t="s">
        <v>187</v>
      </c>
      <c r="F748" s="21"/>
      <c r="G748" s="27">
        <f>G749</f>
        <v>3634.4</v>
      </c>
      <c r="H748" s="221"/>
    </row>
    <row r="749" spans="1:13" ht="47.25" x14ac:dyDescent="0.25">
      <c r="A749" s="26" t="s">
        <v>188</v>
      </c>
      <c r="B749" s="17">
        <v>907</v>
      </c>
      <c r="C749" s="21" t="s">
        <v>555</v>
      </c>
      <c r="D749" s="21" t="s">
        <v>297</v>
      </c>
      <c r="E749" s="21" t="s">
        <v>189</v>
      </c>
      <c r="F749" s="21"/>
      <c r="G749" s="27">
        <f t="shared" ref="G749" si="141">G750+G752</f>
        <v>3634.4</v>
      </c>
      <c r="H749" s="221"/>
    </row>
    <row r="750" spans="1:13" ht="94.5" x14ac:dyDescent="0.25">
      <c r="A750" s="26" t="s">
        <v>190</v>
      </c>
      <c r="B750" s="17">
        <v>907</v>
      </c>
      <c r="C750" s="21" t="s">
        <v>555</v>
      </c>
      <c r="D750" s="21" t="s">
        <v>297</v>
      </c>
      <c r="E750" s="21" t="s">
        <v>189</v>
      </c>
      <c r="F750" s="21" t="s">
        <v>191</v>
      </c>
      <c r="G750" s="27">
        <f>G751</f>
        <v>3634.4</v>
      </c>
      <c r="H750" s="221"/>
    </row>
    <row r="751" spans="1:13" ht="31.5" x14ac:dyDescent="0.25">
      <c r="A751" s="26" t="s">
        <v>192</v>
      </c>
      <c r="B751" s="17">
        <v>907</v>
      </c>
      <c r="C751" s="21" t="s">
        <v>555</v>
      </c>
      <c r="D751" s="21" t="s">
        <v>297</v>
      </c>
      <c r="E751" s="21" t="s">
        <v>189</v>
      </c>
      <c r="F751" s="21" t="s">
        <v>193</v>
      </c>
      <c r="G751" s="28">
        <f>3599.8+34.6</f>
        <v>3634.4</v>
      </c>
      <c r="H751" s="221" t="s">
        <v>932</v>
      </c>
    </row>
    <row r="752" spans="1:13" ht="31.5" hidden="1" x14ac:dyDescent="0.25">
      <c r="A752" s="26" t="s">
        <v>194</v>
      </c>
      <c r="B752" s="17">
        <v>907</v>
      </c>
      <c r="C752" s="21" t="s">
        <v>555</v>
      </c>
      <c r="D752" s="21" t="s">
        <v>297</v>
      </c>
      <c r="E752" s="21" t="s">
        <v>189</v>
      </c>
      <c r="F752" s="21" t="s">
        <v>195</v>
      </c>
      <c r="G752" s="27">
        <f t="shared" ref="G752" si="142">G753</f>
        <v>0</v>
      </c>
      <c r="H752" s="221"/>
    </row>
    <row r="753" spans="1:12" ht="47.25" hidden="1" x14ac:dyDescent="0.25">
      <c r="A753" s="26" t="s">
        <v>196</v>
      </c>
      <c r="B753" s="17">
        <v>907</v>
      </c>
      <c r="C753" s="21" t="s">
        <v>555</v>
      </c>
      <c r="D753" s="21" t="s">
        <v>297</v>
      </c>
      <c r="E753" s="21" t="s">
        <v>189</v>
      </c>
      <c r="F753" s="21" t="s">
        <v>197</v>
      </c>
      <c r="G753" s="27"/>
      <c r="H753" s="221"/>
    </row>
    <row r="754" spans="1:12" ht="15.75" x14ac:dyDescent="0.25">
      <c r="A754" s="26" t="s">
        <v>204</v>
      </c>
      <c r="B754" s="17">
        <v>907</v>
      </c>
      <c r="C754" s="21" t="s">
        <v>555</v>
      </c>
      <c r="D754" s="21" t="s">
        <v>297</v>
      </c>
      <c r="E754" s="21" t="s">
        <v>205</v>
      </c>
      <c r="F754" s="21"/>
      <c r="G754" s="27">
        <f>G755</f>
        <v>4947.3999999999996</v>
      </c>
      <c r="H754" s="221"/>
    </row>
    <row r="755" spans="1:12" ht="31.5" x14ac:dyDescent="0.25">
      <c r="A755" s="26" t="s">
        <v>403</v>
      </c>
      <c r="B755" s="17">
        <v>907</v>
      </c>
      <c r="C755" s="21" t="s">
        <v>555</v>
      </c>
      <c r="D755" s="21" t="s">
        <v>297</v>
      </c>
      <c r="E755" s="21" t="s">
        <v>404</v>
      </c>
      <c r="F755" s="21"/>
      <c r="G755" s="27">
        <f>G756+G758+G760</f>
        <v>4947.3999999999996</v>
      </c>
      <c r="H755" s="221"/>
      <c r="J755" s="278"/>
      <c r="K755" s="278"/>
    </row>
    <row r="756" spans="1:12" ht="94.5" x14ac:dyDescent="0.25">
      <c r="A756" s="26" t="s">
        <v>190</v>
      </c>
      <c r="B756" s="17">
        <v>907</v>
      </c>
      <c r="C756" s="21" t="s">
        <v>555</v>
      </c>
      <c r="D756" s="21" t="s">
        <v>297</v>
      </c>
      <c r="E756" s="21" t="s">
        <v>404</v>
      </c>
      <c r="F756" s="21" t="s">
        <v>191</v>
      </c>
      <c r="G756" s="27">
        <f>G757</f>
        <v>3891.7999999999997</v>
      </c>
      <c r="H756" s="221"/>
      <c r="J756" s="278"/>
      <c r="K756" s="278"/>
    </row>
    <row r="757" spans="1:12" ht="31.5" x14ac:dyDescent="0.25">
      <c r="A757" s="26" t="s">
        <v>405</v>
      </c>
      <c r="B757" s="17">
        <v>907</v>
      </c>
      <c r="C757" s="21" t="s">
        <v>555</v>
      </c>
      <c r="D757" s="21" t="s">
        <v>297</v>
      </c>
      <c r="E757" s="21" t="s">
        <v>404</v>
      </c>
      <c r="F757" s="21" t="s">
        <v>272</v>
      </c>
      <c r="G757" s="28">
        <f>4240.2-579.5+187.5+78.2-34.6</f>
        <v>3891.7999999999997</v>
      </c>
      <c r="H757" s="132" t="s">
        <v>931</v>
      </c>
      <c r="I757" s="152"/>
      <c r="J757" s="278"/>
      <c r="K757" s="278"/>
    </row>
    <row r="758" spans="1:12" ht="31.5" x14ac:dyDescent="0.25">
      <c r="A758" s="26" t="s">
        <v>194</v>
      </c>
      <c r="B758" s="17">
        <v>907</v>
      </c>
      <c r="C758" s="21" t="s">
        <v>555</v>
      </c>
      <c r="D758" s="21" t="s">
        <v>297</v>
      </c>
      <c r="E758" s="21" t="s">
        <v>404</v>
      </c>
      <c r="F758" s="21" t="s">
        <v>195</v>
      </c>
      <c r="G758" s="27">
        <f>G759</f>
        <v>1028.4999999999998</v>
      </c>
      <c r="H758" s="221"/>
      <c r="J758" s="278"/>
      <c r="K758" s="278"/>
    </row>
    <row r="759" spans="1:12" ht="47.25" x14ac:dyDescent="0.25">
      <c r="A759" s="26" t="s">
        <v>196</v>
      </c>
      <c r="B759" s="17">
        <v>907</v>
      </c>
      <c r="C759" s="21" t="s">
        <v>555</v>
      </c>
      <c r="D759" s="21" t="s">
        <v>297</v>
      </c>
      <c r="E759" s="21" t="s">
        <v>404</v>
      </c>
      <c r="F759" s="21" t="s">
        <v>197</v>
      </c>
      <c r="G759" s="28">
        <f>1339.6-145.4-265.7+100</f>
        <v>1028.4999999999998</v>
      </c>
      <c r="H759" s="132" t="s">
        <v>860</v>
      </c>
      <c r="I759" s="152"/>
      <c r="J759" s="278"/>
      <c r="K759" s="278"/>
    </row>
    <row r="760" spans="1:12" ht="15.75" x14ac:dyDescent="0.25">
      <c r="A760" s="26" t="s">
        <v>198</v>
      </c>
      <c r="B760" s="17">
        <v>907</v>
      </c>
      <c r="C760" s="21" t="s">
        <v>555</v>
      </c>
      <c r="D760" s="21" t="s">
        <v>297</v>
      </c>
      <c r="E760" s="21" t="s">
        <v>404</v>
      </c>
      <c r="F760" s="21" t="s">
        <v>208</v>
      </c>
      <c r="G760" s="27">
        <f>G761</f>
        <v>27.1</v>
      </c>
      <c r="H760" s="221"/>
      <c r="J760" s="278"/>
      <c r="K760" s="278"/>
    </row>
    <row r="761" spans="1:12" ht="15.75" x14ac:dyDescent="0.25">
      <c r="A761" s="26" t="s">
        <v>633</v>
      </c>
      <c r="B761" s="17">
        <v>907</v>
      </c>
      <c r="C761" s="21" t="s">
        <v>555</v>
      </c>
      <c r="D761" s="21" t="s">
        <v>297</v>
      </c>
      <c r="E761" s="21" t="s">
        <v>404</v>
      </c>
      <c r="F761" s="21" t="s">
        <v>201</v>
      </c>
      <c r="G761" s="27">
        <f>27.1</f>
        <v>27.1</v>
      </c>
      <c r="H761" s="132"/>
      <c r="I761" s="152"/>
      <c r="J761" s="278"/>
      <c r="K761" s="278"/>
    </row>
    <row r="762" spans="1:12" ht="47.25" x14ac:dyDescent="0.25">
      <c r="A762" s="20" t="s">
        <v>568</v>
      </c>
      <c r="B762" s="20">
        <v>908</v>
      </c>
      <c r="C762" s="21"/>
      <c r="D762" s="21"/>
      <c r="E762" s="21"/>
      <c r="F762" s="21"/>
      <c r="G762" s="22">
        <f>G778+G785+G799+G939+G763</f>
        <v>116850.59000000001</v>
      </c>
      <c r="H762" s="221"/>
      <c r="L762" s="142"/>
    </row>
    <row r="763" spans="1:12" ht="15.75" x14ac:dyDescent="0.25">
      <c r="A763" s="36" t="s">
        <v>180</v>
      </c>
      <c r="B763" s="20">
        <v>908</v>
      </c>
      <c r="C763" s="25" t="s">
        <v>181</v>
      </c>
      <c r="D763" s="21"/>
      <c r="E763" s="21"/>
      <c r="F763" s="21"/>
      <c r="G763" s="22">
        <f>G764</f>
        <v>14747.8</v>
      </c>
      <c r="H763" s="221"/>
      <c r="L763" s="142"/>
    </row>
    <row r="764" spans="1:12" ht="15.75" x14ac:dyDescent="0.25">
      <c r="A764" s="36" t="s">
        <v>202</v>
      </c>
      <c r="B764" s="20">
        <v>908</v>
      </c>
      <c r="C764" s="25" t="s">
        <v>181</v>
      </c>
      <c r="D764" s="25" t="s">
        <v>203</v>
      </c>
      <c r="E764" s="21"/>
      <c r="F764" s="21"/>
      <c r="G764" s="22">
        <f>G766+G770</f>
        <v>14747.8</v>
      </c>
      <c r="H764" s="221"/>
      <c r="L764" s="142"/>
    </row>
    <row r="765" spans="1:12" ht="15.75" x14ac:dyDescent="0.25">
      <c r="A765" s="26" t="s">
        <v>204</v>
      </c>
      <c r="B765" s="17">
        <v>908</v>
      </c>
      <c r="C765" s="21" t="s">
        <v>181</v>
      </c>
      <c r="D765" s="21" t="s">
        <v>203</v>
      </c>
      <c r="E765" s="21" t="s">
        <v>205</v>
      </c>
      <c r="F765" s="21"/>
      <c r="G765" s="27">
        <f>G766</f>
        <v>295.5</v>
      </c>
      <c r="H765" s="221"/>
      <c r="L765" s="142"/>
    </row>
    <row r="766" spans="1:12" ht="15.75" x14ac:dyDescent="0.25">
      <c r="A766" s="26" t="s">
        <v>206</v>
      </c>
      <c r="B766" s="17">
        <v>908</v>
      </c>
      <c r="C766" s="21" t="s">
        <v>181</v>
      </c>
      <c r="D766" s="21" t="s">
        <v>203</v>
      </c>
      <c r="E766" s="21" t="s">
        <v>207</v>
      </c>
      <c r="F766" s="21"/>
      <c r="G766" s="27">
        <f>G767+G768</f>
        <v>295.5</v>
      </c>
      <c r="H766" s="221"/>
      <c r="L766" s="142"/>
    </row>
    <row r="767" spans="1:12" ht="15.75" x14ac:dyDescent="0.25">
      <c r="A767" s="26" t="s">
        <v>198</v>
      </c>
      <c r="B767" s="17">
        <v>908</v>
      </c>
      <c r="C767" s="21" t="s">
        <v>181</v>
      </c>
      <c r="D767" s="21" t="s">
        <v>203</v>
      </c>
      <c r="E767" s="21" t="s">
        <v>207</v>
      </c>
      <c r="F767" s="21" t="s">
        <v>208</v>
      </c>
      <c r="G767" s="27">
        <f>G769</f>
        <v>262.5</v>
      </c>
      <c r="H767" s="221"/>
      <c r="J767" s="251"/>
      <c r="L767" s="142"/>
    </row>
    <row r="768" spans="1:12" ht="15.75" x14ac:dyDescent="0.25">
      <c r="A768" s="26" t="s">
        <v>209</v>
      </c>
      <c r="B768" s="17">
        <v>908</v>
      </c>
      <c r="C768" s="21" t="s">
        <v>181</v>
      </c>
      <c r="D768" s="21" t="s">
        <v>203</v>
      </c>
      <c r="E768" s="21" t="s">
        <v>207</v>
      </c>
      <c r="F768" s="21" t="s">
        <v>210</v>
      </c>
      <c r="G768" s="27">
        <v>33</v>
      </c>
      <c r="H768" s="242"/>
      <c r="L768" s="142"/>
    </row>
    <row r="769" spans="1:12" ht="15.75" x14ac:dyDescent="0.25">
      <c r="A769" s="26" t="s">
        <v>633</v>
      </c>
      <c r="B769" s="17">
        <v>908</v>
      </c>
      <c r="C769" s="21" t="s">
        <v>181</v>
      </c>
      <c r="D769" s="21" t="s">
        <v>203</v>
      </c>
      <c r="E769" s="21" t="s">
        <v>207</v>
      </c>
      <c r="F769" s="21" t="s">
        <v>201</v>
      </c>
      <c r="G769" s="27">
        <f>262.5-33+33</f>
        <v>262.5</v>
      </c>
      <c r="H769" s="132" t="s">
        <v>1006</v>
      </c>
      <c r="I769" s="152"/>
      <c r="L769" s="142"/>
    </row>
    <row r="770" spans="1:12" ht="31.5" x14ac:dyDescent="0.25">
      <c r="A770" s="26" t="s">
        <v>649</v>
      </c>
      <c r="B770" s="17">
        <v>908</v>
      </c>
      <c r="C770" s="21" t="s">
        <v>181</v>
      </c>
      <c r="D770" s="21" t="s">
        <v>203</v>
      </c>
      <c r="E770" s="21" t="s">
        <v>650</v>
      </c>
      <c r="F770" s="21"/>
      <c r="G770" s="28">
        <f>G771</f>
        <v>14452.3</v>
      </c>
      <c r="H770" s="221"/>
    </row>
    <row r="771" spans="1:12" ht="31.5" x14ac:dyDescent="0.25">
      <c r="A771" s="26" t="s">
        <v>373</v>
      </c>
      <c r="B771" s="17">
        <v>908</v>
      </c>
      <c r="C771" s="21" t="s">
        <v>181</v>
      </c>
      <c r="D771" s="21" t="s">
        <v>203</v>
      </c>
      <c r="E771" s="21" t="s">
        <v>651</v>
      </c>
      <c r="F771" s="21"/>
      <c r="G771" s="28">
        <f>G772+G774+G776</f>
        <v>14452.3</v>
      </c>
      <c r="H771" s="221"/>
    </row>
    <row r="772" spans="1:12" ht="94.5" x14ac:dyDescent="0.25">
      <c r="A772" s="26" t="s">
        <v>190</v>
      </c>
      <c r="B772" s="17">
        <v>908</v>
      </c>
      <c r="C772" s="21" t="s">
        <v>181</v>
      </c>
      <c r="D772" s="21" t="s">
        <v>203</v>
      </c>
      <c r="E772" s="21" t="s">
        <v>651</v>
      </c>
      <c r="F772" s="21" t="s">
        <v>191</v>
      </c>
      <c r="G772" s="28">
        <f>G773</f>
        <v>12060</v>
      </c>
      <c r="H772" s="221"/>
    </row>
    <row r="773" spans="1:12" ht="31.5" x14ac:dyDescent="0.25">
      <c r="A773" s="48" t="s">
        <v>405</v>
      </c>
      <c r="B773" s="17">
        <v>908</v>
      </c>
      <c r="C773" s="21" t="s">
        <v>181</v>
      </c>
      <c r="D773" s="21" t="s">
        <v>203</v>
      </c>
      <c r="E773" s="21" t="s">
        <v>651</v>
      </c>
      <c r="F773" s="21" t="s">
        <v>272</v>
      </c>
      <c r="G773" s="28">
        <f>13403.8+356.2-1700</f>
        <v>12060</v>
      </c>
      <c r="H773" s="132" t="s">
        <v>943</v>
      </c>
      <c r="I773" s="152"/>
      <c r="L773" s="142"/>
    </row>
    <row r="774" spans="1:12" ht="31.5" x14ac:dyDescent="0.25">
      <c r="A774" s="26" t="s">
        <v>194</v>
      </c>
      <c r="B774" s="17">
        <v>908</v>
      </c>
      <c r="C774" s="21" t="s">
        <v>181</v>
      </c>
      <c r="D774" s="21" t="s">
        <v>203</v>
      </c>
      <c r="E774" s="21" t="s">
        <v>651</v>
      </c>
      <c r="F774" s="21" t="s">
        <v>195</v>
      </c>
      <c r="G774" s="28">
        <f>G775</f>
        <v>2378</v>
      </c>
      <c r="H774" s="221"/>
      <c r="L774" s="142"/>
    </row>
    <row r="775" spans="1:12" ht="47.25" x14ac:dyDescent="0.25">
      <c r="A775" s="26" t="s">
        <v>196</v>
      </c>
      <c r="B775" s="17">
        <v>908</v>
      </c>
      <c r="C775" s="21" t="s">
        <v>181</v>
      </c>
      <c r="D775" s="21" t="s">
        <v>203</v>
      </c>
      <c r="E775" s="21" t="s">
        <v>651</v>
      </c>
      <c r="F775" s="21" t="s">
        <v>197</v>
      </c>
      <c r="G775" s="28">
        <f>3034.2-356.2-300</f>
        <v>2378</v>
      </c>
      <c r="H775" s="254" t="s">
        <v>933</v>
      </c>
      <c r="I775" s="152"/>
      <c r="L775" s="142"/>
    </row>
    <row r="776" spans="1:12" ht="15.75" x14ac:dyDescent="0.25">
      <c r="A776" s="26" t="s">
        <v>198</v>
      </c>
      <c r="B776" s="17">
        <v>908</v>
      </c>
      <c r="C776" s="21" t="s">
        <v>181</v>
      </c>
      <c r="D776" s="21" t="s">
        <v>203</v>
      </c>
      <c r="E776" s="21" t="s">
        <v>651</v>
      </c>
      <c r="F776" s="21" t="s">
        <v>208</v>
      </c>
      <c r="G776" s="28">
        <f>G777</f>
        <v>14.3</v>
      </c>
      <c r="H776" s="221"/>
      <c r="L776" s="142"/>
    </row>
    <row r="777" spans="1:12" ht="15.75" x14ac:dyDescent="0.25">
      <c r="A777" s="26" t="s">
        <v>839</v>
      </c>
      <c r="B777" s="17">
        <v>908</v>
      </c>
      <c r="C777" s="21" t="s">
        <v>181</v>
      </c>
      <c r="D777" s="21" t="s">
        <v>203</v>
      </c>
      <c r="E777" s="21" t="s">
        <v>651</v>
      </c>
      <c r="F777" s="21" t="s">
        <v>201</v>
      </c>
      <c r="G777" s="28">
        <v>14.3</v>
      </c>
      <c r="H777" s="132"/>
      <c r="I777" s="152"/>
      <c r="L777" s="142"/>
    </row>
    <row r="778" spans="1:12" ht="31.5" hidden="1" x14ac:dyDescent="0.25">
      <c r="A778" s="24" t="s">
        <v>285</v>
      </c>
      <c r="B778" s="20">
        <v>908</v>
      </c>
      <c r="C778" s="25" t="s">
        <v>278</v>
      </c>
      <c r="D778" s="25"/>
      <c r="E778" s="25"/>
      <c r="F778" s="25"/>
      <c r="G778" s="22">
        <f t="shared" ref="G778:G783" si="143">G779</f>
        <v>0</v>
      </c>
      <c r="H778" s="221"/>
    </row>
    <row r="779" spans="1:12" ht="63" hidden="1" x14ac:dyDescent="0.25">
      <c r="A779" s="24" t="s">
        <v>286</v>
      </c>
      <c r="B779" s="20">
        <v>908</v>
      </c>
      <c r="C779" s="25" t="s">
        <v>278</v>
      </c>
      <c r="D779" s="25" t="s">
        <v>282</v>
      </c>
      <c r="E779" s="25"/>
      <c r="F779" s="25"/>
      <c r="G779" s="22">
        <f t="shared" si="143"/>
        <v>0</v>
      </c>
      <c r="H779" s="221"/>
    </row>
    <row r="780" spans="1:12" ht="21.75" hidden="1" customHeight="1" x14ac:dyDescent="0.25">
      <c r="A780" s="26" t="s">
        <v>184</v>
      </c>
      <c r="B780" s="17">
        <v>908</v>
      </c>
      <c r="C780" s="21" t="s">
        <v>278</v>
      </c>
      <c r="D780" s="21" t="s">
        <v>282</v>
      </c>
      <c r="E780" s="21" t="s">
        <v>185</v>
      </c>
      <c r="F780" s="21"/>
      <c r="G780" s="27">
        <f t="shared" si="143"/>
        <v>0</v>
      </c>
      <c r="H780" s="221"/>
    </row>
    <row r="781" spans="1:12" ht="15.75" hidden="1" x14ac:dyDescent="0.25">
      <c r="A781" s="26" t="s">
        <v>204</v>
      </c>
      <c r="B781" s="17">
        <v>908</v>
      </c>
      <c r="C781" s="21" t="s">
        <v>278</v>
      </c>
      <c r="D781" s="21" t="s">
        <v>282</v>
      </c>
      <c r="E781" s="21" t="s">
        <v>205</v>
      </c>
      <c r="F781" s="21"/>
      <c r="G781" s="27">
        <f t="shared" si="143"/>
        <v>0</v>
      </c>
      <c r="H781" s="221"/>
    </row>
    <row r="782" spans="1:12" ht="15.75" hidden="1" x14ac:dyDescent="0.25">
      <c r="A782" s="26" t="s">
        <v>293</v>
      </c>
      <c r="B782" s="17">
        <v>908</v>
      </c>
      <c r="C782" s="21" t="s">
        <v>278</v>
      </c>
      <c r="D782" s="21" t="s">
        <v>282</v>
      </c>
      <c r="E782" s="21" t="s">
        <v>294</v>
      </c>
      <c r="F782" s="21"/>
      <c r="G782" s="27">
        <f t="shared" si="143"/>
        <v>0</v>
      </c>
      <c r="H782" s="221"/>
    </row>
    <row r="783" spans="1:12" ht="31.5" hidden="1" x14ac:dyDescent="0.25">
      <c r="A783" s="26" t="s">
        <v>194</v>
      </c>
      <c r="B783" s="17">
        <v>908</v>
      </c>
      <c r="C783" s="21" t="s">
        <v>278</v>
      </c>
      <c r="D783" s="21" t="s">
        <v>282</v>
      </c>
      <c r="E783" s="21" t="s">
        <v>294</v>
      </c>
      <c r="F783" s="21" t="s">
        <v>195</v>
      </c>
      <c r="G783" s="27">
        <f t="shared" si="143"/>
        <v>0</v>
      </c>
      <c r="H783" s="221"/>
    </row>
    <row r="784" spans="1:12" ht="47.25" hidden="1" x14ac:dyDescent="0.25">
      <c r="A784" s="26" t="s">
        <v>196</v>
      </c>
      <c r="B784" s="17">
        <v>908</v>
      </c>
      <c r="C784" s="21" t="s">
        <v>278</v>
      </c>
      <c r="D784" s="21" t="s">
        <v>282</v>
      </c>
      <c r="E784" s="21" t="s">
        <v>294</v>
      </c>
      <c r="F784" s="21" t="s">
        <v>197</v>
      </c>
      <c r="G784" s="27">
        <f>50-50</f>
        <v>0</v>
      </c>
      <c r="H784" s="255" t="s">
        <v>921</v>
      </c>
    </row>
    <row r="785" spans="1:13" ht="15.75" x14ac:dyDescent="0.25">
      <c r="A785" s="24" t="s">
        <v>295</v>
      </c>
      <c r="B785" s="20">
        <v>908</v>
      </c>
      <c r="C785" s="25" t="s">
        <v>213</v>
      </c>
      <c r="D785" s="25"/>
      <c r="E785" s="25"/>
      <c r="F785" s="25"/>
      <c r="G785" s="22">
        <f>G786+G792</f>
        <v>17576.599999999999</v>
      </c>
      <c r="H785" s="221"/>
    </row>
    <row r="786" spans="1:13" ht="15.75" x14ac:dyDescent="0.25">
      <c r="A786" s="24" t="s">
        <v>569</v>
      </c>
      <c r="B786" s="20">
        <v>908</v>
      </c>
      <c r="C786" s="25" t="s">
        <v>213</v>
      </c>
      <c r="D786" s="25" t="s">
        <v>362</v>
      </c>
      <c r="E786" s="25"/>
      <c r="F786" s="25"/>
      <c r="G786" s="22">
        <f>G787</f>
        <v>3207.7</v>
      </c>
      <c r="H786" s="221"/>
    </row>
    <row r="787" spans="1:13" ht="15.75" x14ac:dyDescent="0.25">
      <c r="A787" s="26" t="s">
        <v>184</v>
      </c>
      <c r="B787" s="17">
        <v>908</v>
      </c>
      <c r="C787" s="21" t="s">
        <v>213</v>
      </c>
      <c r="D787" s="21" t="s">
        <v>362</v>
      </c>
      <c r="E787" s="21" t="s">
        <v>185</v>
      </c>
      <c r="F787" s="25"/>
      <c r="G787" s="27">
        <f>G788</f>
        <v>3207.7</v>
      </c>
      <c r="H787" s="221"/>
    </row>
    <row r="788" spans="1:13" ht="15.75" x14ac:dyDescent="0.25">
      <c r="A788" s="26" t="s">
        <v>204</v>
      </c>
      <c r="B788" s="17">
        <v>908</v>
      </c>
      <c r="C788" s="21" t="s">
        <v>213</v>
      </c>
      <c r="D788" s="21" t="s">
        <v>362</v>
      </c>
      <c r="E788" s="21" t="s">
        <v>205</v>
      </c>
      <c r="F788" s="25"/>
      <c r="G788" s="27">
        <f>G789</f>
        <v>3207.7</v>
      </c>
      <c r="H788" s="221"/>
    </row>
    <row r="789" spans="1:13" ht="39" customHeight="1" x14ac:dyDescent="0.25">
      <c r="A789" s="26" t="s">
        <v>570</v>
      </c>
      <c r="B789" s="17">
        <v>908</v>
      </c>
      <c r="C789" s="21" t="s">
        <v>213</v>
      </c>
      <c r="D789" s="21" t="s">
        <v>362</v>
      </c>
      <c r="E789" s="21" t="s">
        <v>571</v>
      </c>
      <c r="F789" s="21"/>
      <c r="G789" s="27">
        <f>G790</f>
        <v>3207.7</v>
      </c>
      <c r="H789" s="221"/>
    </row>
    <row r="790" spans="1:13" ht="31.5" x14ac:dyDescent="0.25">
      <c r="A790" s="26" t="s">
        <v>194</v>
      </c>
      <c r="B790" s="17">
        <v>908</v>
      </c>
      <c r="C790" s="21" t="s">
        <v>213</v>
      </c>
      <c r="D790" s="21" t="s">
        <v>362</v>
      </c>
      <c r="E790" s="21" t="s">
        <v>571</v>
      </c>
      <c r="F790" s="21" t="s">
        <v>195</v>
      </c>
      <c r="G790" s="27">
        <f>G791</f>
        <v>3207.7</v>
      </c>
      <c r="H790" s="221"/>
    </row>
    <row r="791" spans="1:13" ht="47.25" x14ac:dyDescent="0.25">
      <c r="A791" s="26" t="s">
        <v>196</v>
      </c>
      <c r="B791" s="17">
        <v>908</v>
      </c>
      <c r="C791" s="21" t="s">
        <v>213</v>
      </c>
      <c r="D791" s="21" t="s">
        <v>362</v>
      </c>
      <c r="E791" s="21" t="s">
        <v>571</v>
      </c>
      <c r="F791" s="21" t="s">
        <v>197</v>
      </c>
      <c r="G791" s="27">
        <v>3207.7</v>
      </c>
      <c r="H791" s="221"/>
    </row>
    <row r="792" spans="1:13" ht="15.75" x14ac:dyDescent="0.25">
      <c r="A792" s="24" t="s">
        <v>572</v>
      </c>
      <c r="B792" s="20">
        <v>908</v>
      </c>
      <c r="C792" s="25" t="s">
        <v>213</v>
      </c>
      <c r="D792" s="25" t="s">
        <v>282</v>
      </c>
      <c r="E792" s="21"/>
      <c r="F792" s="25"/>
      <c r="G792" s="22">
        <f>G793</f>
        <v>14368.9</v>
      </c>
      <c r="H792" s="221"/>
    </row>
    <row r="793" spans="1:13" ht="47.25" x14ac:dyDescent="0.25">
      <c r="A793" s="33" t="s">
        <v>573</v>
      </c>
      <c r="B793" s="17">
        <v>908</v>
      </c>
      <c r="C793" s="21" t="s">
        <v>213</v>
      </c>
      <c r="D793" s="21" t="s">
        <v>282</v>
      </c>
      <c r="E793" s="21" t="s">
        <v>574</v>
      </c>
      <c r="F793" s="21"/>
      <c r="G793" s="27">
        <f>G794</f>
        <v>14368.9</v>
      </c>
      <c r="H793" s="221"/>
    </row>
    <row r="794" spans="1:13" ht="15.75" x14ac:dyDescent="0.25">
      <c r="A794" s="31" t="s">
        <v>575</v>
      </c>
      <c r="B794" s="17">
        <v>908</v>
      </c>
      <c r="C794" s="21" t="s">
        <v>213</v>
      </c>
      <c r="D794" s="21" t="s">
        <v>282</v>
      </c>
      <c r="E794" s="42" t="s">
        <v>576</v>
      </c>
      <c r="F794" s="21"/>
      <c r="G794" s="27">
        <f>G795+G797</f>
        <v>14368.9</v>
      </c>
      <c r="H794" s="221"/>
    </row>
    <row r="795" spans="1:13" ht="31.5" x14ac:dyDescent="0.25">
      <c r="A795" s="26" t="s">
        <v>194</v>
      </c>
      <c r="B795" s="17">
        <v>908</v>
      </c>
      <c r="C795" s="21" t="s">
        <v>213</v>
      </c>
      <c r="D795" s="21" t="s">
        <v>282</v>
      </c>
      <c r="E795" s="42" t="s">
        <v>576</v>
      </c>
      <c r="F795" s="21" t="s">
        <v>195</v>
      </c>
      <c r="G795" s="27">
        <f>G796</f>
        <v>14342.9</v>
      </c>
      <c r="H795" s="221"/>
    </row>
    <row r="796" spans="1:13" ht="47.25" x14ac:dyDescent="0.25">
      <c r="A796" s="26" t="s">
        <v>196</v>
      </c>
      <c r="B796" s="17">
        <v>908</v>
      </c>
      <c r="C796" s="21" t="s">
        <v>213</v>
      </c>
      <c r="D796" s="21" t="s">
        <v>282</v>
      </c>
      <c r="E796" s="42" t="s">
        <v>576</v>
      </c>
      <c r="F796" s="21" t="s">
        <v>197</v>
      </c>
      <c r="G796" s="27">
        <f>15124.1-10-6-365.2-400</f>
        <v>14342.9</v>
      </c>
      <c r="H796" s="256" t="s">
        <v>994</v>
      </c>
      <c r="M796" s="135"/>
    </row>
    <row r="797" spans="1:13" ht="15.75" x14ac:dyDescent="0.25">
      <c r="A797" s="26" t="s">
        <v>198</v>
      </c>
      <c r="B797" s="17">
        <v>908</v>
      </c>
      <c r="C797" s="21" t="s">
        <v>213</v>
      </c>
      <c r="D797" s="21" t="s">
        <v>282</v>
      </c>
      <c r="E797" s="42" t="s">
        <v>576</v>
      </c>
      <c r="F797" s="21" t="s">
        <v>208</v>
      </c>
      <c r="G797" s="27">
        <f>G798</f>
        <v>26</v>
      </c>
      <c r="H797" s="221"/>
    </row>
    <row r="798" spans="1:13" ht="15.75" x14ac:dyDescent="0.25">
      <c r="A798" s="26" t="s">
        <v>633</v>
      </c>
      <c r="B798" s="17">
        <v>908</v>
      </c>
      <c r="C798" s="21" t="s">
        <v>213</v>
      </c>
      <c r="D798" s="21" t="s">
        <v>282</v>
      </c>
      <c r="E798" s="42" t="s">
        <v>576</v>
      </c>
      <c r="F798" s="21" t="s">
        <v>201</v>
      </c>
      <c r="G798" s="27">
        <f>10+6+10</f>
        <v>26</v>
      </c>
      <c r="H798" s="257" t="s">
        <v>1008</v>
      </c>
    </row>
    <row r="799" spans="1:13" ht="15.75" x14ac:dyDescent="0.25">
      <c r="A799" s="24" t="s">
        <v>454</v>
      </c>
      <c r="B799" s="20">
        <v>908</v>
      </c>
      <c r="C799" s="25" t="s">
        <v>297</v>
      </c>
      <c r="D799" s="25"/>
      <c r="E799" s="25"/>
      <c r="F799" s="25"/>
      <c r="G799" s="22">
        <f>G800+G815+G866+G920</f>
        <v>84526.19</v>
      </c>
      <c r="H799" s="221"/>
      <c r="I799" s="140"/>
    </row>
    <row r="800" spans="1:13" ht="15.75" x14ac:dyDescent="0.25">
      <c r="A800" s="24" t="s">
        <v>455</v>
      </c>
      <c r="B800" s="20">
        <v>908</v>
      </c>
      <c r="C800" s="25" t="s">
        <v>297</v>
      </c>
      <c r="D800" s="25" t="s">
        <v>181</v>
      </c>
      <c r="E800" s="25"/>
      <c r="F800" s="25"/>
      <c r="G800" s="22">
        <f>G801</f>
        <v>7863</v>
      </c>
      <c r="H800" s="221"/>
    </row>
    <row r="801" spans="1:12" ht="15.75" x14ac:dyDescent="0.25">
      <c r="A801" s="26" t="s">
        <v>184</v>
      </c>
      <c r="B801" s="17">
        <v>908</v>
      </c>
      <c r="C801" s="21" t="s">
        <v>297</v>
      </c>
      <c r="D801" s="21" t="s">
        <v>181</v>
      </c>
      <c r="E801" s="21" t="s">
        <v>185</v>
      </c>
      <c r="F801" s="21"/>
      <c r="G801" s="27">
        <f>G806</f>
        <v>7863</v>
      </c>
      <c r="H801" s="221"/>
    </row>
    <row r="802" spans="1:12" ht="31.5" hidden="1" x14ac:dyDescent="0.25">
      <c r="A802" s="26" t="s">
        <v>248</v>
      </c>
      <c r="B802" s="17">
        <v>908</v>
      </c>
      <c r="C802" s="21" t="s">
        <v>297</v>
      </c>
      <c r="D802" s="21" t="s">
        <v>181</v>
      </c>
      <c r="E802" s="21" t="s">
        <v>249</v>
      </c>
      <c r="F802" s="21"/>
      <c r="G802" s="27">
        <f t="shared" ref="G802:G804" si="144">G803</f>
        <v>0</v>
      </c>
      <c r="H802" s="221"/>
    </row>
    <row r="803" spans="1:12" ht="15.75" hidden="1" x14ac:dyDescent="0.25">
      <c r="A803" s="26" t="s">
        <v>577</v>
      </c>
      <c r="B803" s="17">
        <v>908</v>
      </c>
      <c r="C803" s="21" t="s">
        <v>297</v>
      </c>
      <c r="D803" s="21" t="s">
        <v>181</v>
      </c>
      <c r="E803" s="21" t="s">
        <v>578</v>
      </c>
      <c r="F803" s="21"/>
      <c r="G803" s="27">
        <f t="shared" si="144"/>
        <v>0</v>
      </c>
      <c r="H803" s="221"/>
    </row>
    <row r="804" spans="1:12" ht="15.75" hidden="1" x14ac:dyDescent="0.25">
      <c r="A804" s="26" t="s">
        <v>198</v>
      </c>
      <c r="B804" s="17">
        <v>908</v>
      </c>
      <c r="C804" s="21" t="s">
        <v>297</v>
      </c>
      <c r="D804" s="21" t="s">
        <v>181</v>
      </c>
      <c r="E804" s="21" t="s">
        <v>578</v>
      </c>
      <c r="F804" s="21" t="s">
        <v>208</v>
      </c>
      <c r="G804" s="27">
        <f t="shared" si="144"/>
        <v>0</v>
      </c>
      <c r="H804" s="221"/>
    </row>
    <row r="805" spans="1:12" ht="63" hidden="1" x14ac:dyDescent="0.25">
      <c r="A805" s="26" t="s">
        <v>247</v>
      </c>
      <c r="B805" s="17">
        <v>908</v>
      </c>
      <c r="C805" s="21" t="s">
        <v>297</v>
      </c>
      <c r="D805" s="21" t="s">
        <v>181</v>
      </c>
      <c r="E805" s="21" t="s">
        <v>578</v>
      </c>
      <c r="F805" s="21" t="s">
        <v>223</v>
      </c>
      <c r="G805" s="27">
        <v>0</v>
      </c>
      <c r="H805" s="221"/>
    </row>
    <row r="806" spans="1:12" ht="15.75" x14ac:dyDescent="0.25">
      <c r="A806" s="26" t="s">
        <v>204</v>
      </c>
      <c r="B806" s="17">
        <v>908</v>
      </c>
      <c r="C806" s="21" t="s">
        <v>297</v>
      </c>
      <c r="D806" s="21" t="s">
        <v>181</v>
      </c>
      <c r="E806" s="21" t="s">
        <v>205</v>
      </c>
      <c r="F806" s="25"/>
      <c r="G806" s="27">
        <f>G807+G812</f>
        <v>7863</v>
      </c>
      <c r="H806" s="221"/>
    </row>
    <row r="807" spans="1:12" ht="15.75" x14ac:dyDescent="0.25">
      <c r="A807" s="26" t="s">
        <v>579</v>
      </c>
      <c r="B807" s="17">
        <v>908</v>
      </c>
      <c r="C807" s="21" t="s">
        <v>297</v>
      </c>
      <c r="D807" s="21" t="s">
        <v>181</v>
      </c>
      <c r="E807" s="21" t="s">
        <v>580</v>
      </c>
      <c r="F807" s="25"/>
      <c r="G807" s="27">
        <f>G810+G808</f>
        <v>3628.8999999999996</v>
      </c>
      <c r="H807" s="221"/>
    </row>
    <row r="808" spans="1:12" ht="31.5" x14ac:dyDescent="0.25">
      <c r="A808" s="26" t="s">
        <v>194</v>
      </c>
      <c r="B808" s="17">
        <v>908</v>
      </c>
      <c r="C808" s="21" t="s">
        <v>297</v>
      </c>
      <c r="D808" s="21" t="s">
        <v>181</v>
      </c>
      <c r="E808" s="21" t="s">
        <v>580</v>
      </c>
      <c r="F808" s="21" t="s">
        <v>195</v>
      </c>
      <c r="G808" s="27">
        <f>G809</f>
        <v>1228.8999999999999</v>
      </c>
      <c r="H808" s="221"/>
    </row>
    <row r="809" spans="1:12" ht="47.25" x14ac:dyDescent="0.25">
      <c r="A809" s="26" t="s">
        <v>196</v>
      </c>
      <c r="B809" s="17">
        <v>908</v>
      </c>
      <c r="C809" s="21" t="s">
        <v>297</v>
      </c>
      <c r="D809" s="21" t="s">
        <v>181</v>
      </c>
      <c r="E809" s="21" t="s">
        <v>580</v>
      </c>
      <c r="F809" s="21" t="s">
        <v>197</v>
      </c>
      <c r="G809" s="27">
        <f>1131.3+97.6</f>
        <v>1228.8999999999999</v>
      </c>
      <c r="H809" s="255" t="s">
        <v>968</v>
      </c>
      <c r="I809" s="153"/>
    </row>
    <row r="810" spans="1:12" ht="15.75" x14ac:dyDescent="0.25">
      <c r="A810" s="26" t="s">
        <v>198</v>
      </c>
      <c r="B810" s="17">
        <v>908</v>
      </c>
      <c r="C810" s="21" t="s">
        <v>297</v>
      </c>
      <c r="D810" s="21" t="s">
        <v>181</v>
      </c>
      <c r="E810" s="21" t="s">
        <v>580</v>
      </c>
      <c r="F810" s="21" t="s">
        <v>208</v>
      </c>
      <c r="G810" s="27">
        <f>G811</f>
        <v>2400</v>
      </c>
      <c r="H810" s="221"/>
    </row>
    <row r="811" spans="1:12" ht="63" x14ac:dyDescent="0.25">
      <c r="A811" s="26" t="s">
        <v>247</v>
      </c>
      <c r="B811" s="17">
        <v>908</v>
      </c>
      <c r="C811" s="21" t="s">
        <v>297</v>
      </c>
      <c r="D811" s="21" t="s">
        <v>181</v>
      </c>
      <c r="E811" s="21" t="s">
        <v>580</v>
      </c>
      <c r="F811" s="21" t="s">
        <v>223</v>
      </c>
      <c r="G811" s="27">
        <f>1500+900</f>
        <v>2400</v>
      </c>
      <c r="H811" s="221"/>
      <c r="I811" s="141"/>
    </row>
    <row r="812" spans="1:12" ht="31.5" x14ac:dyDescent="0.25">
      <c r="A812" s="31" t="s">
        <v>462</v>
      </c>
      <c r="B812" s="17">
        <v>908</v>
      </c>
      <c r="C812" s="21" t="s">
        <v>297</v>
      </c>
      <c r="D812" s="21" t="s">
        <v>181</v>
      </c>
      <c r="E812" s="21" t="s">
        <v>463</v>
      </c>
      <c r="F812" s="25"/>
      <c r="G812" s="27">
        <f>G813</f>
        <v>4234.1000000000004</v>
      </c>
      <c r="H812" s="221"/>
    </row>
    <row r="813" spans="1:12" ht="31.5" x14ac:dyDescent="0.25">
      <c r="A813" s="26" t="s">
        <v>194</v>
      </c>
      <c r="B813" s="17">
        <v>908</v>
      </c>
      <c r="C813" s="21" t="s">
        <v>297</v>
      </c>
      <c r="D813" s="21" t="s">
        <v>181</v>
      </c>
      <c r="E813" s="21" t="s">
        <v>463</v>
      </c>
      <c r="F813" s="21" t="s">
        <v>195</v>
      </c>
      <c r="G813" s="27">
        <f>G814</f>
        <v>4234.1000000000004</v>
      </c>
      <c r="H813" s="221"/>
    </row>
    <row r="814" spans="1:12" ht="47.25" x14ac:dyDescent="0.25">
      <c r="A814" s="26" t="s">
        <v>196</v>
      </c>
      <c r="B814" s="17">
        <v>908</v>
      </c>
      <c r="C814" s="21" t="s">
        <v>297</v>
      </c>
      <c r="D814" s="21" t="s">
        <v>181</v>
      </c>
      <c r="E814" s="21" t="s">
        <v>463</v>
      </c>
      <c r="F814" s="21" t="s">
        <v>197</v>
      </c>
      <c r="G814" s="28">
        <f>3811.8+422.3</f>
        <v>4234.1000000000004</v>
      </c>
      <c r="H814" s="221"/>
    </row>
    <row r="815" spans="1:12" ht="15.75" x14ac:dyDescent="0.25">
      <c r="A815" s="24" t="s">
        <v>581</v>
      </c>
      <c r="B815" s="20">
        <v>908</v>
      </c>
      <c r="C815" s="25" t="s">
        <v>297</v>
      </c>
      <c r="D815" s="25" t="s">
        <v>276</v>
      </c>
      <c r="E815" s="25"/>
      <c r="F815" s="25"/>
      <c r="G815" s="22">
        <f>G816+G843</f>
        <v>38707.550000000003</v>
      </c>
      <c r="H815" s="221"/>
      <c r="I815" s="141"/>
      <c r="L815" s="142"/>
    </row>
    <row r="816" spans="1:12" ht="82.5" customHeight="1" x14ac:dyDescent="0.25">
      <c r="A816" s="26" t="s">
        <v>671</v>
      </c>
      <c r="B816" s="17">
        <v>908</v>
      </c>
      <c r="C816" s="21" t="s">
        <v>297</v>
      </c>
      <c r="D816" s="21" t="s">
        <v>276</v>
      </c>
      <c r="E816" s="21" t="s">
        <v>582</v>
      </c>
      <c r="F816" s="25"/>
      <c r="G816" s="27">
        <f>G820+G823+G826+G831+G834+G840</f>
        <v>4565.9000000000005</v>
      </c>
      <c r="H816" s="223"/>
      <c r="I816" s="141"/>
    </row>
    <row r="817" spans="1:13" ht="47.25" hidden="1" x14ac:dyDescent="0.25">
      <c r="A817" s="37" t="s">
        <v>583</v>
      </c>
      <c r="B817" s="17">
        <v>908</v>
      </c>
      <c r="C817" s="21" t="s">
        <v>297</v>
      </c>
      <c r="D817" s="21" t="s">
        <v>276</v>
      </c>
      <c r="E817" s="21" t="s">
        <v>584</v>
      </c>
      <c r="F817" s="21"/>
      <c r="G817" s="27">
        <f t="shared" ref="G817:G818" si="145">G818</f>
        <v>0</v>
      </c>
      <c r="H817" s="221"/>
    </row>
    <row r="818" spans="1:13" ht="31.5" hidden="1" x14ac:dyDescent="0.25">
      <c r="A818" s="26" t="s">
        <v>194</v>
      </c>
      <c r="B818" s="17">
        <v>908</v>
      </c>
      <c r="C818" s="21" t="s">
        <v>297</v>
      </c>
      <c r="D818" s="21" t="s">
        <v>276</v>
      </c>
      <c r="E818" s="21" t="s">
        <v>584</v>
      </c>
      <c r="F818" s="21" t="s">
        <v>195</v>
      </c>
      <c r="G818" s="27">
        <f t="shared" si="145"/>
        <v>0</v>
      </c>
      <c r="H818" s="221"/>
    </row>
    <row r="819" spans="1:13" ht="47.25" hidden="1" x14ac:dyDescent="0.25">
      <c r="A819" s="26" t="s">
        <v>196</v>
      </c>
      <c r="B819" s="17">
        <v>908</v>
      </c>
      <c r="C819" s="21" t="s">
        <v>297</v>
      </c>
      <c r="D819" s="21" t="s">
        <v>276</v>
      </c>
      <c r="E819" s="21" t="s">
        <v>584</v>
      </c>
      <c r="F819" s="21" t="s">
        <v>197</v>
      </c>
      <c r="G819" s="27">
        <v>0</v>
      </c>
      <c r="H819" s="221"/>
    </row>
    <row r="820" spans="1:13" ht="15.75" x14ac:dyDescent="0.25">
      <c r="A820" s="47" t="s">
        <v>585</v>
      </c>
      <c r="B820" s="17">
        <v>908</v>
      </c>
      <c r="C820" s="42" t="s">
        <v>297</v>
      </c>
      <c r="D820" s="42" t="s">
        <v>276</v>
      </c>
      <c r="E820" s="21" t="s">
        <v>586</v>
      </c>
      <c r="F820" s="42"/>
      <c r="G820" s="27">
        <f>G821</f>
        <v>919.5</v>
      </c>
      <c r="H820" s="221"/>
    </row>
    <row r="821" spans="1:13" ht="31.5" x14ac:dyDescent="0.25">
      <c r="A821" s="33" t="s">
        <v>194</v>
      </c>
      <c r="B821" s="17">
        <v>908</v>
      </c>
      <c r="C821" s="42" t="s">
        <v>297</v>
      </c>
      <c r="D821" s="42" t="s">
        <v>276</v>
      </c>
      <c r="E821" s="21" t="s">
        <v>586</v>
      </c>
      <c r="F821" s="42" t="s">
        <v>195</v>
      </c>
      <c r="G821" s="27">
        <f>G822</f>
        <v>919.5</v>
      </c>
      <c r="H821" s="221"/>
    </row>
    <row r="822" spans="1:13" ht="47.25" x14ac:dyDescent="0.25">
      <c r="A822" s="33" t="s">
        <v>196</v>
      </c>
      <c r="B822" s="17">
        <v>908</v>
      </c>
      <c r="C822" s="42" t="s">
        <v>297</v>
      </c>
      <c r="D822" s="42" t="s">
        <v>276</v>
      </c>
      <c r="E822" s="21" t="s">
        <v>586</v>
      </c>
      <c r="F822" s="42" t="s">
        <v>197</v>
      </c>
      <c r="G822" s="27">
        <f>450-277+402+341.5+3</f>
        <v>919.5</v>
      </c>
      <c r="H822" s="242" t="s">
        <v>987</v>
      </c>
      <c r="M822" s="135"/>
    </row>
    <row r="823" spans="1:13" ht="15.75" x14ac:dyDescent="0.25">
      <c r="A823" s="47" t="s">
        <v>587</v>
      </c>
      <c r="B823" s="17">
        <v>908</v>
      </c>
      <c r="C823" s="42" t="s">
        <v>297</v>
      </c>
      <c r="D823" s="42" t="s">
        <v>276</v>
      </c>
      <c r="E823" s="21" t="s">
        <v>588</v>
      </c>
      <c r="F823" s="42"/>
      <c r="G823" s="27">
        <f>G824</f>
        <v>499.90000000000003</v>
      </c>
      <c r="H823" s="221"/>
    </row>
    <row r="824" spans="1:13" ht="31.5" x14ac:dyDescent="0.25">
      <c r="A824" s="33" t="s">
        <v>194</v>
      </c>
      <c r="B824" s="17">
        <v>908</v>
      </c>
      <c r="C824" s="42" t="s">
        <v>297</v>
      </c>
      <c r="D824" s="42" t="s">
        <v>276</v>
      </c>
      <c r="E824" s="21" t="s">
        <v>588</v>
      </c>
      <c r="F824" s="42" t="s">
        <v>195</v>
      </c>
      <c r="G824" s="27">
        <f>G825</f>
        <v>499.90000000000003</v>
      </c>
      <c r="H824" s="221"/>
    </row>
    <row r="825" spans="1:13" ht="47.25" x14ac:dyDescent="0.25">
      <c r="A825" s="33" t="s">
        <v>196</v>
      </c>
      <c r="B825" s="17">
        <v>908</v>
      </c>
      <c r="C825" s="42" t="s">
        <v>297</v>
      </c>
      <c r="D825" s="42" t="s">
        <v>276</v>
      </c>
      <c r="E825" s="21" t="s">
        <v>588</v>
      </c>
      <c r="F825" s="42" t="s">
        <v>197</v>
      </c>
      <c r="G825" s="7">
        <f>110+20+2977-111.9-2484.1+119+319-719.8+270.7</f>
        <v>499.90000000000003</v>
      </c>
      <c r="H825" s="197" t="s">
        <v>1012</v>
      </c>
      <c r="J825" s="139"/>
      <c r="M825" s="135"/>
    </row>
    <row r="826" spans="1:13" ht="15.75" x14ac:dyDescent="0.25">
      <c r="A826" s="47" t="s">
        <v>589</v>
      </c>
      <c r="B826" s="17">
        <v>908</v>
      </c>
      <c r="C826" s="42" t="s">
        <v>297</v>
      </c>
      <c r="D826" s="42" t="s">
        <v>276</v>
      </c>
      <c r="E826" s="21" t="s">
        <v>590</v>
      </c>
      <c r="F826" s="42"/>
      <c r="G826" s="27">
        <f>G827+G829</f>
        <v>1873</v>
      </c>
      <c r="H826" s="221"/>
    </row>
    <row r="827" spans="1:13" ht="31.5" x14ac:dyDescent="0.25">
      <c r="A827" s="33" t="s">
        <v>194</v>
      </c>
      <c r="B827" s="17">
        <v>908</v>
      </c>
      <c r="C827" s="42" t="s">
        <v>297</v>
      </c>
      <c r="D827" s="42" t="s">
        <v>276</v>
      </c>
      <c r="E827" s="21" t="s">
        <v>590</v>
      </c>
      <c r="F827" s="42" t="s">
        <v>195</v>
      </c>
      <c r="G827" s="27">
        <f>G828</f>
        <v>1873</v>
      </c>
      <c r="H827" s="221"/>
    </row>
    <row r="828" spans="1:13" ht="47.25" x14ac:dyDescent="0.25">
      <c r="A828" s="33" t="s">
        <v>196</v>
      </c>
      <c r="B828" s="17">
        <v>908</v>
      </c>
      <c r="C828" s="42" t="s">
        <v>297</v>
      </c>
      <c r="D828" s="42" t="s">
        <v>276</v>
      </c>
      <c r="E828" s="21" t="s">
        <v>590</v>
      </c>
      <c r="F828" s="42" t="s">
        <v>197</v>
      </c>
      <c r="G828" s="7">
        <f>10+30+3534.6-2200+15.3+1969.6-402-462.5-322-300</f>
        <v>1873</v>
      </c>
      <c r="H828" s="139" t="s">
        <v>1026</v>
      </c>
      <c r="J828" s="212"/>
      <c r="M828" s="135"/>
    </row>
    <row r="829" spans="1:13" ht="15.75" hidden="1" x14ac:dyDescent="0.25">
      <c r="A829" s="26" t="s">
        <v>198</v>
      </c>
      <c r="B829" s="17">
        <v>908</v>
      </c>
      <c r="C829" s="42" t="s">
        <v>297</v>
      </c>
      <c r="D829" s="42" t="s">
        <v>276</v>
      </c>
      <c r="E829" s="21" t="s">
        <v>590</v>
      </c>
      <c r="F829" s="21" t="s">
        <v>208</v>
      </c>
      <c r="G829" s="7">
        <f>G830</f>
        <v>0</v>
      </c>
      <c r="H829" s="243"/>
      <c r="J829" s="212"/>
    </row>
    <row r="830" spans="1:13" ht="15.75" hidden="1" x14ac:dyDescent="0.25">
      <c r="A830" s="26" t="s">
        <v>633</v>
      </c>
      <c r="B830" s="17">
        <v>908</v>
      </c>
      <c r="C830" s="42" t="s">
        <v>297</v>
      </c>
      <c r="D830" s="42" t="s">
        <v>276</v>
      </c>
      <c r="E830" s="21" t="s">
        <v>590</v>
      </c>
      <c r="F830" s="21" t="s">
        <v>201</v>
      </c>
      <c r="G830" s="7"/>
      <c r="H830" s="243"/>
      <c r="J830" s="212"/>
    </row>
    <row r="831" spans="1:13" ht="15.75" x14ac:dyDescent="0.25">
      <c r="A831" s="47" t="s">
        <v>591</v>
      </c>
      <c r="B831" s="17">
        <v>908</v>
      </c>
      <c r="C831" s="42" t="s">
        <v>297</v>
      </c>
      <c r="D831" s="42" t="s">
        <v>276</v>
      </c>
      <c r="E831" s="21" t="s">
        <v>592</v>
      </c>
      <c r="F831" s="42"/>
      <c r="G831" s="27">
        <f>G832</f>
        <v>766.1</v>
      </c>
      <c r="H831" s="221"/>
    </row>
    <row r="832" spans="1:13" ht="31.5" x14ac:dyDescent="0.25">
      <c r="A832" s="33" t="s">
        <v>194</v>
      </c>
      <c r="B832" s="17">
        <v>908</v>
      </c>
      <c r="C832" s="42" t="s">
        <v>297</v>
      </c>
      <c r="D832" s="42" t="s">
        <v>276</v>
      </c>
      <c r="E832" s="21" t="s">
        <v>592</v>
      </c>
      <c r="F832" s="42" t="s">
        <v>195</v>
      </c>
      <c r="G832" s="27">
        <f>G833</f>
        <v>766.1</v>
      </c>
      <c r="H832" s="221"/>
    </row>
    <row r="833" spans="1:13" ht="47.25" x14ac:dyDescent="0.25">
      <c r="A833" s="33" t="s">
        <v>196</v>
      </c>
      <c r="B833" s="17">
        <v>908</v>
      </c>
      <c r="C833" s="42" t="s">
        <v>297</v>
      </c>
      <c r="D833" s="42" t="s">
        <v>276</v>
      </c>
      <c r="E833" s="21" t="s">
        <v>592</v>
      </c>
      <c r="F833" s="42" t="s">
        <v>197</v>
      </c>
      <c r="G833" s="7">
        <f>250+5+681.1-522-255-1.1+606.1+2</f>
        <v>766.1</v>
      </c>
      <c r="H833" s="139" t="s">
        <v>1001</v>
      </c>
      <c r="J833" s="243"/>
      <c r="L833" s="232"/>
      <c r="M833" s="232"/>
    </row>
    <row r="834" spans="1:13" ht="15.75" x14ac:dyDescent="0.25">
      <c r="A834" s="47" t="s">
        <v>593</v>
      </c>
      <c r="B834" s="17">
        <v>908</v>
      </c>
      <c r="C834" s="42" t="s">
        <v>297</v>
      </c>
      <c r="D834" s="42" t="s">
        <v>276</v>
      </c>
      <c r="E834" s="21" t="s">
        <v>594</v>
      </c>
      <c r="F834" s="42"/>
      <c r="G834" s="27">
        <f>G835</f>
        <v>497.29999999999995</v>
      </c>
      <c r="H834" s="221"/>
    </row>
    <row r="835" spans="1:13" ht="31.5" x14ac:dyDescent="0.25">
      <c r="A835" s="33" t="s">
        <v>194</v>
      </c>
      <c r="B835" s="17">
        <v>908</v>
      </c>
      <c r="C835" s="42" t="s">
        <v>297</v>
      </c>
      <c r="D835" s="42" t="s">
        <v>276</v>
      </c>
      <c r="E835" s="21" t="s">
        <v>594</v>
      </c>
      <c r="F835" s="42" t="s">
        <v>195</v>
      </c>
      <c r="G835" s="27">
        <f>G836</f>
        <v>497.29999999999995</v>
      </c>
      <c r="H835" s="221"/>
    </row>
    <row r="836" spans="1:13" ht="47.25" x14ac:dyDescent="0.25">
      <c r="A836" s="33" t="s">
        <v>196</v>
      </c>
      <c r="B836" s="17">
        <v>908</v>
      </c>
      <c r="C836" s="42" t="s">
        <v>297</v>
      </c>
      <c r="D836" s="42" t="s">
        <v>276</v>
      </c>
      <c r="E836" s="21" t="s">
        <v>594</v>
      </c>
      <c r="F836" s="42" t="s">
        <v>197</v>
      </c>
      <c r="G836" s="27">
        <f>2+286.2-15.3+224.4</f>
        <v>497.29999999999995</v>
      </c>
      <c r="H836" s="139"/>
      <c r="J836" s="213"/>
    </row>
    <row r="837" spans="1:13" ht="31.5" hidden="1" x14ac:dyDescent="0.25">
      <c r="A837" s="222" t="s">
        <v>595</v>
      </c>
      <c r="B837" s="17">
        <v>908</v>
      </c>
      <c r="C837" s="42" t="s">
        <v>297</v>
      </c>
      <c r="D837" s="42" t="s">
        <v>276</v>
      </c>
      <c r="E837" s="21" t="s">
        <v>596</v>
      </c>
      <c r="F837" s="42"/>
      <c r="G837" s="27">
        <f>G838</f>
        <v>0</v>
      </c>
      <c r="H837" s="221"/>
    </row>
    <row r="838" spans="1:13" ht="31.5" hidden="1" x14ac:dyDescent="0.25">
      <c r="A838" s="33" t="s">
        <v>194</v>
      </c>
      <c r="B838" s="17">
        <v>908</v>
      </c>
      <c r="C838" s="42" t="s">
        <v>297</v>
      </c>
      <c r="D838" s="42" t="s">
        <v>276</v>
      </c>
      <c r="E838" s="21" t="s">
        <v>596</v>
      </c>
      <c r="F838" s="42" t="s">
        <v>195</v>
      </c>
      <c r="G838" s="27">
        <f>G839</f>
        <v>0</v>
      </c>
      <c r="H838" s="221"/>
    </row>
    <row r="839" spans="1:13" ht="47.25" hidden="1" x14ac:dyDescent="0.25">
      <c r="A839" s="33" t="s">
        <v>196</v>
      </c>
      <c r="B839" s="17">
        <v>908</v>
      </c>
      <c r="C839" s="42" t="s">
        <v>297</v>
      </c>
      <c r="D839" s="42" t="s">
        <v>276</v>
      </c>
      <c r="E839" s="21" t="s">
        <v>596</v>
      </c>
      <c r="F839" s="42" t="s">
        <v>197</v>
      </c>
      <c r="G839" s="27">
        <v>0</v>
      </c>
      <c r="H839" s="221"/>
    </row>
    <row r="840" spans="1:13" ht="15.75" x14ac:dyDescent="0.25">
      <c r="A840" s="222" t="s">
        <v>597</v>
      </c>
      <c r="B840" s="17">
        <v>908</v>
      </c>
      <c r="C840" s="42" t="s">
        <v>297</v>
      </c>
      <c r="D840" s="42" t="s">
        <v>276</v>
      </c>
      <c r="E840" s="21" t="s">
        <v>598</v>
      </c>
      <c r="F840" s="42"/>
      <c r="G840" s="27">
        <f>G841</f>
        <v>10.1</v>
      </c>
      <c r="H840" s="221"/>
    </row>
    <row r="841" spans="1:13" ht="31.5" x14ac:dyDescent="0.25">
      <c r="A841" s="26" t="s">
        <v>194</v>
      </c>
      <c r="B841" s="17">
        <v>908</v>
      </c>
      <c r="C841" s="42" t="s">
        <v>297</v>
      </c>
      <c r="D841" s="42" t="s">
        <v>276</v>
      </c>
      <c r="E841" s="21" t="s">
        <v>598</v>
      </c>
      <c r="F841" s="42" t="s">
        <v>195</v>
      </c>
      <c r="G841" s="27">
        <f>G842</f>
        <v>10.1</v>
      </c>
      <c r="H841" s="221"/>
    </row>
    <row r="842" spans="1:13" ht="47.25" x14ac:dyDescent="0.25">
      <c r="A842" s="26" t="s">
        <v>196</v>
      </c>
      <c r="B842" s="17">
        <v>908</v>
      </c>
      <c r="C842" s="42" t="s">
        <v>297</v>
      </c>
      <c r="D842" s="42" t="s">
        <v>276</v>
      </c>
      <c r="E842" s="21" t="s">
        <v>598</v>
      </c>
      <c r="F842" s="42" t="s">
        <v>197</v>
      </c>
      <c r="G842" s="27">
        <f>15+174-140-39+0.1</f>
        <v>10.1</v>
      </c>
      <c r="H842" s="139" t="s">
        <v>944</v>
      </c>
      <c r="J842" s="213"/>
    </row>
    <row r="843" spans="1:13" ht="15.75" x14ac:dyDescent="0.25">
      <c r="A843" s="26" t="s">
        <v>184</v>
      </c>
      <c r="B843" s="17">
        <v>908</v>
      </c>
      <c r="C843" s="21" t="s">
        <v>297</v>
      </c>
      <c r="D843" s="21" t="s">
        <v>276</v>
      </c>
      <c r="E843" s="21" t="s">
        <v>185</v>
      </c>
      <c r="F843" s="21"/>
      <c r="G843" s="27">
        <f>G844+G854</f>
        <v>34141.65</v>
      </c>
      <c r="H843" s="221"/>
    </row>
    <row r="844" spans="1:13" ht="31.5" x14ac:dyDescent="0.25">
      <c r="A844" s="26" t="s">
        <v>248</v>
      </c>
      <c r="B844" s="17">
        <v>908</v>
      </c>
      <c r="C844" s="21" t="s">
        <v>297</v>
      </c>
      <c r="D844" s="21" t="s">
        <v>276</v>
      </c>
      <c r="E844" s="21" t="s">
        <v>249</v>
      </c>
      <c r="F844" s="21"/>
      <c r="G844" s="27">
        <f>G845+G848+G851</f>
        <v>25111.200000000001</v>
      </c>
      <c r="H844" s="221"/>
    </row>
    <row r="845" spans="1:13" ht="47.25" x14ac:dyDescent="0.25">
      <c r="A845" s="126" t="s">
        <v>788</v>
      </c>
      <c r="B845" s="17">
        <v>908</v>
      </c>
      <c r="C845" s="21" t="s">
        <v>297</v>
      </c>
      <c r="D845" s="21" t="s">
        <v>276</v>
      </c>
      <c r="E845" s="21" t="s">
        <v>599</v>
      </c>
      <c r="F845" s="21"/>
      <c r="G845" s="27">
        <f>G846</f>
        <v>5000</v>
      </c>
      <c r="H845" s="221"/>
    </row>
    <row r="846" spans="1:13" ht="31.5" x14ac:dyDescent="0.25">
      <c r="A846" s="26" t="s">
        <v>194</v>
      </c>
      <c r="B846" s="17">
        <v>908</v>
      </c>
      <c r="C846" s="21" t="s">
        <v>297</v>
      </c>
      <c r="D846" s="21" t="s">
        <v>276</v>
      </c>
      <c r="E846" s="21" t="s">
        <v>599</v>
      </c>
      <c r="F846" s="21" t="s">
        <v>195</v>
      </c>
      <c r="G846" s="27">
        <f>G847</f>
        <v>5000</v>
      </c>
      <c r="H846" s="221"/>
    </row>
    <row r="847" spans="1:13" ht="47.25" x14ac:dyDescent="0.25">
      <c r="A847" s="26" t="s">
        <v>196</v>
      </c>
      <c r="B847" s="17">
        <v>908</v>
      </c>
      <c r="C847" s="21" t="s">
        <v>297</v>
      </c>
      <c r="D847" s="21" t="s">
        <v>276</v>
      </c>
      <c r="E847" s="21" t="s">
        <v>599</v>
      </c>
      <c r="F847" s="21" t="s">
        <v>197</v>
      </c>
      <c r="G847" s="27">
        <f>5000</f>
        <v>5000</v>
      </c>
      <c r="H847" s="221"/>
      <c r="I847" s="141"/>
    </row>
    <row r="848" spans="1:13" ht="31.5" x14ac:dyDescent="0.25">
      <c r="A848" s="37" t="s">
        <v>794</v>
      </c>
      <c r="B848" s="17">
        <v>908</v>
      </c>
      <c r="C848" s="21" t="s">
        <v>297</v>
      </c>
      <c r="D848" s="21" t="s">
        <v>276</v>
      </c>
      <c r="E848" s="21" t="s">
        <v>601</v>
      </c>
      <c r="F848" s="21"/>
      <c r="G848" s="27">
        <f t="shared" ref="G848:G849" si="146">G849</f>
        <v>20000</v>
      </c>
      <c r="H848" s="221"/>
    </row>
    <row r="849" spans="1:20" ht="31.5" x14ac:dyDescent="0.25">
      <c r="A849" s="26" t="s">
        <v>194</v>
      </c>
      <c r="B849" s="17">
        <v>908</v>
      </c>
      <c r="C849" s="21" t="s">
        <v>297</v>
      </c>
      <c r="D849" s="21" t="s">
        <v>276</v>
      </c>
      <c r="E849" s="21" t="s">
        <v>601</v>
      </c>
      <c r="F849" s="21" t="s">
        <v>195</v>
      </c>
      <c r="G849" s="27">
        <f t="shared" si="146"/>
        <v>20000</v>
      </c>
      <c r="H849" s="221"/>
    </row>
    <row r="850" spans="1:20" ht="47.25" x14ac:dyDescent="0.25">
      <c r="A850" s="26" t="s">
        <v>196</v>
      </c>
      <c r="B850" s="17">
        <v>908</v>
      </c>
      <c r="C850" s="21" t="s">
        <v>297</v>
      </c>
      <c r="D850" s="21" t="s">
        <v>276</v>
      </c>
      <c r="E850" s="21" t="s">
        <v>601</v>
      </c>
      <c r="F850" s="21" t="s">
        <v>197</v>
      </c>
      <c r="G850" s="27">
        <v>20000</v>
      </c>
      <c r="H850" s="132"/>
    </row>
    <row r="851" spans="1:20" ht="47.25" x14ac:dyDescent="0.25">
      <c r="A851" s="26" t="s">
        <v>795</v>
      </c>
      <c r="B851" s="17">
        <v>908</v>
      </c>
      <c r="C851" s="21" t="s">
        <v>297</v>
      </c>
      <c r="D851" s="21" t="s">
        <v>276</v>
      </c>
      <c r="E851" s="21" t="s">
        <v>796</v>
      </c>
      <c r="F851" s="21"/>
      <c r="G851" s="27">
        <f>G852</f>
        <v>111.2</v>
      </c>
      <c r="H851" s="134"/>
    </row>
    <row r="852" spans="1:20" ht="31.5" x14ac:dyDescent="0.25">
      <c r="A852" s="26" t="s">
        <v>194</v>
      </c>
      <c r="B852" s="17">
        <v>908</v>
      </c>
      <c r="C852" s="21" t="s">
        <v>297</v>
      </c>
      <c r="D852" s="21" t="s">
        <v>276</v>
      </c>
      <c r="E852" s="21" t="s">
        <v>796</v>
      </c>
      <c r="F852" s="21" t="s">
        <v>195</v>
      </c>
      <c r="G852" s="27">
        <f>G853</f>
        <v>111.2</v>
      </c>
      <c r="H852" s="134"/>
    </row>
    <row r="853" spans="1:20" ht="47.25" x14ac:dyDescent="0.25">
      <c r="A853" s="26" t="s">
        <v>196</v>
      </c>
      <c r="B853" s="17">
        <v>908</v>
      </c>
      <c r="C853" s="21" t="s">
        <v>297</v>
      </c>
      <c r="D853" s="21" t="s">
        <v>276</v>
      </c>
      <c r="E853" s="21" t="s">
        <v>796</v>
      </c>
      <c r="F853" s="21" t="s">
        <v>197</v>
      </c>
      <c r="G853" s="27">
        <v>111.2</v>
      </c>
      <c r="H853" s="134"/>
    </row>
    <row r="854" spans="1:20" ht="15.75" x14ac:dyDescent="0.25">
      <c r="A854" s="26" t="s">
        <v>204</v>
      </c>
      <c r="B854" s="17">
        <v>908</v>
      </c>
      <c r="C854" s="21" t="s">
        <v>297</v>
      </c>
      <c r="D854" s="21" t="s">
        <v>276</v>
      </c>
      <c r="E854" s="21" t="s">
        <v>205</v>
      </c>
      <c r="F854" s="21"/>
      <c r="G854" s="27">
        <f>G855+G861</f>
        <v>9030.4500000000025</v>
      </c>
      <c r="H854" s="221"/>
    </row>
    <row r="855" spans="1:20" ht="31.5" x14ac:dyDescent="0.25">
      <c r="A855" s="37" t="s">
        <v>602</v>
      </c>
      <c r="B855" s="17">
        <v>908</v>
      </c>
      <c r="C855" s="21" t="s">
        <v>297</v>
      </c>
      <c r="D855" s="21" t="s">
        <v>276</v>
      </c>
      <c r="E855" s="21" t="s">
        <v>603</v>
      </c>
      <c r="F855" s="21"/>
      <c r="G855" s="27">
        <f>G856+G858</f>
        <v>683.45000000000243</v>
      </c>
      <c r="H855" s="221"/>
    </row>
    <row r="856" spans="1:20" ht="31.5" x14ac:dyDescent="0.25">
      <c r="A856" s="26" t="s">
        <v>194</v>
      </c>
      <c r="B856" s="17">
        <v>908</v>
      </c>
      <c r="C856" s="21" t="s">
        <v>297</v>
      </c>
      <c r="D856" s="21" t="s">
        <v>276</v>
      </c>
      <c r="E856" s="21" t="s">
        <v>603</v>
      </c>
      <c r="F856" s="21" t="s">
        <v>195</v>
      </c>
      <c r="G856" s="27">
        <f>G857</f>
        <v>651.85000000000241</v>
      </c>
      <c r="H856" s="221"/>
    </row>
    <row r="857" spans="1:20" ht="47.25" x14ac:dyDescent="0.25">
      <c r="A857" s="26" t="s">
        <v>196</v>
      </c>
      <c r="B857" s="17">
        <v>908</v>
      </c>
      <c r="C857" s="21" t="s">
        <v>297</v>
      </c>
      <c r="D857" s="21" t="s">
        <v>276</v>
      </c>
      <c r="E857" s="21" t="s">
        <v>603</v>
      </c>
      <c r="F857" s="21" t="s">
        <v>197</v>
      </c>
      <c r="G857" s="27">
        <f>10880-5000-2230+172.1+16500+140+111.9-1640.3-2002.8-4016.5-824.95-231.4-200.5-10.8-49-300-100-133-120-6900.4-97.6-90-2601.2-270.7-333</f>
        <v>651.85000000000241</v>
      </c>
      <c r="H857" s="132" t="s">
        <v>1020</v>
      </c>
      <c r="I857" s="141"/>
      <c r="J857" s="214"/>
      <c r="L857" s="231"/>
      <c r="M857" s="232"/>
      <c r="N857" s="232"/>
      <c r="O857" s="232"/>
      <c r="P857" s="232"/>
      <c r="Q857" s="232"/>
      <c r="R857" s="232"/>
      <c r="T857" s="232"/>
    </row>
    <row r="858" spans="1:20" ht="15.75" x14ac:dyDescent="0.25">
      <c r="A858" s="26" t="s">
        <v>198</v>
      </c>
      <c r="B858" s="17">
        <v>908</v>
      </c>
      <c r="C858" s="21" t="s">
        <v>297</v>
      </c>
      <c r="D858" s="21" t="s">
        <v>276</v>
      </c>
      <c r="E858" s="21" t="s">
        <v>603</v>
      </c>
      <c r="F858" s="21" t="s">
        <v>208</v>
      </c>
      <c r="G858" s="27">
        <f t="shared" ref="G858" si="147">G859+G860</f>
        <v>31.6</v>
      </c>
      <c r="H858" s="221"/>
    </row>
    <row r="859" spans="1:20" ht="63" hidden="1" x14ac:dyDescent="0.25">
      <c r="A859" s="26" t="s">
        <v>247</v>
      </c>
      <c r="B859" s="17">
        <v>908</v>
      </c>
      <c r="C859" s="21" t="s">
        <v>297</v>
      </c>
      <c r="D859" s="21" t="s">
        <v>276</v>
      </c>
      <c r="E859" s="21" t="s">
        <v>603</v>
      </c>
      <c r="F859" s="21" t="s">
        <v>223</v>
      </c>
      <c r="G859" s="27">
        <v>0</v>
      </c>
      <c r="H859" s="221"/>
    </row>
    <row r="860" spans="1:20" ht="15.75" x14ac:dyDescent="0.25">
      <c r="A860" s="26" t="s">
        <v>633</v>
      </c>
      <c r="B860" s="17">
        <v>908</v>
      </c>
      <c r="C860" s="21" t="s">
        <v>297</v>
      </c>
      <c r="D860" s="21" t="s">
        <v>276</v>
      </c>
      <c r="E860" s="21" t="s">
        <v>603</v>
      </c>
      <c r="F860" s="21" t="s">
        <v>201</v>
      </c>
      <c r="G860" s="27">
        <v>31.6</v>
      </c>
      <c r="H860" s="132"/>
      <c r="I860" s="152"/>
    </row>
    <row r="861" spans="1:20" ht="15.75" x14ac:dyDescent="0.25">
      <c r="A861" s="26" t="s">
        <v>604</v>
      </c>
      <c r="B861" s="17">
        <v>908</v>
      </c>
      <c r="C861" s="21" t="s">
        <v>297</v>
      </c>
      <c r="D861" s="21" t="s">
        <v>276</v>
      </c>
      <c r="E861" s="21" t="s">
        <v>605</v>
      </c>
      <c r="F861" s="21"/>
      <c r="G861" s="27">
        <f>G864+G862</f>
        <v>8347</v>
      </c>
      <c r="H861" s="221"/>
    </row>
    <row r="862" spans="1:20" ht="31.5" x14ac:dyDescent="0.25">
      <c r="A862" s="26" t="s">
        <v>194</v>
      </c>
      <c r="B862" s="17">
        <v>908</v>
      </c>
      <c r="C862" s="21" t="s">
        <v>297</v>
      </c>
      <c r="D862" s="21" t="s">
        <v>276</v>
      </c>
      <c r="E862" s="21" t="s">
        <v>605</v>
      </c>
      <c r="F862" s="21" t="s">
        <v>195</v>
      </c>
      <c r="G862" s="27">
        <f>G863</f>
        <v>4017.6</v>
      </c>
      <c r="H862" s="221"/>
    </row>
    <row r="863" spans="1:20" ht="47.25" x14ac:dyDescent="0.25">
      <c r="A863" s="26" t="s">
        <v>196</v>
      </c>
      <c r="B863" s="17">
        <v>908</v>
      </c>
      <c r="C863" s="21" t="s">
        <v>297</v>
      </c>
      <c r="D863" s="21" t="s">
        <v>276</v>
      </c>
      <c r="E863" s="21" t="s">
        <v>605</v>
      </c>
      <c r="F863" s="21" t="s">
        <v>197</v>
      </c>
      <c r="G863" s="27">
        <f>4016.5+1.1-2017.6+2017.6</f>
        <v>4017.6</v>
      </c>
      <c r="H863" s="221">
        <v>0</v>
      </c>
    </row>
    <row r="864" spans="1:20" ht="15.75" x14ac:dyDescent="0.25">
      <c r="A864" s="26" t="s">
        <v>198</v>
      </c>
      <c r="B864" s="17">
        <v>908</v>
      </c>
      <c r="C864" s="21" t="s">
        <v>297</v>
      </c>
      <c r="D864" s="21" t="s">
        <v>276</v>
      </c>
      <c r="E864" s="21" t="s">
        <v>605</v>
      </c>
      <c r="F864" s="21" t="s">
        <v>208</v>
      </c>
      <c r="G864" s="27">
        <f>G865</f>
        <v>4329.4000000000005</v>
      </c>
      <c r="H864" s="221"/>
    </row>
    <row r="865" spans="1:9" ht="15.75" x14ac:dyDescent="0.25">
      <c r="A865" s="26" t="s">
        <v>209</v>
      </c>
      <c r="B865" s="17">
        <v>908</v>
      </c>
      <c r="C865" s="21" t="s">
        <v>297</v>
      </c>
      <c r="D865" s="21" t="s">
        <v>276</v>
      </c>
      <c r="E865" s="21" t="s">
        <v>605</v>
      </c>
      <c r="F865" s="21" t="s">
        <v>210</v>
      </c>
      <c r="G865" s="27">
        <f>2678.3+1640.3+10.8</f>
        <v>4329.4000000000005</v>
      </c>
      <c r="H865" s="221"/>
      <c r="I865" s="141"/>
    </row>
    <row r="866" spans="1:9" ht="15.75" x14ac:dyDescent="0.25">
      <c r="A866" s="24" t="s">
        <v>606</v>
      </c>
      <c r="B866" s="20">
        <v>908</v>
      </c>
      <c r="C866" s="25" t="s">
        <v>297</v>
      </c>
      <c r="D866" s="25" t="s">
        <v>278</v>
      </c>
      <c r="E866" s="25"/>
      <c r="F866" s="25"/>
      <c r="G866" s="22">
        <f>G867++G897+G893</f>
        <v>16656.899999999998</v>
      </c>
      <c r="H866" s="221"/>
    </row>
    <row r="867" spans="1:9" ht="47.25" x14ac:dyDescent="0.25">
      <c r="A867" s="26" t="s">
        <v>607</v>
      </c>
      <c r="B867" s="17">
        <v>908</v>
      </c>
      <c r="C867" s="21" t="s">
        <v>297</v>
      </c>
      <c r="D867" s="21" t="s">
        <v>278</v>
      </c>
      <c r="E867" s="21" t="s">
        <v>608</v>
      </c>
      <c r="F867" s="21"/>
      <c r="G867" s="27">
        <f>G868+G878</f>
        <v>3683.4000000000005</v>
      </c>
      <c r="H867" s="221"/>
    </row>
    <row r="868" spans="1:9" ht="47.25" x14ac:dyDescent="0.25">
      <c r="A868" s="26" t="s">
        <v>609</v>
      </c>
      <c r="B868" s="17">
        <v>908</v>
      </c>
      <c r="C868" s="21" t="s">
        <v>297</v>
      </c>
      <c r="D868" s="21" t="s">
        <v>278</v>
      </c>
      <c r="E868" s="21" t="s">
        <v>610</v>
      </c>
      <c r="F868" s="21"/>
      <c r="G868" s="27">
        <f>G869+G872+G875</f>
        <v>2583.2000000000007</v>
      </c>
      <c r="H868" s="221"/>
    </row>
    <row r="869" spans="1:9" ht="31.5" x14ac:dyDescent="0.25">
      <c r="A869" s="26" t="s">
        <v>611</v>
      </c>
      <c r="B869" s="17">
        <v>908</v>
      </c>
      <c r="C869" s="21" t="s">
        <v>297</v>
      </c>
      <c r="D869" s="21" t="s">
        <v>278</v>
      </c>
      <c r="E869" s="21" t="s">
        <v>612</v>
      </c>
      <c r="F869" s="21"/>
      <c r="G869" s="27">
        <f>G870</f>
        <v>250</v>
      </c>
      <c r="H869" s="221"/>
    </row>
    <row r="870" spans="1:9" ht="31.5" x14ac:dyDescent="0.25">
      <c r="A870" s="26" t="s">
        <v>194</v>
      </c>
      <c r="B870" s="17">
        <v>908</v>
      </c>
      <c r="C870" s="21" t="s">
        <v>297</v>
      </c>
      <c r="D870" s="21" t="s">
        <v>278</v>
      </c>
      <c r="E870" s="21" t="s">
        <v>612</v>
      </c>
      <c r="F870" s="21" t="s">
        <v>195</v>
      </c>
      <c r="G870" s="27">
        <f>G871</f>
        <v>250</v>
      </c>
      <c r="H870" s="221"/>
    </row>
    <row r="871" spans="1:9" ht="47.25" x14ac:dyDescent="0.25">
      <c r="A871" s="26" t="s">
        <v>196</v>
      </c>
      <c r="B871" s="17">
        <v>908</v>
      </c>
      <c r="C871" s="21" t="s">
        <v>297</v>
      </c>
      <c r="D871" s="21" t="s">
        <v>278</v>
      </c>
      <c r="E871" s="21" t="s">
        <v>612</v>
      </c>
      <c r="F871" s="21" t="s">
        <v>197</v>
      </c>
      <c r="G871" s="27">
        <f>253.4-3.4</f>
        <v>250</v>
      </c>
      <c r="H871" s="221" t="s">
        <v>945</v>
      </c>
    </row>
    <row r="872" spans="1:9" ht="15.75" x14ac:dyDescent="0.25">
      <c r="A872" s="26" t="s">
        <v>613</v>
      </c>
      <c r="B872" s="17">
        <v>908</v>
      </c>
      <c r="C872" s="21" t="s">
        <v>297</v>
      </c>
      <c r="D872" s="21" t="s">
        <v>278</v>
      </c>
      <c r="E872" s="21" t="s">
        <v>614</v>
      </c>
      <c r="F872" s="21"/>
      <c r="G872" s="27">
        <f>G873</f>
        <v>2298.6000000000004</v>
      </c>
      <c r="H872" s="221"/>
    </row>
    <row r="873" spans="1:9" ht="31.5" x14ac:dyDescent="0.25">
      <c r="A873" s="26" t="s">
        <v>194</v>
      </c>
      <c r="B873" s="17">
        <v>908</v>
      </c>
      <c r="C873" s="21" t="s">
        <v>297</v>
      </c>
      <c r="D873" s="21" t="s">
        <v>278</v>
      </c>
      <c r="E873" s="21" t="s">
        <v>614</v>
      </c>
      <c r="F873" s="21" t="s">
        <v>195</v>
      </c>
      <c r="G873" s="27">
        <f>G874</f>
        <v>2298.6000000000004</v>
      </c>
      <c r="H873" s="221"/>
    </row>
    <row r="874" spans="1:9" ht="47.25" x14ac:dyDescent="0.25">
      <c r="A874" s="26" t="s">
        <v>196</v>
      </c>
      <c r="B874" s="17">
        <v>908</v>
      </c>
      <c r="C874" s="21" t="s">
        <v>297</v>
      </c>
      <c r="D874" s="21" t="s">
        <v>278</v>
      </c>
      <c r="E874" s="21" t="s">
        <v>614</v>
      </c>
      <c r="F874" s="21" t="s">
        <v>197</v>
      </c>
      <c r="G874" s="27">
        <f>5258.6-3298.9+338.9</f>
        <v>2298.6000000000004</v>
      </c>
      <c r="H874" s="221" t="s">
        <v>1010</v>
      </c>
    </row>
    <row r="875" spans="1:9" ht="15.75" x14ac:dyDescent="0.25">
      <c r="A875" s="26" t="s">
        <v>615</v>
      </c>
      <c r="B875" s="17">
        <v>908</v>
      </c>
      <c r="C875" s="21" t="s">
        <v>297</v>
      </c>
      <c r="D875" s="21" t="s">
        <v>278</v>
      </c>
      <c r="E875" s="21" t="s">
        <v>616</v>
      </c>
      <c r="F875" s="21"/>
      <c r="G875" s="27">
        <f>G876</f>
        <v>34.600000000000179</v>
      </c>
      <c r="H875" s="221"/>
    </row>
    <row r="876" spans="1:9" ht="31.5" x14ac:dyDescent="0.25">
      <c r="A876" s="26" t="s">
        <v>194</v>
      </c>
      <c r="B876" s="17">
        <v>908</v>
      </c>
      <c r="C876" s="21" t="s">
        <v>297</v>
      </c>
      <c r="D876" s="21" t="s">
        <v>278</v>
      </c>
      <c r="E876" s="21" t="s">
        <v>616</v>
      </c>
      <c r="F876" s="21" t="s">
        <v>195</v>
      </c>
      <c r="G876" s="27">
        <f>G877</f>
        <v>34.600000000000179</v>
      </c>
      <c r="H876" s="221"/>
    </row>
    <row r="877" spans="1:9" ht="47.25" x14ac:dyDescent="0.25">
      <c r="A877" s="26" t="s">
        <v>196</v>
      </c>
      <c r="B877" s="17">
        <v>908</v>
      </c>
      <c r="C877" s="21" t="s">
        <v>297</v>
      </c>
      <c r="D877" s="21" t="s">
        <v>278</v>
      </c>
      <c r="E877" s="21" t="s">
        <v>616</v>
      </c>
      <c r="F877" s="21" t="s">
        <v>197</v>
      </c>
      <c r="G877" s="27">
        <f>3185.3-3154+3.3</f>
        <v>34.600000000000179</v>
      </c>
      <c r="H877" s="221" t="s">
        <v>1011</v>
      </c>
    </row>
    <row r="878" spans="1:9" ht="47.25" x14ac:dyDescent="0.25">
      <c r="A878" s="26" t="s">
        <v>617</v>
      </c>
      <c r="B878" s="17">
        <v>908</v>
      </c>
      <c r="C878" s="21" t="s">
        <v>297</v>
      </c>
      <c r="D878" s="21" t="s">
        <v>278</v>
      </c>
      <c r="E878" s="21" t="s">
        <v>618</v>
      </c>
      <c r="F878" s="21"/>
      <c r="G878" s="27">
        <f>G879+G884+G887+G890</f>
        <v>1100.2</v>
      </c>
      <c r="H878" s="221"/>
    </row>
    <row r="879" spans="1:9" ht="15.75" x14ac:dyDescent="0.25">
      <c r="A879" s="26" t="s">
        <v>615</v>
      </c>
      <c r="B879" s="17">
        <v>908</v>
      </c>
      <c r="C879" s="21" t="s">
        <v>297</v>
      </c>
      <c r="D879" s="21" t="s">
        <v>278</v>
      </c>
      <c r="E879" s="21" t="s">
        <v>619</v>
      </c>
      <c r="F879" s="21"/>
      <c r="G879" s="27">
        <f>G880+G882</f>
        <v>672.3</v>
      </c>
      <c r="H879" s="221"/>
    </row>
    <row r="880" spans="1:9" ht="94.5" x14ac:dyDescent="0.25">
      <c r="A880" s="26" t="s">
        <v>190</v>
      </c>
      <c r="B880" s="17">
        <v>908</v>
      </c>
      <c r="C880" s="21" t="s">
        <v>297</v>
      </c>
      <c r="D880" s="21" t="s">
        <v>278</v>
      </c>
      <c r="E880" s="21" t="s">
        <v>619</v>
      </c>
      <c r="F880" s="21" t="s">
        <v>191</v>
      </c>
      <c r="G880" s="27">
        <f>G881</f>
        <v>652.19999999999993</v>
      </c>
      <c r="H880" s="221"/>
    </row>
    <row r="881" spans="1:8" ht="31.5" x14ac:dyDescent="0.25">
      <c r="A881" s="48" t="s">
        <v>405</v>
      </c>
      <c r="B881" s="17">
        <v>908</v>
      </c>
      <c r="C881" s="21" t="s">
        <v>297</v>
      </c>
      <c r="D881" s="21" t="s">
        <v>278</v>
      </c>
      <c r="E881" s="21" t="s">
        <v>619</v>
      </c>
      <c r="F881" s="21" t="s">
        <v>272</v>
      </c>
      <c r="G881" s="27">
        <f>801.5+91.3-240.6</f>
        <v>652.19999999999993</v>
      </c>
      <c r="H881" s="132" t="s">
        <v>997</v>
      </c>
    </row>
    <row r="882" spans="1:8" ht="31.5" x14ac:dyDescent="0.25">
      <c r="A882" s="26" t="s">
        <v>194</v>
      </c>
      <c r="B882" s="17">
        <v>908</v>
      </c>
      <c r="C882" s="21" t="s">
        <v>297</v>
      </c>
      <c r="D882" s="21" t="s">
        <v>278</v>
      </c>
      <c r="E882" s="21" t="s">
        <v>619</v>
      </c>
      <c r="F882" s="21" t="s">
        <v>195</v>
      </c>
      <c r="G882" s="27">
        <f>G883</f>
        <v>20.099999999999994</v>
      </c>
      <c r="H882" s="221"/>
    </row>
    <row r="883" spans="1:8" ht="47.25" x14ac:dyDescent="0.25">
      <c r="A883" s="26" t="s">
        <v>196</v>
      </c>
      <c r="B883" s="17">
        <v>908</v>
      </c>
      <c r="C883" s="21" t="s">
        <v>297</v>
      </c>
      <c r="D883" s="21" t="s">
        <v>278</v>
      </c>
      <c r="E883" s="21" t="s">
        <v>619</v>
      </c>
      <c r="F883" s="21" t="s">
        <v>197</v>
      </c>
      <c r="G883" s="27">
        <f>219.6-199.5</f>
        <v>20.099999999999994</v>
      </c>
      <c r="H883" s="221"/>
    </row>
    <row r="884" spans="1:8" ht="15.75" hidden="1" x14ac:dyDescent="0.25">
      <c r="A884" s="26" t="s">
        <v>620</v>
      </c>
      <c r="B884" s="17">
        <v>908</v>
      </c>
      <c r="C884" s="21" t="s">
        <v>297</v>
      </c>
      <c r="D884" s="21" t="s">
        <v>278</v>
      </c>
      <c r="E884" s="21" t="s">
        <v>621</v>
      </c>
      <c r="F884" s="21"/>
      <c r="G884" s="27">
        <f>G885</f>
        <v>0</v>
      </c>
      <c r="H884" s="221"/>
    </row>
    <row r="885" spans="1:8" ht="31.5" hidden="1" x14ac:dyDescent="0.25">
      <c r="A885" s="26" t="s">
        <v>194</v>
      </c>
      <c r="B885" s="17">
        <v>908</v>
      </c>
      <c r="C885" s="21" t="s">
        <v>297</v>
      </c>
      <c r="D885" s="21" t="s">
        <v>278</v>
      </c>
      <c r="E885" s="21" t="s">
        <v>621</v>
      </c>
      <c r="F885" s="21" t="s">
        <v>195</v>
      </c>
      <c r="G885" s="27">
        <f>G886</f>
        <v>0</v>
      </c>
      <c r="H885" s="221"/>
    </row>
    <row r="886" spans="1:8" ht="47.25" hidden="1" x14ac:dyDescent="0.25">
      <c r="A886" s="26" t="s">
        <v>196</v>
      </c>
      <c r="B886" s="17">
        <v>908</v>
      </c>
      <c r="C886" s="21" t="s">
        <v>297</v>
      </c>
      <c r="D886" s="21" t="s">
        <v>278</v>
      </c>
      <c r="E886" s="21" t="s">
        <v>621</v>
      </c>
      <c r="F886" s="21" t="s">
        <v>197</v>
      </c>
      <c r="G886" s="27">
        <f>86.6-86.6</f>
        <v>0</v>
      </c>
      <c r="H886" s="221" t="s">
        <v>946</v>
      </c>
    </row>
    <row r="887" spans="1:8" ht="47.25" hidden="1" x14ac:dyDescent="0.25">
      <c r="A887" s="47" t="s">
        <v>622</v>
      </c>
      <c r="B887" s="17">
        <v>908</v>
      </c>
      <c r="C887" s="21" t="s">
        <v>297</v>
      </c>
      <c r="D887" s="21" t="s">
        <v>278</v>
      </c>
      <c r="E887" s="21" t="s">
        <v>623</v>
      </c>
      <c r="F887" s="21"/>
      <c r="G887" s="27">
        <f>G888</f>
        <v>0</v>
      </c>
      <c r="H887" s="221"/>
    </row>
    <row r="888" spans="1:8" ht="31.5" hidden="1" x14ac:dyDescent="0.25">
      <c r="A888" s="26" t="s">
        <v>194</v>
      </c>
      <c r="B888" s="17">
        <v>908</v>
      </c>
      <c r="C888" s="21" t="s">
        <v>297</v>
      </c>
      <c r="D888" s="21" t="s">
        <v>278</v>
      </c>
      <c r="E888" s="21" t="s">
        <v>623</v>
      </c>
      <c r="F888" s="21" t="s">
        <v>195</v>
      </c>
      <c r="G888" s="27">
        <f>G889</f>
        <v>0</v>
      </c>
      <c r="H888" s="221"/>
    </row>
    <row r="889" spans="1:8" ht="47.25" hidden="1" x14ac:dyDescent="0.25">
      <c r="A889" s="26" t="s">
        <v>196</v>
      </c>
      <c r="B889" s="17">
        <v>908</v>
      </c>
      <c r="C889" s="21" t="s">
        <v>297</v>
      </c>
      <c r="D889" s="21" t="s">
        <v>278</v>
      </c>
      <c r="E889" s="21" t="s">
        <v>623</v>
      </c>
      <c r="F889" s="21" t="s">
        <v>197</v>
      </c>
      <c r="G889" s="27">
        <f>2130.6-2130.6</f>
        <v>0</v>
      </c>
      <c r="H889" s="221" t="s">
        <v>947</v>
      </c>
    </row>
    <row r="890" spans="1:8" ht="31.5" x14ac:dyDescent="0.25">
      <c r="A890" s="47" t="s">
        <v>624</v>
      </c>
      <c r="B890" s="17">
        <v>908</v>
      </c>
      <c r="C890" s="21" t="s">
        <v>297</v>
      </c>
      <c r="D890" s="21" t="s">
        <v>278</v>
      </c>
      <c r="E890" s="21" t="s">
        <v>625</v>
      </c>
      <c r="F890" s="21"/>
      <c r="G890" s="27">
        <f>G891</f>
        <v>427.90000000000003</v>
      </c>
      <c r="H890" s="221"/>
    </row>
    <row r="891" spans="1:8" ht="31.5" x14ac:dyDescent="0.25">
      <c r="A891" s="26" t="s">
        <v>194</v>
      </c>
      <c r="B891" s="17">
        <v>908</v>
      </c>
      <c r="C891" s="21" t="s">
        <v>297</v>
      </c>
      <c r="D891" s="21" t="s">
        <v>278</v>
      </c>
      <c r="E891" s="21" t="s">
        <v>625</v>
      </c>
      <c r="F891" s="21" t="s">
        <v>195</v>
      </c>
      <c r="G891" s="27">
        <f>G892</f>
        <v>427.90000000000003</v>
      </c>
      <c r="H891" s="221"/>
    </row>
    <row r="892" spans="1:8" ht="47.25" x14ac:dyDescent="0.25">
      <c r="A892" s="26" t="s">
        <v>196</v>
      </c>
      <c r="B892" s="17">
        <v>908</v>
      </c>
      <c r="C892" s="21" t="s">
        <v>297</v>
      </c>
      <c r="D892" s="21" t="s">
        <v>278</v>
      </c>
      <c r="E892" s="21" t="s">
        <v>625</v>
      </c>
      <c r="F892" s="21" t="s">
        <v>197</v>
      </c>
      <c r="G892" s="27">
        <f>348.6+199.5-122.8+2.6</f>
        <v>427.90000000000003</v>
      </c>
      <c r="H892" s="221" t="s">
        <v>1004</v>
      </c>
    </row>
    <row r="893" spans="1:8" ht="63" x14ac:dyDescent="0.25">
      <c r="A893" s="26" t="s">
        <v>845</v>
      </c>
      <c r="B893" s="17">
        <v>908</v>
      </c>
      <c r="C893" s="21" t="s">
        <v>297</v>
      </c>
      <c r="D893" s="21" t="s">
        <v>278</v>
      </c>
      <c r="E893" s="21" t="s">
        <v>847</v>
      </c>
      <c r="F893" s="21"/>
      <c r="G893" s="27">
        <f>G894</f>
        <v>539.5</v>
      </c>
      <c r="H893" s="221"/>
    </row>
    <row r="894" spans="1:8" ht="31.5" x14ac:dyDescent="0.25">
      <c r="A894" s="96" t="s">
        <v>846</v>
      </c>
      <c r="B894" s="17">
        <v>908</v>
      </c>
      <c r="C894" s="21" t="s">
        <v>297</v>
      </c>
      <c r="D894" s="21" t="s">
        <v>278</v>
      </c>
      <c r="E894" s="21" t="s">
        <v>848</v>
      </c>
      <c r="F894" s="21"/>
      <c r="G894" s="27">
        <f>G895</f>
        <v>539.5</v>
      </c>
      <c r="H894" s="221"/>
    </row>
    <row r="895" spans="1:8" ht="31.5" x14ac:dyDescent="0.25">
      <c r="A895" s="26" t="s">
        <v>194</v>
      </c>
      <c r="B895" s="17">
        <v>908</v>
      </c>
      <c r="C895" s="21" t="s">
        <v>297</v>
      </c>
      <c r="D895" s="21" t="s">
        <v>278</v>
      </c>
      <c r="E895" s="21" t="s">
        <v>848</v>
      </c>
      <c r="F895" s="21" t="s">
        <v>195</v>
      </c>
      <c r="G895" s="27">
        <f>G896</f>
        <v>539.5</v>
      </c>
      <c r="H895" s="221"/>
    </row>
    <row r="896" spans="1:8" ht="47.25" x14ac:dyDescent="0.25">
      <c r="A896" s="26" t="s">
        <v>196</v>
      </c>
      <c r="B896" s="17">
        <v>908</v>
      </c>
      <c r="C896" s="21" t="s">
        <v>297</v>
      </c>
      <c r="D896" s="21" t="s">
        <v>278</v>
      </c>
      <c r="E896" s="21" t="s">
        <v>848</v>
      </c>
      <c r="F896" s="21" t="s">
        <v>197</v>
      </c>
      <c r="G896" s="27">
        <f>600-60.5</f>
        <v>539.5</v>
      </c>
      <c r="H896" s="132" t="s">
        <v>998</v>
      </c>
    </row>
    <row r="897" spans="1:10" ht="15.75" x14ac:dyDescent="0.25">
      <c r="A897" s="26" t="s">
        <v>184</v>
      </c>
      <c r="B897" s="17">
        <v>908</v>
      </c>
      <c r="C897" s="21" t="s">
        <v>297</v>
      </c>
      <c r="D897" s="21" t="s">
        <v>278</v>
      </c>
      <c r="E897" s="21" t="s">
        <v>185</v>
      </c>
      <c r="F897" s="21"/>
      <c r="G897" s="27">
        <f>G898+G913</f>
        <v>12433.999999999998</v>
      </c>
      <c r="H897" s="221"/>
    </row>
    <row r="898" spans="1:10" ht="31.5" x14ac:dyDescent="0.25">
      <c r="A898" s="26" t="s">
        <v>248</v>
      </c>
      <c r="B898" s="17">
        <v>908</v>
      </c>
      <c r="C898" s="21" t="s">
        <v>297</v>
      </c>
      <c r="D898" s="21" t="s">
        <v>278</v>
      </c>
      <c r="E898" s="21" t="s">
        <v>249</v>
      </c>
      <c r="F898" s="21"/>
      <c r="G898" s="27">
        <f>G899+G902+G907+G910</f>
        <v>12033.199999999999</v>
      </c>
      <c r="H898" s="221"/>
    </row>
    <row r="899" spans="1:10" ht="31.5" x14ac:dyDescent="0.25">
      <c r="A899" s="26" t="s">
        <v>626</v>
      </c>
      <c r="B899" s="17">
        <v>908</v>
      </c>
      <c r="C899" s="21" t="s">
        <v>297</v>
      </c>
      <c r="D899" s="21" t="s">
        <v>278</v>
      </c>
      <c r="E899" s="21" t="s">
        <v>627</v>
      </c>
      <c r="F899" s="21"/>
      <c r="G899" s="27">
        <f>G900</f>
        <v>6302.4</v>
      </c>
      <c r="H899" s="221"/>
    </row>
    <row r="900" spans="1:10" ht="31.5" x14ac:dyDescent="0.25">
      <c r="A900" s="26" t="s">
        <v>194</v>
      </c>
      <c r="B900" s="17">
        <v>908</v>
      </c>
      <c r="C900" s="21" t="s">
        <v>297</v>
      </c>
      <c r="D900" s="21" t="s">
        <v>278</v>
      </c>
      <c r="E900" s="21" t="s">
        <v>627</v>
      </c>
      <c r="F900" s="21" t="s">
        <v>195</v>
      </c>
      <c r="G900" s="27">
        <f>G901</f>
        <v>6302.4</v>
      </c>
      <c r="H900" s="221"/>
    </row>
    <row r="901" spans="1:10" ht="47.25" x14ac:dyDescent="0.25">
      <c r="A901" s="26" t="s">
        <v>196</v>
      </c>
      <c r="B901" s="17">
        <v>908</v>
      </c>
      <c r="C901" s="21" t="s">
        <v>297</v>
      </c>
      <c r="D901" s="21" t="s">
        <v>278</v>
      </c>
      <c r="E901" s="21" t="s">
        <v>627</v>
      </c>
      <c r="F901" s="21" t="s">
        <v>197</v>
      </c>
      <c r="G901" s="27">
        <f>3907.3-814.9+3210</f>
        <v>6302.4</v>
      </c>
      <c r="H901" s="132"/>
      <c r="I901" s="141"/>
    </row>
    <row r="902" spans="1:10" ht="47.25" x14ac:dyDescent="0.25">
      <c r="A902" s="26" t="s">
        <v>797</v>
      </c>
      <c r="B902" s="17">
        <v>908</v>
      </c>
      <c r="C902" s="21" t="s">
        <v>297</v>
      </c>
      <c r="D902" s="21" t="s">
        <v>278</v>
      </c>
      <c r="E902" s="21" t="s">
        <v>798</v>
      </c>
      <c r="F902" s="21"/>
      <c r="G902" s="27">
        <f>G903+G905</f>
        <v>2132</v>
      </c>
      <c r="H902" s="221"/>
    </row>
    <row r="903" spans="1:10" ht="31.5" x14ac:dyDescent="0.25">
      <c r="A903" s="26" t="s">
        <v>194</v>
      </c>
      <c r="B903" s="17">
        <v>908</v>
      </c>
      <c r="C903" s="21" t="s">
        <v>297</v>
      </c>
      <c r="D903" s="21" t="s">
        <v>278</v>
      </c>
      <c r="E903" s="21" t="s">
        <v>798</v>
      </c>
      <c r="F903" s="21" t="s">
        <v>195</v>
      </c>
      <c r="G903" s="27">
        <f t="shared" ref="G903" si="148">G904</f>
        <v>1931.6</v>
      </c>
      <c r="H903" s="221"/>
    </row>
    <row r="904" spans="1:10" ht="47.25" x14ac:dyDescent="0.25">
      <c r="A904" s="26" t="s">
        <v>196</v>
      </c>
      <c r="B904" s="17">
        <v>908</v>
      </c>
      <c r="C904" s="21" t="s">
        <v>297</v>
      </c>
      <c r="D904" s="21" t="s">
        <v>278</v>
      </c>
      <c r="E904" s="21" t="s">
        <v>798</v>
      </c>
      <c r="F904" s="21" t="s">
        <v>197</v>
      </c>
      <c r="G904" s="27">
        <f>2132-39.9-160.5</f>
        <v>1931.6</v>
      </c>
      <c r="H904" s="132"/>
      <c r="J904" s="134"/>
    </row>
    <row r="905" spans="1:10" ht="15.75" x14ac:dyDescent="0.25">
      <c r="A905" s="26" t="s">
        <v>198</v>
      </c>
      <c r="B905" s="17">
        <v>908</v>
      </c>
      <c r="C905" s="21" t="s">
        <v>297</v>
      </c>
      <c r="D905" s="21" t="s">
        <v>278</v>
      </c>
      <c r="E905" s="21" t="s">
        <v>798</v>
      </c>
      <c r="F905" s="21" t="s">
        <v>208</v>
      </c>
      <c r="G905" s="27">
        <f>G906</f>
        <v>200.4</v>
      </c>
      <c r="H905" s="134"/>
    </row>
    <row r="906" spans="1:10" ht="15.75" x14ac:dyDescent="0.25">
      <c r="A906" s="26" t="s">
        <v>633</v>
      </c>
      <c r="B906" s="17">
        <v>908</v>
      </c>
      <c r="C906" s="21" t="s">
        <v>297</v>
      </c>
      <c r="D906" s="21" t="s">
        <v>278</v>
      </c>
      <c r="E906" s="21" t="s">
        <v>798</v>
      </c>
      <c r="F906" s="21" t="s">
        <v>201</v>
      </c>
      <c r="G906" s="27">
        <f>39.9+160.5</f>
        <v>200.4</v>
      </c>
      <c r="H906" s="134"/>
      <c r="J906" s="134"/>
    </row>
    <row r="907" spans="1:10" ht="47.25" x14ac:dyDescent="0.25">
      <c r="A907" s="26" t="s">
        <v>799</v>
      </c>
      <c r="B907" s="17">
        <v>908</v>
      </c>
      <c r="C907" s="21" t="s">
        <v>297</v>
      </c>
      <c r="D907" s="21" t="s">
        <v>278</v>
      </c>
      <c r="E907" s="21" t="s">
        <v>628</v>
      </c>
      <c r="F907" s="21"/>
      <c r="G907" s="27">
        <f t="shared" ref="G907:G908" si="149">G908</f>
        <v>2000</v>
      </c>
      <c r="H907" s="221"/>
    </row>
    <row r="908" spans="1:10" ht="31.5" x14ac:dyDescent="0.25">
      <c r="A908" s="26" t="s">
        <v>194</v>
      </c>
      <c r="B908" s="17">
        <v>908</v>
      </c>
      <c r="C908" s="21" t="s">
        <v>297</v>
      </c>
      <c r="D908" s="21" t="s">
        <v>278</v>
      </c>
      <c r="E908" s="21" t="s">
        <v>628</v>
      </c>
      <c r="F908" s="21" t="s">
        <v>195</v>
      </c>
      <c r="G908" s="27">
        <f t="shared" si="149"/>
        <v>2000</v>
      </c>
      <c r="H908" s="221"/>
    </row>
    <row r="909" spans="1:10" ht="47.25" x14ac:dyDescent="0.25">
      <c r="A909" s="26" t="s">
        <v>196</v>
      </c>
      <c r="B909" s="17">
        <v>908</v>
      </c>
      <c r="C909" s="21" t="s">
        <v>297</v>
      </c>
      <c r="D909" s="21" t="s">
        <v>278</v>
      </c>
      <c r="E909" s="21" t="s">
        <v>628</v>
      </c>
      <c r="F909" s="21" t="s">
        <v>197</v>
      </c>
      <c r="G909" s="27">
        <v>2000</v>
      </c>
      <c r="H909" s="132"/>
    </row>
    <row r="910" spans="1:10" ht="63" x14ac:dyDescent="0.25">
      <c r="A910" s="26" t="s">
        <v>800</v>
      </c>
      <c r="B910" s="17">
        <v>908</v>
      </c>
      <c r="C910" s="21" t="s">
        <v>297</v>
      </c>
      <c r="D910" s="21" t="s">
        <v>278</v>
      </c>
      <c r="E910" s="21" t="s">
        <v>801</v>
      </c>
      <c r="F910" s="21"/>
      <c r="G910" s="27">
        <f>G911</f>
        <v>1598.8</v>
      </c>
      <c r="H910" s="134"/>
    </row>
    <row r="911" spans="1:10" ht="31.5" x14ac:dyDescent="0.25">
      <c r="A911" s="26" t="s">
        <v>194</v>
      </c>
      <c r="B911" s="17">
        <v>908</v>
      </c>
      <c r="C911" s="21" t="s">
        <v>297</v>
      </c>
      <c r="D911" s="21" t="s">
        <v>278</v>
      </c>
      <c r="E911" s="21" t="s">
        <v>801</v>
      </c>
      <c r="F911" s="21" t="s">
        <v>195</v>
      </c>
      <c r="G911" s="27">
        <f>G912</f>
        <v>1598.8</v>
      </c>
      <c r="H911" s="134"/>
    </row>
    <row r="912" spans="1:10" ht="47.25" x14ac:dyDescent="0.25">
      <c r="A912" s="26" t="s">
        <v>196</v>
      </c>
      <c r="B912" s="17">
        <v>908</v>
      </c>
      <c r="C912" s="21" t="s">
        <v>297</v>
      </c>
      <c r="D912" s="21" t="s">
        <v>278</v>
      </c>
      <c r="E912" s="21" t="s">
        <v>801</v>
      </c>
      <c r="F912" s="21" t="s">
        <v>197</v>
      </c>
      <c r="G912" s="27">
        <v>1598.8</v>
      </c>
      <c r="H912" s="134"/>
    </row>
    <row r="913" spans="1:10" ht="15.75" x14ac:dyDescent="0.25">
      <c r="A913" s="26" t="s">
        <v>204</v>
      </c>
      <c r="B913" s="17">
        <v>908</v>
      </c>
      <c r="C913" s="21" t="s">
        <v>297</v>
      </c>
      <c r="D913" s="21" t="s">
        <v>278</v>
      </c>
      <c r="E913" s="21" t="s">
        <v>205</v>
      </c>
      <c r="F913" s="21"/>
      <c r="G913" s="27">
        <f>G914</f>
        <v>400.79999999999995</v>
      </c>
      <c r="H913" s="221"/>
    </row>
    <row r="914" spans="1:10" ht="15.75" x14ac:dyDescent="0.25">
      <c r="A914" s="26" t="s">
        <v>629</v>
      </c>
      <c r="B914" s="17">
        <v>908</v>
      </c>
      <c r="C914" s="21" t="s">
        <v>297</v>
      </c>
      <c r="D914" s="21" t="s">
        <v>278</v>
      </c>
      <c r="E914" s="21" t="s">
        <v>630</v>
      </c>
      <c r="F914" s="21"/>
      <c r="G914" s="27">
        <f>G915</f>
        <v>400.79999999999995</v>
      </c>
      <c r="H914" s="221"/>
    </row>
    <row r="915" spans="1:10" ht="31.5" x14ac:dyDescent="0.25">
      <c r="A915" s="26" t="s">
        <v>194</v>
      </c>
      <c r="B915" s="17">
        <v>908</v>
      </c>
      <c r="C915" s="21" t="s">
        <v>297</v>
      </c>
      <c r="D915" s="21" t="s">
        <v>278</v>
      </c>
      <c r="E915" s="21" t="s">
        <v>630</v>
      </c>
      <c r="F915" s="21" t="s">
        <v>195</v>
      </c>
      <c r="G915" s="27">
        <f>G916</f>
        <v>400.79999999999995</v>
      </c>
      <c r="H915" s="221"/>
    </row>
    <row r="916" spans="1:10" ht="47.25" x14ac:dyDescent="0.25">
      <c r="A916" s="26" t="s">
        <v>196</v>
      </c>
      <c r="B916" s="17">
        <v>908</v>
      </c>
      <c r="C916" s="21" t="s">
        <v>297</v>
      </c>
      <c r="D916" s="21" t="s">
        <v>278</v>
      </c>
      <c r="E916" s="21" t="s">
        <v>630</v>
      </c>
      <c r="F916" s="21" t="s">
        <v>197</v>
      </c>
      <c r="G916" s="28">
        <f>455.9-55.1</f>
        <v>400.79999999999995</v>
      </c>
      <c r="H916" s="221" t="s">
        <v>949</v>
      </c>
    </row>
    <row r="917" spans="1:10" ht="15.75" hidden="1" x14ac:dyDescent="0.25">
      <c r="A917" s="26" t="s">
        <v>631</v>
      </c>
      <c r="B917" s="17">
        <v>908</v>
      </c>
      <c r="C917" s="21" t="s">
        <v>297</v>
      </c>
      <c r="D917" s="21" t="s">
        <v>278</v>
      </c>
      <c r="E917" s="21" t="s">
        <v>632</v>
      </c>
      <c r="F917" s="21"/>
      <c r="G917" s="28">
        <f t="shared" ref="G917:G918" si="150">G918</f>
        <v>0</v>
      </c>
      <c r="H917" s="221"/>
    </row>
    <row r="918" spans="1:10" ht="15.75" hidden="1" x14ac:dyDescent="0.25">
      <c r="A918" s="26" t="s">
        <v>198</v>
      </c>
      <c r="B918" s="17">
        <v>908</v>
      </c>
      <c r="C918" s="21" t="s">
        <v>297</v>
      </c>
      <c r="D918" s="21" t="s">
        <v>278</v>
      </c>
      <c r="E918" s="21" t="s">
        <v>632</v>
      </c>
      <c r="F918" s="21" t="s">
        <v>208</v>
      </c>
      <c r="G918" s="28">
        <f t="shared" si="150"/>
        <v>0</v>
      </c>
      <c r="H918" s="221"/>
    </row>
    <row r="919" spans="1:10" ht="15.75" hidden="1" x14ac:dyDescent="0.25">
      <c r="A919" s="26" t="s">
        <v>633</v>
      </c>
      <c r="B919" s="17">
        <v>908</v>
      </c>
      <c r="C919" s="21" t="s">
        <v>297</v>
      </c>
      <c r="D919" s="21" t="s">
        <v>278</v>
      </c>
      <c r="E919" s="21" t="s">
        <v>632</v>
      </c>
      <c r="F919" s="21" t="s">
        <v>201</v>
      </c>
      <c r="G919" s="28">
        <v>0</v>
      </c>
      <c r="H919" s="221"/>
    </row>
    <row r="920" spans="1:10" ht="31.5" x14ac:dyDescent="0.25">
      <c r="A920" s="24" t="s">
        <v>634</v>
      </c>
      <c r="B920" s="20">
        <v>908</v>
      </c>
      <c r="C920" s="25" t="s">
        <v>297</v>
      </c>
      <c r="D920" s="25" t="s">
        <v>297</v>
      </c>
      <c r="E920" s="25"/>
      <c r="F920" s="25"/>
      <c r="G920" s="22">
        <f>G921</f>
        <v>21298.739999999998</v>
      </c>
      <c r="H920" s="221"/>
    </row>
    <row r="921" spans="1:10" ht="15.75" x14ac:dyDescent="0.25">
      <c r="A921" s="26" t="s">
        <v>184</v>
      </c>
      <c r="B921" s="17">
        <v>908</v>
      </c>
      <c r="C921" s="21" t="s">
        <v>297</v>
      </c>
      <c r="D921" s="21" t="s">
        <v>297</v>
      </c>
      <c r="E921" s="21" t="s">
        <v>185</v>
      </c>
      <c r="F921" s="21"/>
      <c r="G921" s="27">
        <f>G922+G930</f>
        <v>21298.739999999998</v>
      </c>
      <c r="H921" s="221"/>
    </row>
    <row r="922" spans="1:10" ht="31.5" x14ac:dyDescent="0.25">
      <c r="A922" s="26" t="s">
        <v>186</v>
      </c>
      <c r="B922" s="17">
        <v>908</v>
      </c>
      <c r="C922" s="21" t="s">
        <v>297</v>
      </c>
      <c r="D922" s="21" t="s">
        <v>297</v>
      </c>
      <c r="E922" s="21" t="s">
        <v>187</v>
      </c>
      <c r="F922" s="21"/>
      <c r="G922" s="27">
        <f>G923</f>
        <v>12665.8</v>
      </c>
      <c r="H922" s="221"/>
    </row>
    <row r="923" spans="1:10" ht="47.25" x14ac:dyDescent="0.25">
      <c r="A923" s="26" t="s">
        <v>188</v>
      </c>
      <c r="B923" s="17">
        <v>908</v>
      </c>
      <c r="C923" s="21" t="s">
        <v>297</v>
      </c>
      <c r="D923" s="21" t="s">
        <v>297</v>
      </c>
      <c r="E923" s="21" t="s">
        <v>189</v>
      </c>
      <c r="F923" s="21"/>
      <c r="G923" s="27">
        <f>G924+G928+G926</f>
        <v>12665.8</v>
      </c>
      <c r="H923" s="221"/>
    </row>
    <row r="924" spans="1:10" ht="94.5" x14ac:dyDescent="0.25">
      <c r="A924" s="26" t="s">
        <v>190</v>
      </c>
      <c r="B924" s="17">
        <v>908</v>
      </c>
      <c r="C924" s="21" t="s">
        <v>297</v>
      </c>
      <c r="D924" s="21" t="s">
        <v>297</v>
      </c>
      <c r="E924" s="21" t="s">
        <v>189</v>
      </c>
      <c r="F924" s="21" t="s">
        <v>191</v>
      </c>
      <c r="G924" s="27">
        <f>G925</f>
        <v>12534.9</v>
      </c>
      <c r="H924" s="221"/>
    </row>
    <row r="925" spans="1:10" ht="31.5" x14ac:dyDescent="0.25">
      <c r="A925" s="26" t="s">
        <v>192</v>
      </c>
      <c r="B925" s="17">
        <v>908</v>
      </c>
      <c r="C925" s="21" t="s">
        <v>297</v>
      </c>
      <c r="D925" s="21" t="s">
        <v>297</v>
      </c>
      <c r="E925" s="21" t="s">
        <v>189</v>
      </c>
      <c r="F925" s="21" t="s">
        <v>193</v>
      </c>
      <c r="G925" s="28">
        <f>13259.3+28.4+100-59.9-327.4-133-600-50+20+6+107+20.4+164.1</f>
        <v>12534.9</v>
      </c>
      <c r="H925" s="132" t="s">
        <v>1019</v>
      </c>
      <c r="I925" s="152"/>
      <c r="J925" s="214"/>
    </row>
    <row r="926" spans="1:10" ht="31.5" x14ac:dyDescent="0.25">
      <c r="A926" s="26" t="s">
        <v>194</v>
      </c>
      <c r="B926" s="17">
        <v>908</v>
      </c>
      <c r="C926" s="21" t="s">
        <v>297</v>
      </c>
      <c r="D926" s="21" t="s">
        <v>297</v>
      </c>
      <c r="E926" s="21" t="s">
        <v>189</v>
      </c>
      <c r="F926" s="21" t="s">
        <v>195</v>
      </c>
      <c r="G926" s="27">
        <f t="shared" ref="G926" si="151">G927</f>
        <v>25</v>
      </c>
      <c r="H926" s="221"/>
    </row>
    <row r="927" spans="1:10" ht="47.25" x14ac:dyDescent="0.25">
      <c r="A927" s="26" t="s">
        <v>196</v>
      </c>
      <c r="B927" s="17">
        <v>908</v>
      </c>
      <c r="C927" s="21" t="s">
        <v>297</v>
      </c>
      <c r="D927" s="21" t="s">
        <v>297</v>
      </c>
      <c r="E927" s="21" t="s">
        <v>189</v>
      </c>
      <c r="F927" s="21" t="s">
        <v>197</v>
      </c>
      <c r="G927" s="28">
        <v>25</v>
      </c>
      <c r="H927" s="132"/>
      <c r="I927" s="152"/>
    </row>
    <row r="928" spans="1:10" ht="15.75" x14ac:dyDescent="0.25">
      <c r="A928" s="26" t="s">
        <v>198</v>
      </c>
      <c r="B928" s="17">
        <v>908</v>
      </c>
      <c r="C928" s="21" t="s">
        <v>297</v>
      </c>
      <c r="D928" s="21" t="s">
        <v>297</v>
      </c>
      <c r="E928" s="21" t="s">
        <v>189</v>
      </c>
      <c r="F928" s="21" t="s">
        <v>208</v>
      </c>
      <c r="G928" s="27">
        <f>G929</f>
        <v>105.9</v>
      </c>
      <c r="H928" s="221"/>
    </row>
    <row r="929" spans="1:13" ht="15.75" x14ac:dyDescent="0.25">
      <c r="A929" s="26" t="s">
        <v>633</v>
      </c>
      <c r="B929" s="17">
        <v>908</v>
      </c>
      <c r="C929" s="21" t="s">
        <v>297</v>
      </c>
      <c r="D929" s="21" t="s">
        <v>297</v>
      </c>
      <c r="E929" s="21" t="s">
        <v>189</v>
      </c>
      <c r="F929" s="21" t="s">
        <v>201</v>
      </c>
      <c r="G929" s="27">
        <f>89+59.9-33-10</f>
        <v>105.9</v>
      </c>
      <c r="H929" s="193" t="s">
        <v>1007</v>
      </c>
      <c r="J929" s="132"/>
    </row>
    <row r="930" spans="1:13" ht="15.75" x14ac:dyDescent="0.25">
      <c r="A930" s="26" t="s">
        <v>204</v>
      </c>
      <c r="B930" s="17">
        <v>908</v>
      </c>
      <c r="C930" s="21" t="s">
        <v>297</v>
      </c>
      <c r="D930" s="21" t="s">
        <v>297</v>
      </c>
      <c r="E930" s="21" t="s">
        <v>205</v>
      </c>
      <c r="F930" s="21"/>
      <c r="G930" s="27">
        <f>G934+G931</f>
        <v>8632.9399999999987</v>
      </c>
      <c r="H930" s="221"/>
    </row>
    <row r="931" spans="1:13" ht="31.5" x14ac:dyDescent="0.25">
      <c r="A931" s="26" t="s">
        <v>635</v>
      </c>
      <c r="B931" s="17">
        <v>908</v>
      </c>
      <c r="C931" s="21" t="s">
        <v>297</v>
      </c>
      <c r="D931" s="21" t="s">
        <v>297</v>
      </c>
      <c r="E931" s="21" t="s">
        <v>636</v>
      </c>
      <c r="F931" s="21"/>
      <c r="G931" s="28">
        <f>G932</f>
        <v>466.6</v>
      </c>
      <c r="H931" s="221"/>
    </row>
    <row r="932" spans="1:13" ht="15.75" x14ac:dyDescent="0.25">
      <c r="A932" s="26" t="s">
        <v>198</v>
      </c>
      <c r="B932" s="17">
        <v>908</v>
      </c>
      <c r="C932" s="21" t="s">
        <v>297</v>
      </c>
      <c r="D932" s="21" t="s">
        <v>297</v>
      </c>
      <c r="E932" s="21" t="s">
        <v>636</v>
      </c>
      <c r="F932" s="21" t="s">
        <v>208</v>
      </c>
      <c r="G932" s="28">
        <f>G933</f>
        <v>466.6</v>
      </c>
      <c r="H932" s="221"/>
    </row>
    <row r="933" spans="1:13" ht="63" x14ac:dyDescent="0.25">
      <c r="A933" s="26" t="s">
        <v>247</v>
      </c>
      <c r="B933" s="17">
        <v>908</v>
      </c>
      <c r="C933" s="21" t="s">
        <v>297</v>
      </c>
      <c r="D933" s="21" t="s">
        <v>297</v>
      </c>
      <c r="E933" s="21" t="s">
        <v>636</v>
      </c>
      <c r="F933" s="21" t="s">
        <v>223</v>
      </c>
      <c r="G933" s="28">
        <f>1461-1257+41.6+221</f>
        <v>466.6</v>
      </c>
      <c r="H933" s="252" t="s">
        <v>985</v>
      </c>
      <c r="M933" s="135"/>
    </row>
    <row r="934" spans="1:13" ht="31.5" x14ac:dyDescent="0.25">
      <c r="A934" s="26" t="s">
        <v>403</v>
      </c>
      <c r="B934" s="17">
        <v>908</v>
      </c>
      <c r="C934" s="21" t="s">
        <v>297</v>
      </c>
      <c r="D934" s="21" t="s">
        <v>297</v>
      </c>
      <c r="E934" s="21" t="s">
        <v>404</v>
      </c>
      <c r="F934" s="21"/>
      <c r="G934" s="27">
        <f>G935+G937</f>
        <v>8166.3399999999983</v>
      </c>
      <c r="H934" s="221"/>
    </row>
    <row r="935" spans="1:13" ht="94.5" x14ac:dyDescent="0.25">
      <c r="A935" s="26" t="s">
        <v>190</v>
      </c>
      <c r="B935" s="17">
        <v>908</v>
      </c>
      <c r="C935" s="21" t="s">
        <v>297</v>
      </c>
      <c r="D935" s="21" t="s">
        <v>297</v>
      </c>
      <c r="E935" s="21" t="s">
        <v>404</v>
      </c>
      <c r="F935" s="21" t="s">
        <v>191</v>
      </c>
      <c r="G935" s="27">
        <f>G936</f>
        <v>6433.7399999999989</v>
      </c>
      <c r="H935" s="221"/>
    </row>
    <row r="936" spans="1:13" ht="31.5" x14ac:dyDescent="0.25">
      <c r="A936" s="26" t="s">
        <v>405</v>
      </c>
      <c r="B936" s="17">
        <v>908</v>
      </c>
      <c r="C936" s="21" t="s">
        <v>297</v>
      </c>
      <c r="D936" s="21" t="s">
        <v>297</v>
      </c>
      <c r="E936" s="21" t="s">
        <v>404</v>
      </c>
      <c r="F936" s="21" t="s">
        <v>272</v>
      </c>
      <c r="G936" s="28">
        <f>6196.89-1411.4-100-180+327.4+133+600+824.95+133-20-6-107+227.4-426.5+242</f>
        <v>6433.7399999999989</v>
      </c>
      <c r="H936" s="132" t="s">
        <v>1018</v>
      </c>
      <c r="I936" s="152"/>
      <c r="J936" s="213"/>
    </row>
    <row r="937" spans="1:13" ht="31.5" x14ac:dyDescent="0.25">
      <c r="A937" s="26" t="s">
        <v>194</v>
      </c>
      <c r="B937" s="17">
        <v>908</v>
      </c>
      <c r="C937" s="21" t="s">
        <v>297</v>
      </c>
      <c r="D937" s="21" t="s">
        <v>297</v>
      </c>
      <c r="E937" s="21" t="s">
        <v>404</v>
      </c>
      <c r="F937" s="21" t="s">
        <v>195</v>
      </c>
      <c r="G937" s="27">
        <f>G938</f>
        <v>1732.6</v>
      </c>
      <c r="H937" s="221"/>
    </row>
    <row r="938" spans="1:13" ht="47.25" x14ac:dyDescent="0.25">
      <c r="A938" s="26" t="s">
        <v>196</v>
      </c>
      <c r="B938" s="17">
        <v>908</v>
      </c>
      <c r="C938" s="21" t="s">
        <v>297</v>
      </c>
      <c r="D938" s="21" t="s">
        <v>297</v>
      </c>
      <c r="E938" s="21" t="s">
        <v>404</v>
      </c>
      <c r="F938" s="21" t="s">
        <v>197</v>
      </c>
      <c r="G938" s="28">
        <f>1341.9+928.5-198.8-595.1+180-69.2+50+95.3</f>
        <v>1732.6</v>
      </c>
      <c r="H938" s="132" t="s">
        <v>967</v>
      </c>
      <c r="I938" s="153"/>
      <c r="J938" s="213"/>
    </row>
    <row r="939" spans="1:13" ht="15.75" hidden="1" x14ac:dyDescent="0.25">
      <c r="A939" s="24" t="s">
        <v>306</v>
      </c>
      <c r="B939" s="20">
        <v>908</v>
      </c>
      <c r="C939" s="25" t="s">
        <v>307</v>
      </c>
      <c r="D939" s="25"/>
      <c r="E939" s="25"/>
      <c r="F939" s="25"/>
      <c r="G939" s="22">
        <f t="shared" ref="G939:G944" si="152">G940</f>
        <v>0</v>
      </c>
      <c r="H939" s="221"/>
    </row>
    <row r="940" spans="1:13" ht="31.5" hidden="1" x14ac:dyDescent="0.25">
      <c r="A940" s="24" t="s">
        <v>321</v>
      </c>
      <c r="B940" s="20">
        <v>908</v>
      </c>
      <c r="C940" s="25" t="s">
        <v>307</v>
      </c>
      <c r="D940" s="25" t="s">
        <v>183</v>
      </c>
      <c r="E940" s="25"/>
      <c r="F940" s="25"/>
      <c r="G940" s="22">
        <f t="shared" si="152"/>
        <v>0</v>
      </c>
      <c r="H940" s="221"/>
    </row>
    <row r="941" spans="1:13" ht="15.75" hidden="1" x14ac:dyDescent="0.25">
      <c r="A941" s="26" t="s">
        <v>184</v>
      </c>
      <c r="B941" s="17">
        <v>908</v>
      </c>
      <c r="C941" s="21" t="s">
        <v>307</v>
      </c>
      <c r="D941" s="21" t="s">
        <v>183</v>
      </c>
      <c r="E941" s="21" t="s">
        <v>185</v>
      </c>
      <c r="F941" s="21"/>
      <c r="G941" s="22">
        <f t="shared" si="152"/>
        <v>0</v>
      </c>
      <c r="H941" s="221"/>
    </row>
    <row r="942" spans="1:13" ht="15.75" hidden="1" x14ac:dyDescent="0.25">
      <c r="A942" s="26" t="s">
        <v>204</v>
      </c>
      <c r="B942" s="17">
        <v>908</v>
      </c>
      <c r="C942" s="21" t="s">
        <v>307</v>
      </c>
      <c r="D942" s="21" t="s">
        <v>183</v>
      </c>
      <c r="E942" s="21" t="s">
        <v>205</v>
      </c>
      <c r="F942" s="21"/>
      <c r="G942" s="27">
        <f t="shared" si="152"/>
        <v>0</v>
      </c>
      <c r="H942" s="221"/>
    </row>
    <row r="943" spans="1:13" ht="15.75" hidden="1" x14ac:dyDescent="0.25">
      <c r="A943" s="26" t="s">
        <v>637</v>
      </c>
      <c r="B943" s="17">
        <v>908</v>
      </c>
      <c r="C943" s="21" t="s">
        <v>307</v>
      </c>
      <c r="D943" s="21" t="s">
        <v>183</v>
      </c>
      <c r="E943" s="21" t="s">
        <v>638</v>
      </c>
      <c r="F943" s="21"/>
      <c r="G943" s="27">
        <f t="shared" si="152"/>
        <v>0</v>
      </c>
      <c r="H943" s="221"/>
    </row>
    <row r="944" spans="1:13" ht="15.75" hidden="1" x14ac:dyDescent="0.25">
      <c r="A944" s="26" t="s">
        <v>198</v>
      </c>
      <c r="B944" s="17">
        <v>908</v>
      </c>
      <c r="C944" s="21" t="s">
        <v>307</v>
      </c>
      <c r="D944" s="21" t="s">
        <v>183</v>
      </c>
      <c r="E944" s="21" t="s">
        <v>638</v>
      </c>
      <c r="F944" s="21" t="s">
        <v>208</v>
      </c>
      <c r="G944" s="27">
        <f t="shared" si="152"/>
        <v>0</v>
      </c>
      <c r="H944" s="221"/>
    </row>
    <row r="945" spans="1:10" ht="46.5" hidden="1" customHeight="1" x14ac:dyDescent="0.25">
      <c r="A945" s="26" t="s">
        <v>247</v>
      </c>
      <c r="B945" s="17">
        <v>908</v>
      </c>
      <c r="C945" s="21" t="s">
        <v>307</v>
      </c>
      <c r="D945" s="21" t="s">
        <v>183</v>
      </c>
      <c r="E945" s="21" t="s">
        <v>638</v>
      </c>
      <c r="F945" s="21" t="s">
        <v>223</v>
      </c>
      <c r="G945" s="27">
        <f>87.1-87.1</f>
        <v>0</v>
      </c>
      <c r="H945" s="221" t="s">
        <v>950</v>
      </c>
    </row>
    <row r="946" spans="1:10" ht="31.5" x14ac:dyDescent="0.25">
      <c r="A946" s="20" t="s">
        <v>639</v>
      </c>
      <c r="B946" s="20">
        <v>910</v>
      </c>
      <c r="C946" s="49"/>
      <c r="D946" s="49"/>
      <c r="E946" s="49"/>
      <c r="F946" s="49"/>
      <c r="G946" s="22">
        <f>G947</f>
        <v>7830.5</v>
      </c>
      <c r="H946" s="221"/>
    </row>
    <row r="947" spans="1:10" ht="15.75" x14ac:dyDescent="0.25">
      <c r="A947" s="24" t="s">
        <v>180</v>
      </c>
      <c r="B947" s="20">
        <v>910</v>
      </c>
      <c r="C947" s="25" t="s">
        <v>181</v>
      </c>
      <c r="D947" s="25"/>
      <c r="E947" s="25"/>
      <c r="F947" s="25"/>
      <c r="G947" s="22">
        <f>G948+G956+G966+G974</f>
        <v>7830.5</v>
      </c>
      <c r="H947" s="221"/>
    </row>
    <row r="948" spans="1:10" ht="47.25" x14ac:dyDescent="0.25">
      <c r="A948" s="24" t="s">
        <v>640</v>
      </c>
      <c r="B948" s="20">
        <v>910</v>
      </c>
      <c r="C948" s="25" t="s">
        <v>181</v>
      </c>
      <c r="D948" s="25" t="s">
        <v>276</v>
      </c>
      <c r="E948" s="25"/>
      <c r="F948" s="25"/>
      <c r="G948" s="22">
        <f>G949</f>
        <v>4379.1000000000004</v>
      </c>
      <c r="H948" s="221"/>
    </row>
    <row r="949" spans="1:10" ht="15.75" x14ac:dyDescent="0.25">
      <c r="A949" s="26" t="s">
        <v>184</v>
      </c>
      <c r="B949" s="17">
        <v>910</v>
      </c>
      <c r="C949" s="21" t="s">
        <v>181</v>
      </c>
      <c r="D949" s="21" t="s">
        <v>276</v>
      </c>
      <c r="E949" s="21" t="s">
        <v>185</v>
      </c>
      <c r="F949" s="21"/>
      <c r="G949" s="27">
        <f t="shared" ref="G949" si="153">G950</f>
        <v>4379.1000000000004</v>
      </c>
      <c r="H949" s="221"/>
    </row>
    <row r="950" spans="1:10" ht="31.5" x14ac:dyDescent="0.25">
      <c r="A950" s="26" t="s">
        <v>186</v>
      </c>
      <c r="B950" s="17">
        <v>910</v>
      </c>
      <c r="C950" s="21" t="s">
        <v>181</v>
      </c>
      <c r="D950" s="21" t="s">
        <v>276</v>
      </c>
      <c r="E950" s="21" t="s">
        <v>187</v>
      </c>
      <c r="F950" s="21"/>
      <c r="G950" s="27">
        <f>G951</f>
        <v>4379.1000000000004</v>
      </c>
      <c r="H950" s="221"/>
    </row>
    <row r="951" spans="1:10" ht="47.25" x14ac:dyDescent="0.25">
      <c r="A951" s="26" t="s">
        <v>641</v>
      </c>
      <c r="B951" s="17">
        <v>910</v>
      </c>
      <c r="C951" s="21" t="s">
        <v>181</v>
      </c>
      <c r="D951" s="21" t="s">
        <v>276</v>
      </c>
      <c r="E951" s="21" t="s">
        <v>642</v>
      </c>
      <c r="F951" s="21"/>
      <c r="G951" s="27">
        <f t="shared" ref="G951" si="154">G952+G954</f>
        <v>4379.1000000000004</v>
      </c>
      <c r="H951" s="221"/>
    </row>
    <row r="952" spans="1:10" ht="94.5" x14ac:dyDescent="0.25">
      <c r="A952" s="26" t="s">
        <v>190</v>
      </c>
      <c r="B952" s="17">
        <v>910</v>
      </c>
      <c r="C952" s="21" t="s">
        <v>181</v>
      </c>
      <c r="D952" s="21" t="s">
        <v>276</v>
      </c>
      <c r="E952" s="21" t="s">
        <v>642</v>
      </c>
      <c r="F952" s="21" t="s">
        <v>191</v>
      </c>
      <c r="G952" s="27">
        <f>G953</f>
        <v>4378.6000000000004</v>
      </c>
      <c r="H952" s="221"/>
    </row>
    <row r="953" spans="1:10" ht="31.5" x14ac:dyDescent="0.25">
      <c r="A953" s="26" t="s">
        <v>192</v>
      </c>
      <c r="B953" s="17">
        <v>910</v>
      </c>
      <c r="C953" s="21" t="s">
        <v>181</v>
      </c>
      <c r="D953" s="21" t="s">
        <v>276</v>
      </c>
      <c r="E953" s="21" t="s">
        <v>642</v>
      </c>
      <c r="F953" s="21" t="s">
        <v>193</v>
      </c>
      <c r="G953" s="28">
        <f>4188.8-55.2-33+278</f>
        <v>4378.6000000000004</v>
      </c>
      <c r="H953" s="221"/>
      <c r="J953" s="213"/>
    </row>
    <row r="954" spans="1:10" ht="47.25" x14ac:dyDescent="0.25">
      <c r="A954" s="26" t="s">
        <v>261</v>
      </c>
      <c r="B954" s="17">
        <v>910</v>
      </c>
      <c r="C954" s="21" t="s">
        <v>181</v>
      </c>
      <c r="D954" s="21" t="s">
        <v>276</v>
      </c>
      <c r="E954" s="21" t="s">
        <v>642</v>
      </c>
      <c r="F954" s="21" t="s">
        <v>195</v>
      </c>
      <c r="G954" s="27">
        <f t="shared" ref="G954" si="155">G955</f>
        <v>0.5</v>
      </c>
      <c r="H954" s="221"/>
    </row>
    <row r="955" spans="1:10" ht="47.25" x14ac:dyDescent="0.25">
      <c r="A955" s="26" t="s">
        <v>196</v>
      </c>
      <c r="B955" s="17">
        <v>910</v>
      </c>
      <c r="C955" s="21" t="s">
        <v>181</v>
      </c>
      <c r="D955" s="21" t="s">
        <v>276</v>
      </c>
      <c r="E955" s="21" t="s">
        <v>642</v>
      </c>
      <c r="F955" s="21" t="s">
        <v>197</v>
      </c>
      <c r="G955" s="27">
        <f>33-32.5</f>
        <v>0.5</v>
      </c>
      <c r="H955" s="221" t="s">
        <v>923</v>
      </c>
    </row>
    <row r="956" spans="1:10" ht="78.75" x14ac:dyDescent="0.25">
      <c r="A956" s="24" t="s">
        <v>643</v>
      </c>
      <c r="B956" s="20">
        <v>910</v>
      </c>
      <c r="C956" s="25" t="s">
        <v>181</v>
      </c>
      <c r="D956" s="25" t="s">
        <v>278</v>
      </c>
      <c r="E956" s="25"/>
      <c r="F956" s="25"/>
      <c r="G956" s="22">
        <f>G957</f>
        <v>1324.7</v>
      </c>
      <c r="H956" s="221"/>
    </row>
    <row r="957" spans="1:10" ht="15.75" x14ac:dyDescent="0.25">
      <c r="A957" s="26" t="s">
        <v>184</v>
      </c>
      <c r="B957" s="17">
        <v>910</v>
      </c>
      <c r="C957" s="21" t="s">
        <v>181</v>
      </c>
      <c r="D957" s="21" t="s">
        <v>278</v>
      </c>
      <c r="E957" s="21" t="s">
        <v>185</v>
      </c>
      <c r="F957" s="25"/>
      <c r="G957" s="27">
        <f t="shared" ref="G957" si="156">G958</f>
        <v>1324.7</v>
      </c>
      <c r="H957" s="221"/>
    </row>
    <row r="958" spans="1:10" ht="31.5" x14ac:dyDescent="0.25">
      <c r="A958" s="26" t="s">
        <v>186</v>
      </c>
      <c r="B958" s="17">
        <v>910</v>
      </c>
      <c r="C958" s="21" t="s">
        <v>181</v>
      </c>
      <c r="D958" s="21" t="s">
        <v>278</v>
      </c>
      <c r="E958" s="21" t="s">
        <v>187</v>
      </c>
      <c r="F958" s="25"/>
      <c r="G958" s="27">
        <f>G959</f>
        <v>1324.7</v>
      </c>
      <c r="H958" s="221"/>
    </row>
    <row r="959" spans="1:10" ht="47.25" x14ac:dyDescent="0.25">
      <c r="A959" s="26" t="s">
        <v>644</v>
      </c>
      <c r="B959" s="17">
        <v>910</v>
      </c>
      <c r="C959" s="21" t="s">
        <v>181</v>
      </c>
      <c r="D959" s="21" t="s">
        <v>278</v>
      </c>
      <c r="E959" s="21" t="s">
        <v>645</v>
      </c>
      <c r="F959" s="21"/>
      <c r="G959" s="27">
        <f t="shared" ref="G959" si="157">G960+G962+G964</f>
        <v>1324.7</v>
      </c>
      <c r="H959" s="221"/>
    </row>
    <row r="960" spans="1:10" ht="94.5" x14ac:dyDescent="0.25">
      <c r="A960" s="26" t="s">
        <v>190</v>
      </c>
      <c r="B960" s="17">
        <v>910</v>
      </c>
      <c r="C960" s="21" t="s">
        <v>181</v>
      </c>
      <c r="D960" s="21" t="s">
        <v>278</v>
      </c>
      <c r="E960" s="21" t="s">
        <v>645</v>
      </c>
      <c r="F960" s="21" t="s">
        <v>191</v>
      </c>
      <c r="G960" s="27">
        <f>G961</f>
        <v>1186.7</v>
      </c>
      <c r="H960" s="221"/>
    </row>
    <row r="961" spans="1:10" ht="31.5" x14ac:dyDescent="0.25">
      <c r="A961" s="26" t="s">
        <v>192</v>
      </c>
      <c r="B961" s="17">
        <v>910</v>
      </c>
      <c r="C961" s="21" t="s">
        <v>181</v>
      </c>
      <c r="D961" s="21" t="s">
        <v>278</v>
      </c>
      <c r="E961" s="21" t="s">
        <v>645</v>
      </c>
      <c r="F961" s="21" t="s">
        <v>193</v>
      </c>
      <c r="G961" s="27">
        <f>1003.7+161+12+10</f>
        <v>1186.7</v>
      </c>
      <c r="H961" s="221" t="s">
        <v>924</v>
      </c>
    </row>
    <row r="962" spans="1:10" ht="47.25" x14ac:dyDescent="0.25">
      <c r="A962" s="26" t="s">
        <v>261</v>
      </c>
      <c r="B962" s="17">
        <v>910</v>
      </c>
      <c r="C962" s="21" t="s">
        <v>181</v>
      </c>
      <c r="D962" s="21" t="s">
        <v>278</v>
      </c>
      <c r="E962" s="21" t="s">
        <v>645</v>
      </c>
      <c r="F962" s="21" t="s">
        <v>195</v>
      </c>
      <c r="G962" s="27">
        <f>G963</f>
        <v>138</v>
      </c>
      <c r="H962" s="221"/>
    </row>
    <row r="963" spans="1:10" ht="47.25" x14ac:dyDescent="0.25">
      <c r="A963" s="26" t="s">
        <v>196</v>
      </c>
      <c r="B963" s="17">
        <v>910</v>
      </c>
      <c r="C963" s="21" t="s">
        <v>181</v>
      </c>
      <c r="D963" s="21" t="s">
        <v>278</v>
      </c>
      <c r="E963" s="21" t="s">
        <v>645</v>
      </c>
      <c r="F963" s="21" t="s">
        <v>197</v>
      </c>
      <c r="G963" s="27">
        <f>135+3</f>
        <v>138</v>
      </c>
      <c r="H963" s="221"/>
    </row>
    <row r="964" spans="1:10" ht="15.75" hidden="1" x14ac:dyDescent="0.25">
      <c r="A964" s="26" t="s">
        <v>198</v>
      </c>
      <c r="B964" s="17">
        <v>910</v>
      </c>
      <c r="C964" s="21" t="s">
        <v>181</v>
      </c>
      <c r="D964" s="21" t="s">
        <v>278</v>
      </c>
      <c r="E964" s="21" t="s">
        <v>645</v>
      </c>
      <c r="F964" s="21" t="s">
        <v>208</v>
      </c>
      <c r="G964" s="27">
        <f t="shared" ref="G964" si="158">G965</f>
        <v>0</v>
      </c>
      <c r="H964" s="221"/>
    </row>
    <row r="965" spans="1:10" ht="15.75" hidden="1" x14ac:dyDescent="0.25">
      <c r="A965" s="26" t="s">
        <v>633</v>
      </c>
      <c r="B965" s="17">
        <v>910</v>
      </c>
      <c r="C965" s="21" t="s">
        <v>181</v>
      </c>
      <c r="D965" s="21" t="s">
        <v>278</v>
      </c>
      <c r="E965" s="21" t="s">
        <v>645</v>
      </c>
      <c r="F965" s="21" t="s">
        <v>201</v>
      </c>
      <c r="G965" s="27">
        <v>0</v>
      </c>
      <c r="H965" s="221"/>
    </row>
    <row r="966" spans="1:10" ht="63" x14ac:dyDescent="0.25">
      <c r="A966" s="24" t="s">
        <v>182</v>
      </c>
      <c r="B966" s="20">
        <v>910</v>
      </c>
      <c r="C966" s="25" t="s">
        <v>181</v>
      </c>
      <c r="D966" s="25" t="s">
        <v>183</v>
      </c>
      <c r="E966" s="25"/>
      <c r="F966" s="25"/>
      <c r="G966" s="22">
        <f>G967</f>
        <v>2094.2000000000003</v>
      </c>
      <c r="H966" s="221"/>
    </row>
    <row r="967" spans="1:10" s="138" customFormat="1" ht="15.75" x14ac:dyDescent="0.25">
      <c r="A967" s="26" t="s">
        <v>184</v>
      </c>
      <c r="B967" s="17">
        <v>910</v>
      </c>
      <c r="C967" s="21" t="s">
        <v>181</v>
      </c>
      <c r="D967" s="21" t="s">
        <v>183</v>
      </c>
      <c r="E967" s="21" t="s">
        <v>185</v>
      </c>
      <c r="F967" s="21"/>
      <c r="G967" s="27">
        <f>G968</f>
        <v>2094.2000000000003</v>
      </c>
      <c r="H967" s="221"/>
      <c r="I967" s="156"/>
    </row>
    <row r="968" spans="1:10" s="138" customFormat="1" ht="31.5" x14ac:dyDescent="0.25">
      <c r="A968" s="26" t="s">
        <v>186</v>
      </c>
      <c r="B968" s="17">
        <v>910</v>
      </c>
      <c r="C968" s="21" t="s">
        <v>181</v>
      </c>
      <c r="D968" s="21" t="s">
        <v>183</v>
      </c>
      <c r="E968" s="21" t="s">
        <v>187</v>
      </c>
      <c r="F968" s="21"/>
      <c r="G968" s="27">
        <f>G969</f>
        <v>2094.2000000000003</v>
      </c>
      <c r="H968" s="221"/>
      <c r="I968" s="156"/>
    </row>
    <row r="969" spans="1:10" s="138" customFormat="1" ht="47.25" x14ac:dyDescent="0.25">
      <c r="A969" s="26" t="s">
        <v>188</v>
      </c>
      <c r="B969" s="17">
        <v>910</v>
      </c>
      <c r="C969" s="21" t="s">
        <v>181</v>
      </c>
      <c r="D969" s="21" t="s">
        <v>183</v>
      </c>
      <c r="E969" s="21" t="s">
        <v>189</v>
      </c>
      <c r="F969" s="21"/>
      <c r="G969" s="27">
        <f>G970+G972</f>
        <v>2094.2000000000003</v>
      </c>
      <c r="H969" s="221"/>
      <c r="I969" s="156"/>
    </row>
    <row r="970" spans="1:10" ht="94.5" x14ac:dyDescent="0.25">
      <c r="A970" s="26" t="s">
        <v>190</v>
      </c>
      <c r="B970" s="17">
        <v>910</v>
      </c>
      <c r="C970" s="21" t="s">
        <v>181</v>
      </c>
      <c r="D970" s="21" t="s">
        <v>183</v>
      </c>
      <c r="E970" s="21" t="s">
        <v>189</v>
      </c>
      <c r="F970" s="21" t="s">
        <v>191</v>
      </c>
      <c r="G970" s="27">
        <f>G971</f>
        <v>2075.9</v>
      </c>
      <c r="H970" s="221"/>
    </row>
    <row r="971" spans="1:10" ht="31.5" x14ac:dyDescent="0.25">
      <c r="A971" s="26" t="s">
        <v>192</v>
      </c>
      <c r="B971" s="17">
        <v>910</v>
      </c>
      <c r="C971" s="21" t="s">
        <v>181</v>
      </c>
      <c r="D971" s="21" t="s">
        <v>183</v>
      </c>
      <c r="E971" s="21" t="s">
        <v>189</v>
      </c>
      <c r="F971" s="21" t="s">
        <v>193</v>
      </c>
      <c r="G971" s="27">
        <f>1664.2+55.2+346+10.5</f>
        <v>2075.9</v>
      </c>
      <c r="H971" s="221" t="s">
        <v>925</v>
      </c>
      <c r="J971" s="216"/>
    </row>
    <row r="972" spans="1:10" ht="47.25" x14ac:dyDescent="0.25">
      <c r="A972" s="26" t="s">
        <v>261</v>
      </c>
      <c r="B972" s="17">
        <v>910</v>
      </c>
      <c r="C972" s="21" t="s">
        <v>181</v>
      </c>
      <c r="D972" s="21" t="s">
        <v>183</v>
      </c>
      <c r="E972" s="21" t="s">
        <v>189</v>
      </c>
      <c r="F972" s="21" t="s">
        <v>195</v>
      </c>
      <c r="G972" s="27">
        <f>G973</f>
        <v>18.3</v>
      </c>
      <c r="H972" s="221"/>
    </row>
    <row r="973" spans="1:10" ht="47.25" x14ac:dyDescent="0.25">
      <c r="A973" s="26" t="s">
        <v>196</v>
      </c>
      <c r="B973" s="17">
        <v>910</v>
      </c>
      <c r="C973" s="21" t="s">
        <v>181</v>
      </c>
      <c r="D973" s="21" t="s">
        <v>183</v>
      </c>
      <c r="E973" s="21" t="s">
        <v>189</v>
      </c>
      <c r="F973" s="21" t="s">
        <v>197</v>
      </c>
      <c r="G973" s="27">
        <v>18.3</v>
      </c>
      <c r="H973" s="221"/>
    </row>
    <row r="974" spans="1:10" ht="15.75" x14ac:dyDescent="0.25">
      <c r="A974" s="24" t="s">
        <v>202</v>
      </c>
      <c r="B974" s="20">
        <v>910</v>
      </c>
      <c r="C974" s="25" t="s">
        <v>181</v>
      </c>
      <c r="D974" s="25" t="s">
        <v>203</v>
      </c>
      <c r="E974" s="136"/>
      <c r="F974" s="21"/>
      <c r="G974" s="22">
        <f>G975+G979</f>
        <v>32.5</v>
      </c>
      <c r="H974" s="221"/>
    </row>
    <row r="975" spans="1:10" ht="47.25" x14ac:dyDescent="0.25">
      <c r="A975" s="26" t="s">
        <v>224</v>
      </c>
      <c r="B975" s="17">
        <v>910</v>
      </c>
      <c r="C975" s="21" t="s">
        <v>181</v>
      </c>
      <c r="D975" s="21" t="s">
        <v>203</v>
      </c>
      <c r="E975" s="21" t="s">
        <v>225</v>
      </c>
      <c r="F975" s="21"/>
      <c r="G975" s="27">
        <f>G976</f>
        <v>0.5</v>
      </c>
      <c r="H975" s="221"/>
    </row>
    <row r="976" spans="1:10" ht="63" x14ac:dyDescent="0.25">
      <c r="A976" s="33" t="s">
        <v>802</v>
      </c>
      <c r="B976" s="17">
        <v>910</v>
      </c>
      <c r="C976" s="21" t="s">
        <v>181</v>
      </c>
      <c r="D976" s="21" t="s">
        <v>203</v>
      </c>
      <c r="E976" s="42" t="s">
        <v>803</v>
      </c>
      <c r="F976" s="21"/>
      <c r="G976" s="27">
        <f>G977</f>
        <v>0.5</v>
      </c>
      <c r="H976" s="221"/>
    </row>
    <row r="977" spans="1:8" ht="31.5" x14ac:dyDescent="0.25">
      <c r="A977" s="26" t="s">
        <v>194</v>
      </c>
      <c r="B977" s="17">
        <v>910</v>
      </c>
      <c r="C977" s="21" t="s">
        <v>181</v>
      </c>
      <c r="D977" s="21" t="s">
        <v>203</v>
      </c>
      <c r="E977" s="42" t="s">
        <v>803</v>
      </c>
      <c r="F977" s="21" t="s">
        <v>195</v>
      </c>
      <c r="G977" s="27">
        <f>G978</f>
        <v>0.5</v>
      </c>
      <c r="H977" s="221"/>
    </row>
    <row r="978" spans="1:8" ht="47.25" x14ac:dyDescent="0.25">
      <c r="A978" s="26" t="s">
        <v>196</v>
      </c>
      <c r="B978" s="17">
        <v>910</v>
      </c>
      <c r="C978" s="21" t="s">
        <v>181</v>
      </c>
      <c r="D978" s="21" t="s">
        <v>203</v>
      </c>
      <c r="E978" s="42" t="s">
        <v>803</v>
      </c>
      <c r="F978" s="21" t="s">
        <v>197</v>
      </c>
      <c r="G978" s="27">
        <v>0.5</v>
      </c>
      <c r="H978" s="221"/>
    </row>
    <row r="979" spans="1:8" ht="15.75" x14ac:dyDescent="0.25">
      <c r="A979" s="33" t="s">
        <v>184</v>
      </c>
      <c r="B979" s="17">
        <v>910</v>
      </c>
      <c r="C979" s="21" t="s">
        <v>181</v>
      </c>
      <c r="D979" s="21" t="s">
        <v>203</v>
      </c>
      <c r="E979" s="21" t="s">
        <v>185</v>
      </c>
      <c r="F979" s="21"/>
      <c r="G979" s="27">
        <f>G980</f>
        <v>32</v>
      </c>
      <c r="H979" s="221"/>
    </row>
    <row r="980" spans="1:8" ht="31.5" x14ac:dyDescent="0.25">
      <c r="A980" s="33" t="s">
        <v>248</v>
      </c>
      <c r="B980" s="17">
        <v>910</v>
      </c>
      <c r="C980" s="21" t="s">
        <v>181</v>
      </c>
      <c r="D980" s="21" t="s">
        <v>203</v>
      </c>
      <c r="E980" s="21" t="s">
        <v>249</v>
      </c>
      <c r="F980" s="21"/>
      <c r="G980" s="27">
        <f>G981</f>
        <v>32</v>
      </c>
      <c r="H980" s="221"/>
    </row>
    <row r="981" spans="1:8" ht="63" x14ac:dyDescent="0.25">
      <c r="A981" s="33" t="s">
        <v>802</v>
      </c>
      <c r="B981" s="17">
        <v>910</v>
      </c>
      <c r="C981" s="21" t="s">
        <v>181</v>
      </c>
      <c r="D981" s="21" t="s">
        <v>203</v>
      </c>
      <c r="E981" s="21" t="s">
        <v>804</v>
      </c>
      <c r="F981" s="21"/>
      <c r="G981" s="27">
        <f>G982</f>
        <v>32</v>
      </c>
      <c r="H981" s="221"/>
    </row>
    <row r="982" spans="1:8" ht="31.5" x14ac:dyDescent="0.25">
      <c r="A982" s="26" t="s">
        <v>194</v>
      </c>
      <c r="B982" s="17">
        <v>910</v>
      </c>
      <c r="C982" s="21" t="s">
        <v>181</v>
      </c>
      <c r="D982" s="21" t="s">
        <v>203</v>
      </c>
      <c r="E982" s="21" t="s">
        <v>804</v>
      </c>
      <c r="F982" s="21" t="s">
        <v>195</v>
      </c>
      <c r="G982" s="27">
        <f>G983</f>
        <v>32</v>
      </c>
      <c r="H982" s="221"/>
    </row>
    <row r="983" spans="1:8" ht="47.25" x14ac:dyDescent="0.25">
      <c r="A983" s="26" t="s">
        <v>196</v>
      </c>
      <c r="B983" s="17">
        <v>910</v>
      </c>
      <c r="C983" s="21" t="s">
        <v>181</v>
      </c>
      <c r="D983" s="21" t="s">
        <v>203</v>
      </c>
      <c r="E983" s="21" t="s">
        <v>804</v>
      </c>
      <c r="F983" s="21" t="s">
        <v>197</v>
      </c>
      <c r="G983" s="27">
        <v>32</v>
      </c>
      <c r="H983" s="137"/>
    </row>
    <row r="984" spans="1:8" ht="31.5" x14ac:dyDescent="0.25">
      <c r="A984" s="24" t="s">
        <v>646</v>
      </c>
      <c r="B984" s="20">
        <v>913</v>
      </c>
      <c r="C984" s="25"/>
      <c r="D984" s="25"/>
      <c r="E984" s="25"/>
      <c r="F984" s="25"/>
      <c r="G984" s="22">
        <f t="shared" ref="G984:G988" si="159">G985</f>
        <v>6584.5999999999995</v>
      </c>
      <c r="H984" s="221"/>
    </row>
    <row r="985" spans="1:8" ht="15.75" x14ac:dyDescent="0.25">
      <c r="A985" s="24" t="s">
        <v>647</v>
      </c>
      <c r="B985" s="20">
        <v>913</v>
      </c>
      <c r="C985" s="25" t="s">
        <v>301</v>
      </c>
      <c r="D985" s="21"/>
      <c r="E985" s="21"/>
      <c r="F985" s="21"/>
      <c r="G985" s="27">
        <f>G986</f>
        <v>6584.5999999999995</v>
      </c>
      <c r="H985" s="221"/>
    </row>
    <row r="986" spans="1:8" ht="15.75" x14ac:dyDescent="0.25">
      <c r="A986" s="24" t="s">
        <v>648</v>
      </c>
      <c r="B986" s="20">
        <v>913</v>
      </c>
      <c r="C986" s="25" t="s">
        <v>301</v>
      </c>
      <c r="D986" s="25" t="s">
        <v>276</v>
      </c>
      <c r="E986" s="25"/>
      <c r="F986" s="25"/>
      <c r="G986" s="27">
        <f t="shared" si="159"/>
        <v>6584.5999999999995</v>
      </c>
      <c r="H986" s="221"/>
    </row>
    <row r="987" spans="1:8" ht="15.75" x14ac:dyDescent="0.25">
      <c r="A987" s="26" t="s">
        <v>184</v>
      </c>
      <c r="B987" s="17">
        <v>913</v>
      </c>
      <c r="C987" s="21" t="s">
        <v>301</v>
      </c>
      <c r="D987" s="21" t="s">
        <v>276</v>
      </c>
      <c r="E987" s="21" t="s">
        <v>185</v>
      </c>
      <c r="F987" s="21"/>
      <c r="G987" s="27">
        <f>G988</f>
        <v>6584.5999999999995</v>
      </c>
      <c r="H987" s="221"/>
    </row>
    <row r="988" spans="1:8" ht="31.5" x14ac:dyDescent="0.25">
      <c r="A988" s="26" t="s">
        <v>649</v>
      </c>
      <c r="B988" s="17">
        <v>913</v>
      </c>
      <c r="C988" s="21" t="s">
        <v>301</v>
      </c>
      <c r="D988" s="21" t="s">
        <v>276</v>
      </c>
      <c r="E988" s="21" t="s">
        <v>650</v>
      </c>
      <c r="F988" s="21"/>
      <c r="G988" s="27">
        <f t="shared" si="159"/>
        <v>6584.5999999999995</v>
      </c>
      <c r="H988" s="221"/>
    </row>
    <row r="989" spans="1:8" ht="31.5" x14ac:dyDescent="0.25">
      <c r="A989" s="26" t="s">
        <v>373</v>
      </c>
      <c r="B989" s="17">
        <v>913</v>
      </c>
      <c r="C989" s="21" t="s">
        <v>301</v>
      </c>
      <c r="D989" s="21" t="s">
        <v>276</v>
      </c>
      <c r="E989" s="21" t="s">
        <v>651</v>
      </c>
      <c r="F989" s="21"/>
      <c r="G989" s="27">
        <f>G990+G992+G994</f>
        <v>6584.5999999999995</v>
      </c>
      <c r="H989" s="221"/>
    </row>
    <row r="990" spans="1:8" ht="94.5" x14ac:dyDescent="0.25">
      <c r="A990" s="26" t="s">
        <v>190</v>
      </c>
      <c r="B990" s="17">
        <v>913</v>
      </c>
      <c r="C990" s="21" t="s">
        <v>301</v>
      </c>
      <c r="D990" s="21" t="s">
        <v>276</v>
      </c>
      <c r="E990" s="21" t="s">
        <v>651</v>
      </c>
      <c r="F990" s="21" t="s">
        <v>191</v>
      </c>
      <c r="G990" s="27">
        <f t="shared" ref="G990" si="160">G991</f>
        <v>5412.7</v>
      </c>
      <c r="H990" s="221"/>
    </row>
    <row r="991" spans="1:8" ht="31.5" x14ac:dyDescent="0.25">
      <c r="A991" s="26" t="s">
        <v>271</v>
      </c>
      <c r="B991" s="17">
        <v>913</v>
      </c>
      <c r="C991" s="21" t="s">
        <v>301</v>
      </c>
      <c r="D991" s="21" t="s">
        <v>276</v>
      </c>
      <c r="E991" s="21" t="s">
        <v>651</v>
      </c>
      <c r="F991" s="21" t="s">
        <v>272</v>
      </c>
      <c r="G991" s="28">
        <f>5371.7+41</f>
        <v>5412.7</v>
      </c>
      <c r="H991" s="221" t="s">
        <v>959</v>
      </c>
    </row>
    <row r="992" spans="1:8" ht="31.5" x14ac:dyDescent="0.25">
      <c r="A992" s="26" t="s">
        <v>194</v>
      </c>
      <c r="B992" s="17">
        <v>913</v>
      </c>
      <c r="C992" s="21" t="s">
        <v>301</v>
      </c>
      <c r="D992" s="21" t="s">
        <v>276</v>
      </c>
      <c r="E992" s="21" t="s">
        <v>651</v>
      </c>
      <c r="F992" s="21" t="s">
        <v>195</v>
      </c>
      <c r="G992" s="27">
        <f t="shared" ref="G992" si="161">G993</f>
        <v>1159.2</v>
      </c>
      <c r="H992" s="221"/>
    </row>
    <row r="993" spans="1:12" ht="47.25" x14ac:dyDescent="0.25">
      <c r="A993" s="26" t="s">
        <v>196</v>
      </c>
      <c r="B993" s="17">
        <v>913</v>
      </c>
      <c r="C993" s="21" t="s">
        <v>301</v>
      </c>
      <c r="D993" s="21" t="s">
        <v>276</v>
      </c>
      <c r="E993" s="21" t="s">
        <v>651</v>
      </c>
      <c r="F993" s="21" t="s">
        <v>197</v>
      </c>
      <c r="G993" s="28">
        <f>898.3+28.1+1.7-25.2+300-43.7</f>
        <v>1159.2</v>
      </c>
      <c r="H993" s="146" t="s">
        <v>960</v>
      </c>
      <c r="I993" s="153"/>
    </row>
    <row r="994" spans="1:12" ht="15.75" x14ac:dyDescent="0.25">
      <c r="A994" s="26" t="s">
        <v>198</v>
      </c>
      <c r="B994" s="17">
        <v>913</v>
      </c>
      <c r="C994" s="21" t="s">
        <v>301</v>
      </c>
      <c r="D994" s="21" t="s">
        <v>276</v>
      </c>
      <c r="E994" s="21" t="s">
        <v>651</v>
      </c>
      <c r="F994" s="21" t="s">
        <v>208</v>
      </c>
      <c r="G994" s="27">
        <f t="shared" ref="G994" si="162">G995</f>
        <v>12.7</v>
      </c>
      <c r="H994" s="221"/>
    </row>
    <row r="995" spans="1:12" ht="15.75" x14ac:dyDescent="0.25">
      <c r="A995" s="26" t="s">
        <v>633</v>
      </c>
      <c r="B995" s="17">
        <v>913</v>
      </c>
      <c r="C995" s="21" t="s">
        <v>301</v>
      </c>
      <c r="D995" s="21" t="s">
        <v>276</v>
      </c>
      <c r="E995" s="21" t="s">
        <v>651</v>
      </c>
      <c r="F995" s="21" t="s">
        <v>201</v>
      </c>
      <c r="G995" s="27">
        <f>10+2.7</f>
        <v>12.7</v>
      </c>
      <c r="H995" s="221" t="s">
        <v>961</v>
      </c>
    </row>
    <row r="996" spans="1:12" ht="18.75" x14ac:dyDescent="0.3">
      <c r="A996" s="50" t="s">
        <v>652</v>
      </c>
      <c r="B996" s="50"/>
      <c r="C996" s="25"/>
      <c r="D996" s="25"/>
      <c r="E996" s="25"/>
      <c r="F996" s="25"/>
      <c r="G996" s="51">
        <f>G984+G946+G762+G687+G509+G467+G223+G27+G10</f>
        <v>633371.18999999994</v>
      </c>
      <c r="H996" s="221"/>
      <c r="L996" s="142"/>
    </row>
    <row r="997" spans="1:12" x14ac:dyDescent="0.25">
      <c r="A997" s="52"/>
      <c r="B997" s="52"/>
      <c r="C997" s="52"/>
      <c r="D997" s="52"/>
      <c r="E997" s="52"/>
      <c r="F997" s="52"/>
      <c r="G997" s="52"/>
      <c r="I997" s="140"/>
    </row>
    <row r="998" spans="1:12" ht="18.75" x14ac:dyDescent="0.3">
      <c r="A998" s="52"/>
      <c r="B998" s="52"/>
      <c r="C998" s="53"/>
      <c r="D998" s="53"/>
      <c r="E998" s="53"/>
      <c r="F998" s="128" t="s">
        <v>653</v>
      </c>
      <c r="G998" s="54">
        <f>G996-G999</f>
        <v>429008.08999999991</v>
      </c>
    </row>
    <row r="999" spans="1:12" ht="18.75" x14ac:dyDescent="0.3">
      <c r="A999" s="52"/>
      <c r="B999" s="52"/>
      <c r="C999" s="53"/>
      <c r="D999" s="53"/>
      <c r="E999" s="53"/>
      <c r="F999" s="128" t="s">
        <v>654</v>
      </c>
      <c r="G999" s="54">
        <f>G98+G182+G188+G211+G217+G264+G276+G341+G452+G491+G505+G538+G592+G654+G708+G802+G844+G898+G637+G980+G234+G735</f>
        <v>204363.10000000003</v>
      </c>
      <c r="I999" s="144"/>
    </row>
    <row r="1000" spans="1:12" ht="15.75" x14ac:dyDescent="0.25">
      <c r="A1000" s="52"/>
      <c r="B1000" s="52"/>
      <c r="C1000" s="53"/>
      <c r="D1000" s="55"/>
      <c r="E1000" s="55"/>
      <c r="F1000" s="55"/>
      <c r="G1000" s="129"/>
    </row>
    <row r="1001" spans="1:12" ht="15.75" x14ac:dyDescent="0.25">
      <c r="A1001" s="52"/>
      <c r="B1001" s="52"/>
      <c r="C1001" s="53"/>
      <c r="D1001" s="55"/>
      <c r="E1001" s="55"/>
      <c r="F1001" s="55"/>
      <c r="G1001" s="53"/>
    </row>
    <row r="1002" spans="1:12" ht="15.75" x14ac:dyDescent="0.25">
      <c r="A1002" s="52"/>
      <c r="B1002" s="52"/>
      <c r="C1002" s="56">
        <v>1</v>
      </c>
      <c r="D1002" s="55"/>
      <c r="E1002" s="55"/>
      <c r="F1002" s="55"/>
      <c r="G1002" s="57">
        <f>G11+G28+G468+G510+G947+G763+G231</f>
        <v>115341.09999999999</v>
      </c>
      <c r="H1002" s="131"/>
      <c r="I1002" s="145">
        <f>'прил.№2 Рд,пр'!D12</f>
        <v>115341.1</v>
      </c>
      <c r="L1002" s="131"/>
    </row>
    <row r="1003" spans="1:12" ht="15.75" x14ac:dyDescent="0.25">
      <c r="A1003" s="52"/>
      <c r="B1003" s="52"/>
      <c r="C1003" s="56">
        <v>2</v>
      </c>
      <c r="D1003" s="55"/>
      <c r="E1003" s="55"/>
      <c r="F1003" s="55"/>
      <c r="G1003" s="57">
        <f>G149</f>
        <v>0</v>
      </c>
      <c r="H1003" s="131"/>
      <c r="I1003" s="145">
        <v>0</v>
      </c>
      <c r="L1003" s="131"/>
    </row>
    <row r="1004" spans="1:12" ht="15.75" x14ac:dyDescent="0.25">
      <c r="A1004" s="52"/>
      <c r="B1004" s="52"/>
      <c r="C1004" s="56">
        <v>3</v>
      </c>
      <c r="D1004" s="55"/>
      <c r="E1004" s="55"/>
      <c r="F1004" s="55"/>
      <c r="G1004" s="57">
        <f>G778+G161</f>
        <v>5864.8</v>
      </c>
      <c r="H1004" s="131"/>
      <c r="I1004" s="145">
        <f>'прил.№2 Рд,пр'!D21</f>
        <v>5864.8</v>
      </c>
      <c r="L1004" s="131"/>
    </row>
    <row r="1005" spans="1:12" ht="15.75" x14ac:dyDescent="0.25">
      <c r="A1005" s="52"/>
      <c r="B1005" s="52"/>
      <c r="C1005" s="56">
        <v>4</v>
      </c>
      <c r="D1005" s="55"/>
      <c r="E1005" s="55"/>
      <c r="F1005" s="55"/>
      <c r="G1005" s="57">
        <f>G179+G785</f>
        <v>19236.3</v>
      </c>
      <c r="H1005" s="131"/>
      <c r="I1005" s="145">
        <f>'прил.№2 Рд,пр'!D23</f>
        <v>19236.3</v>
      </c>
      <c r="L1005" s="131"/>
    </row>
    <row r="1006" spans="1:12" ht="15.75" x14ac:dyDescent="0.25">
      <c r="A1006" s="52"/>
      <c r="B1006" s="52"/>
      <c r="C1006" s="56">
        <v>5</v>
      </c>
      <c r="D1006" s="55"/>
      <c r="E1006" s="55"/>
      <c r="F1006" s="55"/>
      <c r="G1006" s="57">
        <f>G799+G488</f>
        <v>85518.39</v>
      </c>
      <c r="H1006" s="131"/>
      <c r="I1006" s="145">
        <f>'прил.№2 Рд,пр'!D28</f>
        <v>85518.389999999985</v>
      </c>
      <c r="L1006" s="131"/>
    </row>
    <row r="1007" spans="1:12" ht="15.75" x14ac:dyDescent="0.25">
      <c r="A1007" s="52"/>
      <c r="B1007" s="52"/>
      <c r="C1007" s="56">
        <v>7</v>
      </c>
      <c r="D1007" s="55"/>
      <c r="E1007" s="55"/>
      <c r="F1007" s="55"/>
      <c r="G1007" s="57">
        <f>G688+G517+G238</f>
        <v>285366.40000000002</v>
      </c>
      <c r="H1007" s="131"/>
      <c r="I1007" s="145">
        <f>'прил.№2 Рд,пр'!D33</f>
        <v>285366.40000000002</v>
      </c>
      <c r="L1007" s="131"/>
    </row>
    <row r="1008" spans="1:12" ht="15.75" x14ac:dyDescent="0.25">
      <c r="A1008" s="52"/>
      <c r="B1008" s="52"/>
      <c r="C1008" s="56">
        <v>8</v>
      </c>
      <c r="D1008" s="55"/>
      <c r="E1008" s="55"/>
      <c r="F1008" s="55"/>
      <c r="G1008" s="57">
        <f>G280</f>
        <v>64005.600000000006</v>
      </c>
      <c r="H1008" s="131"/>
      <c r="I1008" s="145">
        <f>'прил.№2 Рд,пр'!D39</f>
        <v>64005.600000000006</v>
      </c>
      <c r="L1008" s="131"/>
    </row>
    <row r="1009" spans="1:12" ht="15.75" x14ac:dyDescent="0.25">
      <c r="A1009" s="52"/>
      <c r="B1009" s="52"/>
      <c r="C1009" s="56">
        <v>10</v>
      </c>
      <c r="D1009" s="55"/>
      <c r="E1009" s="55"/>
      <c r="F1009" s="55"/>
      <c r="G1009" s="57">
        <f>G939+G503+G396+G197</f>
        <v>16581</v>
      </c>
      <c r="H1009" s="131"/>
      <c r="I1009" s="145">
        <f>'прил.№2 Рд,пр'!D42</f>
        <v>16581</v>
      </c>
      <c r="L1009" s="131"/>
    </row>
    <row r="1010" spans="1:12" ht="15.75" x14ac:dyDescent="0.25">
      <c r="A1010" s="52"/>
      <c r="B1010" s="52"/>
      <c r="C1010" s="56">
        <v>11</v>
      </c>
      <c r="D1010" s="55"/>
      <c r="E1010" s="55"/>
      <c r="F1010" s="55"/>
      <c r="G1010" s="57">
        <f>G718</f>
        <v>34873</v>
      </c>
      <c r="H1010" s="131"/>
      <c r="I1010" s="145">
        <f>'прил.№2 Рд,пр'!D47</f>
        <v>34873</v>
      </c>
      <c r="L1010" s="131"/>
    </row>
    <row r="1011" spans="1:12" ht="15.75" x14ac:dyDescent="0.25">
      <c r="A1011" s="52"/>
      <c r="B1011" s="52"/>
      <c r="C1011" s="56">
        <v>12</v>
      </c>
      <c r="D1011" s="55"/>
      <c r="E1011" s="55"/>
      <c r="F1011" s="55"/>
      <c r="G1011" s="57">
        <f>G985</f>
        <v>6584.5999999999995</v>
      </c>
      <c r="H1011" s="131"/>
      <c r="I1011" s="145">
        <f>'прил.№2 Рд,пр'!D50</f>
        <v>6584.5999999999995</v>
      </c>
      <c r="L1011" s="131"/>
    </row>
    <row r="1012" spans="1:12" ht="15.75" x14ac:dyDescent="0.25">
      <c r="A1012" s="52"/>
      <c r="B1012" s="52"/>
      <c r="C1012" s="57"/>
      <c r="D1012" s="55"/>
      <c r="E1012" s="55"/>
      <c r="F1012" s="55"/>
      <c r="G1012" s="130">
        <f>SUM(G1002:G1011)</f>
        <v>633371.18999999994</v>
      </c>
      <c r="H1012" s="131"/>
      <c r="I1012" s="145">
        <f>'прил.№2 Рд,пр'!D52</f>
        <v>633371.18999999994</v>
      </c>
      <c r="L1012" s="131"/>
    </row>
    <row r="1013" spans="1:12" x14ac:dyDescent="0.25">
      <c r="G1013" s="131"/>
      <c r="H1013" s="131"/>
      <c r="I1013" s="145"/>
    </row>
    <row r="1014" spans="1:12" x14ac:dyDescent="0.25">
      <c r="D1014" s="1" t="s">
        <v>655</v>
      </c>
      <c r="E1014" s="1">
        <v>50</v>
      </c>
      <c r="G1014" s="131">
        <f>G793</f>
        <v>14368.9</v>
      </c>
      <c r="H1014" s="131"/>
      <c r="I1014" s="145"/>
    </row>
    <row r="1015" spans="1:12" x14ac:dyDescent="0.25">
      <c r="E1015" s="1">
        <v>51</v>
      </c>
      <c r="G1015" s="131">
        <f>G398</f>
        <v>3493</v>
      </c>
      <c r="H1015" s="131"/>
      <c r="I1015" s="145"/>
    </row>
    <row r="1016" spans="1:12" x14ac:dyDescent="0.25">
      <c r="E1016" s="1">
        <v>52</v>
      </c>
      <c r="G1016" s="131">
        <f>G519+G558+G648+G624</f>
        <v>86210.5</v>
      </c>
      <c r="H1016" s="131"/>
      <c r="I1016" s="145"/>
    </row>
    <row r="1017" spans="1:12" x14ac:dyDescent="0.25">
      <c r="E1017" s="1">
        <v>53</v>
      </c>
      <c r="G1017" s="131">
        <f>G57</f>
        <v>250</v>
      </c>
      <c r="H1017" s="131"/>
      <c r="I1017" s="145"/>
    </row>
    <row r="1018" spans="1:12" x14ac:dyDescent="0.25">
      <c r="E1018" s="1">
        <v>54</v>
      </c>
      <c r="G1018" s="131">
        <f>G61+G975</f>
        <v>654</v>
      </c>
      <c r="H1018" s="131"/>
      <c r="I1018" s="145"/>
    </row>
    <row r="1019" spans="1:12" x14ac:dyDescent="0.25">
      <c r="E1019" s="1">
        <v>55</v>
      </c>
      <c r="G1019" s="131">
        <f>G206</f>
        <v>10</v>
      </c>
      <c r="H1019" s="131"/>
      <c r="I1019" s="145"/>
    </row>
    <row r="1020" spans="1:12" x14ac:dyDescent="0.25">
      <c r="E1020" s="1">
        <v>56</v>
      </c>
      <c r="G1020" s="131">
        <f>G73</f>
        <v>80</v>
      </c>
      <c r="H1020" s="131"/>
      <c r="I1020" s="145"/>
    </row>
    <row r="1021" spans="1:12" x14ac:dyDescent="0.25">
      <c r="E1021" s="1">
        <v>57</v>
      </c>
      <c r="G1021" s="131">
        <f>G740+G720+G690</f>
        <v>36496.700000000004</v>
      </c>
      <c r="H1021" s="131"/>
      <c r="I1021" s="145"/>
    </row>
    <row r="1022" spans="1:12" x14ac:dyDescent="0.25">
      <c r="E1022" s="1">
        <v>58</v>
      </c>
      <c r="G1022" s="131">
        <f>G282+G240</f>
        <v>57558.3</v>
      </c>
      <c r="H1022" s="131"/>
      <c r="I1022" s="145"/>
    </row>
    <row r="1023" spans="1:12" x14ac:dyDescent="0.25">
      <c r="E1023" s="1">
        <v>59</v>
      </c>
      <c r="G1023" s="131">
        <f>G336</f>
        <v>186.8</v>
      </c>
      <c r="H1023" s="131"/>
      <c r="I1023" s="145"/>
    </row>
    <row r="1024" spans="1:12" x14ac:dyDescent="0.25">
      <c r="E1024" s="1">
        <v>60</v>
      </c>
      <c r="G1024" s="131">
        <f>G867</f>
        <v>3683.4000000000005</v>
      </c>
      <c r="H1024" s="131"/>
      <c r="I1024" s="145"/>
    </row>
    <row r="1025" spans="5:9" x14ac:dyDescent="0.25">
      <c r="E1025" s="1">
        <v>61</v>
      </c>
      <c r="G1025" s="131">
        <f>G86</f>
        <v>50</v>
      </c>
      <c r="H1025" s="131"/>
      <c r="I1025" s="145"/>
    </row>
    <row r="1026" spans="5:9" x14ac:dyDescent="0.25">
      <c r="E1026" s="1">
        <v>62</v>
      </c>
      <c r="G1026" s="131">
        <f>G816</f>
        <v>4565.9000000000005</v>
      </c>
      <c r="H1026" s="131"/>
      <c r="I1026" s="145"/>
    </row>
    <row r="1027" spans="5:9" x14ac:dyDescent="0.25">
      <c r="E1027" s="1">
        <v>63</v>
      </c>
      <c r="G1027" s="131">
        <f>G362+G660</f>
        <v>125</v>
      </c>
      <c r="H1027" s="131"/>
      <c r="I1027" s="145"/>
    </row>
    <row r="1028" spans="5:9" x14ac:dyDescent="0.25">
      <c r="E1028" s="1">
        <v>64</v>
      </c>
      <c r="G1028" s="131">
        <f>G90+G377</f>
        <v>34</v>
      </c>
      <c r="H1028" s="131"/>
      <c r="I1028" s="145"/>
    </row>
    <row r="1029" spans="5:9" x14ac:dyDescent="0.25">
      <c r="E1029" s="1">
        <v>65</v>
      </c>
      <c r="G1029" s="131">
        <f>G893</f>
        <v>539.5</v>
      </c>
      <c r="H1029" s="131"/>
      <c r="I1029" s="145"/>
    </row>
    <row r="1030" spans="5:9" x14ac:dyDescent="0.25">
      <c r="G1030" s="131">
        <f>SUM(G1014:G1029)</f>
        <v>208306</v>
      </c>
      <c r="H1030" s="131"/>
      <c r="I1030" s="145"/>
    </row>
    <row r="1031" spans="5:9" x14ac:dyDescent="0.25">
      <c r="G1031" s="131"/>
      <c r="H1031" s="131"/>
      <c r="I1031" s="145"/>
    </row>
  </sheetData>
  <mergeCells count="3">
    <mergeCell ref="J755:K761"/>
    <mergeCell ref="A4:G4"/>
    <mergeCell ref="A5:G5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96" max="8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5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91" t="s">
        <v>171</v>
      </c>
      <c r="G1" s="74"/>
      <c r="H1" s="221"/>
    </row>
    <row r="2" spans="1:9" ht="18.75" x14ac:dyDescent="0.3">
      <c r="A2" s="74"/>
      <c r="B2" s="74"/>
      <c r="C2" s="74"/>
      <c r="D2" s="74"/>
      <c r="E2" s="73"/>
      <c r="F2" s="191" t="s">
        <v>0</v>
      </c>
      <c r="G2" s="74"/>
      <c r="H2" s="221"/>
    </row>
    <row r="3" spans="1:9" ht="18.75" x14ac:dyDescent="0.3">
      <c r="A3" s="74"/>
      <c r="B3" s="74"/>
      <c r="C3" s="74"/>
      <c r="D3" s="74"/>
      <c r="E3" s="73"/>
      <c r="F3" s="191" t="s">
        <v>883</v>
      </c>
      <c r="G3" s="74"/>
      <c r="H3" s="221"/>
    </row>
    <row r="4" spans="1:9" ht="15.75" x14ac:dyDescent="0.25">
      <c r="A4" s="279"/>
      <c r="B4" s="279"/>
      <c r="C4" s="279"/>
      <c r="D4" s="279"/>
      <c r="E4" s="279"/>
      <c r="F4" s="279"/>
      <c r="G4" s="279"/>
      <c r="H4" s="221"/>
    </row>
    <row r="5" spans="1:9" ht="15.75" x14ac:dyDescent="0.25">
      <c r="A5" s="271" t="s">
        <v>172</v>
      </c>
      <c r="B5" s="271"/>
      <c r="C5" s="271"/>
      <c r="D5" s="271"/>
      <c r="E5" s="271"/>
      <c r="F5" s="271"/>
      <c r="G5" s="271"/>
      <c r="H5" s="221"/>
    </row>
    <row r="6" spans="1:9" ht="15.75" x14ac:dyDescent="0.25">
      <c r="A6" s="218"/>
      <c r="B6" s="218"/>
      <c r="C6" s="218"/>
      <c r="D6" s="218"/>
      <c r="E6" s="218"/>
      <c r="F6" s="218"/>
      <c r="G6" s="218"/>
      <c r="H6" s="221"/>
    </row>
    <row r="7" spans="1:9" ht="15.75" x14ac:dyDescent="0.25">
      <c r="A7" s="14"/>
      <c r="B7" s="14"/>
      <c r="C7" s="14"/>
      <c r="D7" s="14"/>
      <c r="E7" s="14"/>
      <c r="F7" s="14"/>
      <c r="G7" s="127" t="s">
        <v>4</v>
      </c>
      <c r="H7" s="221"/>
    </row>
    <row r="8" spans="1:9" ht="47.25" x14ac:dyDescent="0.25">
      <c r="A8" s="15" t="s">
        <v>173</v>
      </c>
      <c r="B8" s="15" t="s">
        <v>174</v>
      </c>
      <c r="C8" s="16" t="s">
        <v>175</v>
      </c>
      <c r="D8" s="16" t="s">
        <v>176</v>
      </c>
      <c r="E8" s="16" t="s">
        <v>177</v>
      </c>
      <c r="F8" s="16" t="s">
        <v>178</v>
      </c>
      <c r="G8" s="15" t="s">
        <v>7</v>
      </c>
      <c r="H8" s="221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21"/>
    </row>
    <row r="10" spans="1:9" ht="31.5" x14ac:dyDescent="0.25">
      <c r="A10" s="20" t="s">
        <v>179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21"/>
      <c r="I10" s="140"/>
    </row>
    <row r="11" spans="1:9" ht="15.75" x14ac:dyDescent="0.25">
      <c r="A11" s="24" t="s">
        <v>180</v>
      </c>
      <c r="B11" s="20">
        <v>901</v>
      </c>
      <c r="C11" s="25" t="s">
        <v>181</v>
      </c>
      <c r="D11" s="21"/>
      <c r="E11" s="21"/>
      <c r="F11" s="21"/>
      <c r="G11" s="22">
        <f>G12+G22</f>
        <v>14164.460000000001</v>
      </c>
      <c r="H11" s="221"/>
    </row>
    <row r="12" spans="1:9" ht="63" x14ac:dyDescent="0.25">
      <c r="A12" s="24" t="s">
        <v>182</v>
      </c>
      <c r="B12" s="20">
        <v>901</v>
      </c>
      <c r="C12" s="25" t="s">
        <v>181</v>
      </c>
      <c r="D12" s="25" t="s">
        <v>183</v>
      </c>
      <c r="E12" s="25"/>
      <c r="F12" s="25"/>
      <c r="G12" s="22">
        <f>G13</f>
        <v>14114.460000000001</v>
      </c>
      <c r="H12" s="221"/>
    </row>
    <row r="13" spans="1:9" ht="15.75" x14ac:dyDescent="0.25">
      <c r="A13" s="26" t="s">
        <v>184</v>
      </c>
      <c r="B13" s="17">
        <v>901</v>
      </c>
      <c r="C13" s="21" t="s">
        <v>181</v>
      </c>
      <c r="D13" s="21" t="s">
        <v>183</v>
      </c>
      <c r="E13" s="21" t="s">
        <v>185</v>
      </c>
      <c r="F13" s="21"/>
      <c r="G13" s="27">
        <f>G14</f>
        <v>14114.460000000001</v>
      </c>
      <c r="H13" s="221"/>
    </row>
    <row r="14" spans="1:9" ht="31.5" x14ac:dyDescent="0.25">
      <c r="A14" s="26" t="s">
        <v>186</v>
      </c>
      <c r="B14" s="17">
        <v>901</v>
      </c>
      <c r="C14" s="21" t="s">
        <v>181</v>
      </c>
      <c r="D14" s="21" t="s">
        <v>183</v>
      </c>
      <c r="E14" s="21" t="s">
        <v>187</v>
      </c>
      <c r="F14" s="21"/>
      <c r="G14" s="27">
        <f>G15</f>
        <v>14114.460000000001</v>
      </c>
      <c r="H14" s="221"/>
    </row>
    <row r="15" spans="1:9" ht="47.25" x14ac:dyDescent="0.25">
      <c r="A15" s="26" t="s">
        <v>188</v>
      </c>
      <c r="B15" s="17">
        <v>901</v>
      </c>
      <c r="C15" s="21" t="s">
        <v>181</v>
      </c>
      <c r="D15" s="21" t="s">
        <v>183</v>
      </c>
      <c r="E15" s="21" t="s">
        <v>189</v>
      </c>
      <c r="F15" s="21"/>
      <c r="G15" s="27">
        <f>G16+G18+G20</f>
        <v>14114.460000000001</v>
      </c>
      <c r="H15" s="221"/>
    </row>
    <row r="16" spans="1:9" ht="94.5" x14ac:dyDescent="0.25">
      <c r="A16" s="26" t="s">
        <v>190</v>
      </c>
      <c r="B16" s="17">
        <v>901</v>
      </c>
      <c r="C16" s="21" t="s">
        <v>181</v>
      </c>
      <c r="D16" s="21" t="s">
        <v>183</v>
      </c>
      <c r="E16" s="21" t="s">
        <v>189</v>
      </c>
      <c r="F16" s="21" t="s">
        <v>191</v>
      </c>
      <c r="G16" s="27">
        <f>G17</f>
        <v>12784.1</v>
      </c>
      <c r="H16" s="221"/>
    </row>
    <row r="17" spans="1:8" ht="31.5" x14ac:dyDescent="0.25">
      <c r="A17" s="26" t="s">
        <v>192</v>
      </c>
      <c r="B17" s="17">
        <v>901</v>
      </c>
      <c r="C17" s="21" t="s">
        <v>181</v>
      </c>
      <c r="D17" s="21" t="s">
        <v>183</v>
      </c>
      <c r="E17" s="21" t="s">
        <v>189</v>
      </c>
      <c r="F17" s="21" t="s">
        <v>193</v>
      </c>
      <c r="G17" s="28">
        <v>12784.1</v>
      </c>
      <c r="H17" s="221"/>
    </row>
    <row r="18" spans="1:8" ht="31.5" x14ac:dyDescent="0.25">
      <c r="A18" s="26" t="s">
        <v>194</v>
      </c>
      <c r="B18" s="17">
        <v>901</v>
      </c>
      <c r="C18" s="21" t="s">
        <v>181</v>
      </c>
      <c r="D18" s="21" t="s">
        <v>183</v>
      </c>
      <c r="E18" s="21" t="s">
        <v>189</v>
      </c>
      <c r="F18" s="21" t="s">
        <v>195</v>
      </c>
      <c r="G18" s="27">
        <f>G19</f>
        <v>1302.3599999999999</v>
      </c>
      <c r="H18" s="221"/>
    </row>
    <row r="19" spans="1:8" ht="47.25" x14ac:dyDescent="0.25">
      <c r="A19" s="26" t="s">
        <v>196</v>
      </c>
      <c r="B19" s="17">
        <v>901</v>
      </c>
      <c r="C19" s="21" t="s">
        <v>181</v>
      </c>
      <c r="D19" s="21" t="s">
        <v>183</v>
      </c>
      <c r="E19" s="21" t="s">
        <v>189</v>
      </c>
      <c r="F19" s="21" t="s">
        <v>197</v>
      </c>
      <c r="G19" s="28">
        <v>1302.3599999999999</v>
      </c>
      <c r="H19" s="221"/>
    </row>
    <row r="20" spans="1:8" ht="15.75" x14ac:dyDescent="0.25">
      <c r="A20" s="26" t="s">
        <v>198</v>
      </c>
      <c r="B20" s="17">
        <v>901</v>
      </c>
      <c r="C20" s="21" t="s">
        <v>181</v>
      </c>
      <c r="D20" s="21" t="s">
        <v>183</v>
      </c>
      <c r="E20" s="21" t="s">
        <v>189</v>
      </c>
      <c r="F20" s="21" t="s">
        <v>199</v>
      </c>
      <c r="G20" s="27">
        <f>G21</f>
        <v>28</v>
      </c>
      <c r="H20" s="221"/>
    </row>
    <row r="21" spans="1:8" ht="15.75" x14ac:dyDescent="0.25">
      <c r="A21" s="26" t="s">
        <v>633</v>
      </c>
      <c r="B21" s="17">
        <v>901</v>
      </c>
      <c r="C21" s="21" t="s">
        <v>181</v>
      </c>
      <c r="D21" s="21" t="s">
        <v>183</v>
      </c>
      <c r="E21" s="21" t="s">
        <v>189</v>
      </c>
      <c r="F21" s="21" t="s">
        <v>201</v>
      </c>
      <c r="G21" s="27">
        <v>28</v>
      </c>
      <c r="H21" s="221"/>
    </row>
    <row r="22" spans="1:8" ht="31.5" customHeight="1" x14ac:dyDescent="0.25">
      <c r="A22" s="24" t="s">
        <v>202</v>
      </c>
      <c r="B22" s="20">
        <v>901</v>
      </c>
      <c r="C22" s="25" t="s">
        <v>181</v>
      </c>
      <c r="D22" s="25" t="s">
        <v>203</v>
      </c>
      <c r="E22" s="25"/>
      <c r="F22" s="25"/>
      <c r="G22" s="22">
        <f>G23</f>
        <v>50</v>
      </c>
      <c r="H22" s="221"/>
    </row>
    <row r="23" spans="1:8" ht="15.75" x14ac:dyDescent="0.25">
      <c r="A23" s="26" t="s">
        <v>204</v>
      </c>
      <c r="B23" s="17">
        <v>901</v>
      </c>
      <c r="C23" s="21" t="s">
        <v>181</v>
      </c>
      <c r="D23" s="21" t="s">
        <v>203</v>
      </c>
      <c r="E23" s="21" t="s">
        <v>205</v>
      </c>
      <c r="F23" s="21"/>
      <c r="G23" s="27">
        <f>G24</f>
        <v>50</v>
      </c>
      <c r="H23" s="221"/>
    </row>
    <row r="24" spans="1:8" ht="15.75" x14ac:dyDescent="0.25">
      <c r="A24" s="26" t="s">
        <v>206</v>
      </c>
      <c r="B24" s="17">
        <v>901</v>
      </c>
      <c r="C24" s="21" t="s">
        <v>181</v>
      </c>
      <c r="D24" s="21" t="s">
        <v>203</v>
      </c>
      <c r="E24" s="21" t="s">
        <v>207</v>
      </c>
      <c r="F24" s="21"/>
      <c r="G24" s="27">
        <f>G25</f>
        <v>50</v>
      </c>
      <c r="H24" s="221"/>
    </row>
    <row r="25" spans="1:8" ht="15.75" x14ac:dyDescent="0.25">
      <c r="A25" s="26" t="s">
        <v>198</v>
      </c>
      <c r="B25" s="17">
        <v>901</v>
      </c>
      <c r="C25" s="21" t="s">
        <v>181</v>
      </c>
      <c r="D25" s="21" t="s">
        <v>203</v>
      </c>
      <c r="E25" s="21" t="s">
        <v>207</v>
      </c>
      <c r="F25" s="21" t="s">
        <v>208</v>
      </c>
      <c r="G25" s="27">
        <f>G26</f>
        <v>50</v>
      </c>
      <c r="H25" s="221"/>
    </row>
    <row r="26" spans="1:8" ht="15.75" x14ac:dyDescent="0.25">
      <c r="A26" s="26" t="s">
        <v>209</v>
      </c>
      <c r="B26" s="17">
        <v>901</v>
      </c>
      <c r="C26" s="21" t="s">
        <v>181</v>
      </c>
      <c r="D26" s="21" t="s">
        <v>203</v>
      </c>
      <c r="E26" s="21" t="s">
        <v>207</v>
      </c>
      <c r="F26" s="21" t="s">
        <v>210</v>
      </c>
      <c r="G26" s="27">
        <v>50</v>
      </c>
      <c r="H26" s="221"/>
    </row>
    <row r="27" spans="1:8" ht="31.5" x14ac:dyDescent="0.25">
      <c r="A27" s="20" t="s">
        <v>211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21"/>
    </row>
    <row r="28" spans="1:8" ht="15.75" x14ac:dyDescent="0.25">
      <c r="A28" s="24" t="s">
        <v>180</v>
      </c>
      <c r="B28" s="20">
        <v>902</v>
      </c>
      <c r="C28" s="25" t="s">
        <v>181</v>
      </c>
      <c r="D28" s="21"/>
      <c r="E28" s="21"/>
      <c r="F28" s="21"/>
      <c r="G28" s="22">
        <f>G29+G48+G56</f>
        <v>66062.7</v>
      </c>
      <c r="H28" s="221"/>
    </row>
    <row r="29" spans="1:8" ht="78.75" x14ac:dyDescent="0.25">
      <c r="A29" s="24" t="s">
        <v>212</v>
      </c>
      <c r="B29" s="20">
        <v>902</v>
      </c>
      <c r="C29" s="25" t="s">
        <v>181</v>
      </c>
      <c r="D29" s="25" t="s">
        <v>213</v>
      </c>
      <c r="E29" s="25"/>
      <c r="F29" s="25"/>
      <c r="G29" s="22">
        <f>G30</f>
        <v>51508.2</v>
      </c>
      <c r="H29" s="221"/>
    </row>
    <row r="30" spans="1:8" ht="15.75" x14ac:dyDescent="0.25">
      <c r="A30" s="26" t="s">
        <v>184</v>
      </c>
      <c r="B30" s="17">
        <v>902</v>
      </c>
      <c r="C30" s="21" t="s">
        <v>181</v>
      </c>
      <c r="D30" s="21" t="s">
        <v>213</v>
      </c>
      <c r="E30" s="21" t="s">
        <v>185</v>
      </c>
      <c r="F30" s="21"/>
      <c r="G30" s="28">
        <f>G31+G42</f>
        <v>51508.2</v>
      </c>
      <c r="H30" s="221"/>
    </row>
    <row r="31" spans="1:8" ht="31.5" x14ac:dyDescent="0.25">
      <c r="A31" s="26" t="s">
        <v>186</v>
      </c>
      <c r="B31" s="17">
        <v>902</v>
      </c>
      <c r="C31" s="21" t="s">
        <v>181</v>
      </c>
      <c r="D31" s="21" t="s">
        <v>213</v>
      </c>
      <c r="E31" s="21" t="s">
        <v>187</v>
      </c>
      <c r="F31" s="21"/>
      <c r="G31" s="28">
        <f>G32+G39</f>
        <v>43489.2</v>
      </c>
      <c r="H31" s="221"/>
    </row>
    <row r="32" spans="1:8" ht="47.25" x14ac:dyDescent="0.25">
      <c r="A32" s="26" t="s">
        <v>188</v>
      </c>
      <c r="B32" s="17">
        <v>902</v>
      </c>
      <c r="C32" s="21" t="s">
        <v>181</v>
      </c>
      <c r="D32" s="21" t="s">
        <v>213</v>
      </c>
      <c r="E32" s="21" t="s">
        <v>189</v>
      </c>
      <c r="F32" s="21"/>
      <c r="G32" s="27">
        <f>G33+G35+G37</f>
        <v>39943.599999999999</v>
      </c>
      <c r="H32" s="221"/>
    </row>
    <row r="33" spans="1:10" ht="94.5" x14ac:dyDescent="0.25">
      <c r="A33" s="26" t="s">
        <v>190</v>
      </c>
      <c r="B33" s="17">
        <v>902</v>
      </c>
      <c r="C33" s="21" t="s">
        <v>181</v>
      </c>
      <c r="D33" s="21" t="s">
        <v>213</v>
      </c>
      <c r="E33" s="21" t="s">
        <v>189</v>
      </c>
      <c r="F33" s="21" t="s">
        <v>191</v>
      </c>
      <c r="G33" s="27">
        <f>G34</f>
        <v>34230.5</v>
      </c>
      <c r="H33" s="221"/>
    </row>
    <row r="34" spans="1:10" ht="31.5" x14ac:dyDescent="0.25">
      <c r="A34" s="26" t="s">
        <v>192</v>
      </c>
      <c r="B34" s="17">
        <v>902</v>
      </c>
      <c r="C34" s="21" t="s">
        <v>181</v>
      </c>
      <c r="D34" s="21" t="s">
        <v>213</v>
      </c>
      <c r="E34" s="21" t="s">
        <v>189</v>
      </c>
      <c r="F34" s="21" t="s">
        <v>193</v>
      </c>
      <c r="G34" s="192">
        <f>36517.7-553.5-1733.7</f>
        <v>34230.5</v>
      </c>
      <c r="H34" s="193" t="s">
        <v>855</v>
      </c>
      <c r="J34" s="215" t="s">
        <v>905</v>
      </c>
    </row>
    <row r="35" spans="1:10" ht="31.5" x14ac:dyDescent="0.25">
      <c r="A35" s="26" t="s">
        <v>194</v>
      </c>
      <c r="B35" s="17">
        <v>902</v>
      </c>
      <c r="C35" s="21" t="s">
        <v>181</v>
      </c>
      <c r="D35" s="21" t="s">
        <v>213</v>
      </c>
      <c r="E35" s="21" t="s">
        <v>189</v>
      </c>
      <c r="F35" s="21" t="s">
        <v>195</v>
      </c>
      <c r="G35" s="27">
        <f>G36</f>
        <v>5592.4</v>
      </c>
      <c r="H35" s="221"/>
    </row>
    <row r="36" spans="1:10" ht="47.25" x14ac:dyDescent="0.25">
      <c r="A36" s="26" t="s">
        <v>196</v>
      </c>
      <c r="B36" s="17">
        <v>902</v>
      </c>
      <c r="C36" s="21" t="s">
        <v>181</v>
      </c>
      <c r="D36" s="21" t="s">
        <v>213</v>
      </c>
      <c r="E36" s="21" t="s">
        <v>189</v>
      </c>
      <c r="F36" s="21" t="s">
        <v>197</v>
      </c>
      <c r="G36" s="28">
        <f>3962.7+1800-140.3-30</f>
        <v>5592.4</v>
      </c>
      <c r="H36" s="132"/>
      <c r="I36" s="153"/>
    </row>
    <row r="37" spans="1:10" ht="15.75" x14ac:dyDescent="0.25">
      <c r="A37" s="26" t="s">
        <v>198</v>
      </c>
      <c r="B37" s="17">
        <v>902</v>
      </c>
      <c r="C37" s="21" t="s">
        <v>181</v>
      </c>
      <c r="D37" s="21" t="s">
        <v>213</v>
      </c>
      <c r="E37" s="21" t="s">
        <v>189</v>
      </c>
      <c r="F37" s="21" t="s">
        <v>208</v>
      </c>
      <c r="G37" s="27">
        <f>G38</f>
        <v>120.7</v>
      </c>
      <c r="H37" s="221"/>
    </row>
    <row r="38" spans="1:10" ht="15.75" x14ac:dyDescent="0.25">
      <c r="A38" s="26" t="s">
        <v>633</v>
      </c>
      <c r="B38" s="17">
        <v>902</v>
      </c>
      <c r="C38" s="21" t="s">
        <v>181</v>
      </c>
      <c r="D38" s="21" t="s">
        <v>213</v>
      </c>
      <c r="E38" s="21" t="s">
        <v>189</v>
      </c>
      <c r="F38" s="21" t="s">
        <v>201</v>
      </c>
      <c r="G38" s="28">
        <f>90.7+30</f>
        <v>120.7</v>
      </c>
      <c r="H38" s="132"/>
      <c r="I38" s="152"/>
    </row>
    <row r="39" spans="1:10" ht="31.5" x14ac:dyDescent="0.25">
      <c r="A39" s="26" t="s">
        <v>214</v>
      </c>
      <c r="B39" s="17">
        <v>902</v>
      </c>
      <c r="C39" s="21" t="s">
        <v>181</v>
      </c>
      <c r="D39" s="21" t="s">
        <v>213</v>
      </c>
      <c r="E39" s="21" t="s">
        <v>215</v>
      </c>
      <c r="F39" s="21"/>
      <c r="G39" s="27">
        <f t="shared" ref="G39" si="0">G40</f>
        <v>3545.6</v>
      </c>
      <c r="H39" s="221"/>
    </row>
    <row r="40" spans="1:10" ht="94.5" x14ac:dyDescent="0.25">
      <c r="A40" s="26" t="s">
        <v>190</v>
      </c>
      <c r="B40" s="17">
        <v>902</v>
      </c>
      <c r="C40" s="21" t="s">
        <v>181</v>
      </c>
      <c r="D40" s="21" t="s">
        <v>213</v>
      </c>
      <c r="E40" s="21" t="s">
        <v>215</v>
      </c>
      <c r="F40" s="21" t="s">
        <v>191</v>
      </c>
      <c r="G40" s="27">
        <f>G41</f>
        <v>3545.6</v>
      </c>
      <c r="H40" s="221"/>
    </row>
    <row r="41" spans="1:10" ht="31.5" x14ac:dyDescent="0.25">
      <c r="A41" s="26" t="s">
        <v>192</v>
      </c>
      <c r="B41" s="17">
        <v>902</v>
      </c>
      <c r="C41" s="21" t="s">
        <v>181</v>
      </c>
      <c r="D41" s="21" t="s">
        <v>213</v>
      </c>
      <c r="E41" s="21" t="s">
        <v>215</v>
      </c>
      <c r="F41" s="21" t="s">
        <v>193</v>
      </c>
      <c r="G41" s="28">
        <v>3545.6</v>
      </c>
      <c r="H41" s="221"/>
    </row>
    <row r="42" spans="1:10" ht="15.75" x14ac:dyDescent="0.25">
      <c r="A42" s="26" t="s">
        <v>204</v>
      </c>
      <c r="B42" s="17">
        <v>902</v>
      </c>
      <c r="C42" s="21" t="s">
        <v>181</v>
      </c>
      <c r="D42" s="21" t="s">
        <v>213</v>
      </c>
      <c r="E42" s="21" t="s">
        <v>205</v>
      </c>
      <c r="F42" s="21"/>
      <c r="G42" s="30">
        <f>G43</f>
        <v>8019</v>
      </c>
      <c r="H42" s="221"/>
    </row>
    <row r="43" spans="1:10" ht="31.5" x14ac:dyDescent="0.25">
      <c r="A43" s="26" t="s">
        <v>216</v>
      </c>
      <c r="B43" s="17">
        <v>902</v>
      </c>
      <c r="C43" s="21" t="s">
        <v>181</v>
      </c>
      <c r="D43" s="21" t="s">
        <v>213</v>
      </c>
      <c r="E43" s="21" t="s">
        <v>217</v>
      </c>
      <c r="F43" s="21"/>
      <c r="G43" s="27">
        <f>G44+G46</f>
        <v>8019</v>
      </c>
      <c r="H43" s="221"/>
    </row>
    <row r="44" spans="1:10" ht="94.5" x14ac:dyDescent="0.25">
      <c r="A44" s="26" t="s">
        <v>190</v>
      </c>
      <c r="B44" s="17">
        <v>902</v>
      </c>
      <c r="C44" s="21" t="s">
        <v>181</v>
      </c>
      <c r="D44" s="21" t="s">
        <v>213</v>
      </c>
      <c r="E44" s="21" t="s">
        <v>217</v>
      </c>
      <c r="F44" s="21" t="s">
        <v>191</v>
      </c>
      <c r="G44" s="27">
        <f>G45</f>
        <v>5761.2</v>
      </c>
      <c r="H44" s="221"/>
    </row>
    <row r="45" spans="1:10" ht="31.5" x14ac:dyDescent="0.25">
      <c r="A45" s="26" t="s">
        <v>192</v>
      </c>
      <c r="B45" s="17">
        <v>902</v>
      </c>
      <c r="C45" s="21" t="s">
        <v>181</v>
      </c>
      <c r="D45" s="21" t="s">
        <v>213</v>
      </c>
      <c r="E45" s="21" t="s">
        <v>217</v>
      </c>
      <c r="F45" s="21" t="s">
        <v>193</v>
      </c>
      <c r="G45" s="192">
        <f>6958.6+88.4-2398.3+1112.5</f>
        <v>5761.2</v>
      </c>
      <c r="H45" s="132" t="s">
        <v>856</v>
      </c>
      <c r="I45" s="152"/>
      <c r="J45" s="214" t="s">
        <v>906</v>
      </c>
    </row>
    <row r="46" spans="1:10" ht="31.5" x14ac:dyDescent="0.25">
      <c r="A46" s="26" t="s">
        <v>194</v>
      </c>
      <c r="B46" s="17">
        <v>902</v>
      </c>
      <c r="C46" s="21" t="s">
        <v>181</v>
      </c>
      <c r="D46" s="21" t="s">
        <v>213</v>
      </c>
      <c r="E46" s="21" t="s">
        <v>217</v>
      </c>
      <c r="F46" s="21" t="s">
        <v>195</v>
      </c>
      <c r="G46" s="27">
        <f>G47</f>
        <v>2257.8000000000002</v>
      </c>
      <c r="H46" s="221"/>
    </row>
    <row r="47" spans="1:10" ht="47.25" x14ac:dyDescent="0.25">
      <c r="A47" s="26" t="s">
        <v>196</v>
      </c>
      <c r="B47" s="17">
        <v>902</v>
      </c>
      <c r="C47" s="21" t="s">
        <v>181</v>
      </c>
      <c r="D47" s="21" t="s">
        <v>213</v>
      </c>
      <c r="E47" s="21" t="s">
        <v>217</v>
      </c>
      <c r="F47" s="21" t="s">
        <v>197</v>
      </c>
      <c r="G47" s="192">
        <f>2109.3+129.9+835.5-1438.1+621.2</f>
        <v>2257.8000000000002</v>
      </c>
      <c r="H47" s="132" t="s">
        <v>857</v>
      </c>
      <c r="I47" s="153"/>
    </row>
    <row r="48" spans="1:10" ht="63" x14ac:dyDescent="0.25">
      <c r="A48" s="24" t="s">
        <v>182</v>
      </c>
      <c r="B48" s="20">
        <v>902</v>
      </c>
      <c r="C48" s="25" t="s">
        <v>181</v>
      </c>
      <c r="D48" s="25" t="s">
        <v>183</v>
      </c>
      <c r="E48" s="25"/>
      <c r="F48" s="21"/>
      <c r="G48" s="22">
        <f>G49</f>
        <v>1081.7</v>
      </c>
      <c r="H48" s="221"/>
    </row>
    <row r="49" spans="1:11" ht="21" customHeight="1" x14ac:dyDescent="0.25">
      <c r="A49" s="26" t="s">
        <v>184</v>
      </c>
      <c r="B49" s="17">
        <v>902</v>
      </c>
      <c r="C49" s="21" t="s">
        <v>181</v>
      </c>
      <c r="D49" s="21" t="s">
        <v>183</v>
      </c>
      <c r="E49" s="21" t="s">
        <v>185</v>
      </c>
      <c r="F49" s="21"/>
      <c r="G49" s="27">
        <f t="shared" ref="G49" si="1">G50</f>
        <v>1081.7</v>
      </c>
      <c r="H49" s="221"/>
    </row>
    <row r="50" spans="1:11" ht="31.5" x14ac:dyDescent="0.25">
      <c r="A50" s="26" t="s">
        <v>186</v>
      </c>
      <c r="B50" s="17">
        <v>902</v>
      </c>
      <c r="C50" s="21" t="s">
        <v>181</v>
      </c>
      <c r="D50" s="21" t="s">
        <v>183</v>
      </c>
      <c r="E50" s="21" t="s">
        <v>187</v>
      </c>
      <c r="F50" s="21"/>
      <c r="G50" s="27">
        <f>G51</f>
        <v>1081.7</v>
      </c>
      <c r="H50" s="221"/>
      <c r="K50" s="27"/>
    </row>
    <row r="51" spans="1:11" ht="47.25" x14ac:dyDescent="0.25">
      <c r="A51" s="26" t="s">
        <v>188</v>
      </c>
      <c r="B51" s="17">
        <v>902</v>
      </c>
      <c r="C51" s="21" t="s">
        <v>181</v>
      </c>
      <c r="D51" s="21" t="s">
        <v>183</v>
      </c>
      <c r="E51" s="21" t="s">
        <v>189</v>
      </c>
      <c r="F51" s="21"/>
      <c r="G51" s="27">
        <f>G52+G54</f>
        <v>1081.7</v>
      </c>
      <c r="H51" s="221"/>
      <c r="K51" s="27"/>
    </row>
    <row r="52" spans="1:11" ht="94.5" x14ac:dyDescent="0.25">
      <c r="A52" s="26" t="s">
        <v>190</v>
      </c>
      <c r="B52" s="17">
        <v>902</v>
      </c>
      <c r="C52" s="21" t="s">
        <v>181</v>
      </c>
      <c r="D52" s="21" t="s">
        <v>183</v>
      </c>
      <c r="E52" s="21" t="s">
        <v>189</v>
      </c>
      <c r="F52" s="21" t="s">
        <v>191</v>
      </c>
      <c r="G52" s="27">
        <f>G53</f>
        <v>1081.7</v>
      </c>
      <c r="H52" s="221"/>
      <c r="K52" s="28"/>
    </row>
    <row r="53" spans="1:11" ht="31.5" x14ac:dyDescent="0.25">
      <c r="A53" s="26" t="s">
        <v>192</v>
      </c>
      <c r="B53" s="17">
        <v>902</v>
      </c>
      <c r="C53" s="21" t="s">
        <v>181</v>
      </c>
      <c r="D53" s="21" t="s">
        <v>183</v>
      </c>
      <c r="E53" s="21" t="s">
        <v>189</v>
      </c>
      <c r="F53" s="21" t="s">
        <v>193</v>
      </c>
      <c r="G53" s="28">
        <f>1081.7</f>
        <v>1081.7</v>
      </c>
      <c r="H53" s="221"/>
      <c r="I53" s="141"/>
      <c r="K53" s="27"/>
    </row>
    <row r="54" spans="1:11" ht="31.5" hidden="1" x14ac:dyDescent="0.25">
      <c r="A54" s="26" t="s">
        <v>194</v>
      </c>
      <c r="B54" s="17">
        <v>902</v>
      </c>
      <c r="C54" s="21" t="s">
        <v>181</v>
      </c>
      <c r="D54" s="21" t="s">
        <v>183</v>
      </c>
      <c r="E54" s="21" t="s">
        <v>189</v>
      </c>
      <c r="F54" s="21" t="s">
        <v>195</v>
      </c>
      <c r="G54" s="28">
        <f>G55</f>
        <v>0</v>
      </c>
      <c r="H54" s="221"/>
      <c r="K54" s="27"/>
    </row>
    <row r="55" spans="1:11" ht="47.25" hidden="1" x14ac:dyDescent="0.25">
      <c r="A55" s="26" t="s">
        <v>196</v>
      </c>
      <c r="B55" s="17">
        <v>902</v>
      </c>
      <c r="C55" s="21" t="s">
        <v>181</v>
      </c>
      <c r="D55" s="21" t="s">
        <v>183</v>
      </c>
      <c r="E55" s="21" t="s">
        <v>189</v>
      </c>
      <c r="F55" s="21" t="s">
        <v>197</v>
      </c>
      <c r="G55" s="28"/>
      <c r="H55" s="221"/>
      <c r="I55" s="141"/>
      <c r="K55" s="27"/>
    </row>
    <row r="56" spans="1:11" ht="15.75" x14ac:dyDescent="0.25">
      <c r="A56" s="24" t="s">
        <v>202</v>
      </c>
      <c r="B56" s="20">
        <v>902</v>
      </c>
      <c r="C56" s="25" t="s">
        <v>181</v>
      </c>
      <c r="D56" s="25" t="s">
        <v>203</v>
      </c>
      <c r="E56" s="25"/>
      <c r="F56" s="25"/>
      <c r="G56" s="22">
        <f>G57+G61+G73+G86+G97+G90</f>
        <v>13472.8</v>
      </c>
      <c r="H56" s="221"/>
      <c r="I56" s="140"/>
      <c r="K56" s="27"/>
    </row>
    <row r="57" spans="1:11" ht="63" x14ac:dyDescent="0.25">
      <c r="A57" s="26" t="s">
        <v>218</v>
      </c>
      <c r="B57" s="17">
        <v>902</v>
      </c>
      <c r="C57" s="21" t="s">
        <v>181</v>
      </c>
      <c r="D57" s="21" t="s">
        <v>203</v>
      </c>
      <c r="E57" s="21" t="s">
        <v>219</v>
      </c>
      <c r="F57" s="21"/>
      <c r="G57" s="27">
        <f>G58</f>
        <v>250</v>
      </c>
      <c r="H57" s="221"/>
    </row>
    <row r="58" spans="1:11" ht="31.5" x14ac:dyDescent="0.25">
      <c r="A58" s="26" t="s">
        <v>220</v>
      </c>
      <c r="B58" s="17">
        <v>902</v>
      </c>
      <c r="C58" s="21" t="s">
        <v>181</v>
      </c>
      <c r="D58" s="21" t="s">
        <v>203</v>
      </c>
      <c r="E58" s="21" t="s">
        <v>221</v>
      </c>
      <c r="F58" s="21"/>
      <c r="G58" s="27">
        <f>G59</f>
        <v>250</v>
      </c>
      <c r="H58" s="221"/>
    </row>
    <row r="59" spans="1:11" ht="15.75" x14ac:dyDescent="0.25">
      <c r="A59" s="26" t="s">
        <v>198</v>
      </c>
      <c r="B59" s="17">
        <v>902</v>
      </c>
      <c r="C59" s="21" t="s">
        <v>181</v>
      </c>
      <c r="D59" s="21" t="s">
        <v>203</v>
      </c>
      <c r="E59" s="21" t="s">
        <v>221</v>
      </c>
      <c r="F59" s="21" t="s">
        <v>208</v>
      </c>
      <c r="G59" s="27">
        <f>G60</f>
        <v>250</v>
      </c>
      <c r="H59" s="221"/>
    </row>
    <row r="60" spans="1:11" ht="78.75" x14ac:dyDescent="0.25">
      <c r="A60" s="26" t="s">
        <v>222</v>
      </c>
      <c r="B60" s="17">
        <v>902</v>
      </c>
      <c r="C60" s="21" t="s">
        <v>181</v>
      </c>
      <c r="D60" s="21" t="s">
        <v>203</v>
      </c>
      <c r="E60" s="21" t="s">
        <v>221</v>
      </c>
      <c r="F60" s="21" t="s">
        <v>223</v>
      </c>
      <c r="G60" s="27">
        <f>100+150</f>
        <v>250</v>
      </c>
      <c r="H60" s="221"/>
      <c r="I60" s="141"/>
    </row>
    <row r="61" spans="1:11" ht="47.25" x14ac:dyDescent="0.25">
      <c r="A61" s="26" t="s">
        <v>224</v>
      </c>
      <c r="B61" s="17">
        <v>902</v>
      </c>
      <c r="C61" s="21" t="s">
        <v>181</v>
      </c>
      <c r="D61" s="21" t="s">
        <v>203</v>
      </c>
      <c r="E61" s="21" t="s">
        <v>225</v>
      </c>
      <c r="F61" s="21"/>
      <c r="G61" s="27">
        <f>G62+G65+G70</f>
        <v>653.5</v>
      </c>
      <c r="H61" s="221"/>
    </row>
    <row r="62" spans="1:11" ht="31.5" x14ac:dyDescent="0.25">
      <c r="A62" s="31" t="s">
        <v>226</v>
      </c>
      <c r="B62" s="17">
        <v>902</v>
      </c>
      <c r="C62" s="21" t="s">
        <v>181</v>
      </c>
      <c r="D62" s="21" t="s">
        <v>203</v>
      </c>
      <c r="E62" s="42" t="s">
        <v>227</v>
      </c>
      <c r="F62" s="21"/>
      <c r="G62" s="27">
        <f>G63</f>
        <v>428.1</v>
      </c>
      <c r="H62" s="221"/>
    </row>
    <row r="63" spans="1:11" ht="31.5" x14ac:dyDescent="0.25">
      <c r="A63" s="26" t="s">
        <v>194</v>
      </c>
      <c r="B63" s="17">
        <v>902</v>
      </c>
      <c r="C63" s="21" t="s">
        <v>181</v>
      </c>
      <c r="D63" s="21" t="s">
        <v>203</v>
      </c>
      <c r="E63" s="42" t="s">
        <v>227</v>
      </c>
      <c r="F63" s="21" t="s">
        <v>195</v>
      </c>
      <c r="G63" s="27">
        <f>G64</f>
        <v>428.1</v>
      </c>
      <c r="H63" s="221"/>
    </row>
    <row r="64" spans="1:11" ht="47.25" x14ac:dyDescent="0.25">
      <c r="A64" s="26" t="s">
        <v>196</v>
      </c>
      <c r="B64" s="17">
        <v>902</v>
      </c>
      <c r="C64" s="21" t="s">
        <v>181</v>
      </c>
      <c r="D64" s="21" t="s">
        <v>203</v>
      </c>
      <c r="E64" s="42" t="s">
        <v>227</v>
      </c>
      <c r="F64" s="21" t="s">
        <v>197</v>
      </c>
      <c r="G64" s="27">
        <f>494.3-66.2</f>
        <v>428.1</v>
      </c>
      <c r="H64" s="221"/>
    </row>
    <row r="65" spans="1:8" ht="63" x14ac:dyDescent="0.25">
      <c r="A65" s="222" t="s">
        <v>228</v>
      </c>
      <c r="B65" s="17">
        <v>902</v>
      </c>
      <c r="C65" s="21" t="s">
        <v>181</v>
      </c>
      <c r="D65" s="21" t="s">
        <v>203</v>
      </c>
      <c r="E65" s="42" t="s">
        <v>229</v>
      </c>
      <c r="F65" s="21"/>
      <c r="G65" s="27">
        <f>G66+G68</f>
        <v>224.89999999999998</v>
      </c>
      <c r="H65" s="221"/>
    </row>
    <row r="66" spans="1:8" ht="94.5" x14ac:dyDescent="0.25">
      <c r="A66" s="26" t="s">
        <v>190</v>
      </c>
      <c r="B66" s="17">
        <v>902</v>
      </c>
      <c r="C66" s="21" t="s">
        <v>181</v>
      </c>
      <c r="D66" s="21" t="s">
        <v>203</v>
      </c>
      <c r="E66" s="42" t="s">
        <v>229</v>
      </c>
      <c r="F66" s="21" t="s">
        <v>191</v>
      </c>
      <c r="G66" s="27">
        <f>G67</f>
        <v>159.69999999999999</v>
      </c>
      <c r="H66" s="221"/>
    </row>
    <row r="67" spans="1:8" ht="31.5" x14ac:dyDescent="0.25">
      <c r="A67" s="26" t="s">
        <v>192</v>
      </c>
      <c r="B67" s="17">
        <v>902</v>
      </c>
      <c r="C67" s="21" t="s">
        <v>181</v>
      </c>
      <c r="D67" s="21" t="s">
        <v>203</v>
      </c>
      <c r="E67" s="42" t="s">
        <v>229</v>
      </c>
      <c r="F67" s="21" t="s">
        <v>193</v>
      </c>
      <c r="G67" s="27">
        <v>159.69999999999999</v>
      </c>
      <c r="H67" s="221"/>
    </row>
    <row r="68" spans="1:8" ht="31.5" x14ac:dyDescent="0.25">
      <c r="A68" s="26" t="s">
        <v>194</v>
      </c>
      <c r="B68" s="17">
        <v>902</v>
      </c>
      <c r="C68" s="21" t="s">
        <v>181</v>
      </c>
      <c r="D68" s="21" t="s">
        <v>203</v>
      </c>
      <c r="E68" s="42" t="s">
        <v>229</v>
      </c>
      <c r="F68" s="21" t="s">
        <v>195</v>
      </c>
      <c r="G68" s="27">
        <f>G69</f>
        <v>65.2</v>
      </c>
      <c r="H68" s="221"/>
    </row>
    <row r="69" spans="1:8" ht="47.25" x14ac:dyDescent="0.25">
      <c r="A69" s="26" t="s">
        <v>196</v>
      </c>
      <c r="B69" s="17">
        <v>902</v>
      </c>
      <c r="C69" s="21" t="s">
        <v>181</v>
      </c>
      <c r="D69" s="21" t="s">
        <v>203</v>
      </c>
      <c r="E69" s="42" t="s">
        <v>229</v>
      </c>
      <c r="F69" s="21" t="s">
        <v>197</v>
      </c>
      <c r="G69" s="27">
        <f>66.2-0.5-0.5</f>
        <v>65.2</v>
      </c>
      <c r="H69" s="132"/>
    </row>
    <row r="70" spans="1:8" ht="47.25" x14ac:dyDescent="0.25">
      <c r="A70" s="35" t="s">
        <v>254</v>
      </c>
      <c r="B70" s="17">
        <v>902</v>
      </c>
      <c r="C70" s="21" t="s">
        <v>181</v>
      </c>
      <c r="D70" s="21" t="s">
        <v>203</v>
      </c>
      <c r="E70" s="42" t="s">
        <v>789</v>
      </c>
      <c r="F70" s="21"/>
      <c r="G70" s="27">
        <f>G71</f>
        <v>0.5</v>
      </c>
      <c r="H70" s="134"/>
    </row>
    <row r="71" spans="1:8" ht="31.5" x14ac:dyDescent="0.25">
      <c r="A71" s="26" t="s">
        <v>194</v>
      </c>
      <c r="B71" s="17">
        <v>902</v>
      </c>
      <c r="C71" s="21" t="s">
        <v>181</v>
      </c>
      <c r="D71" s="21" t="s">
        <v>203</v>
      </c>
      <c r="E71" s="42" t="s">
        <v>789</v>
      </c>
      <c r="F71" s="21" t="s">
        <v>195</v>
      </c>
      <c r="G71" s="27">
        <f>G72</f>
        <v>0.5</v>
      </c>
      <c r="H71" s="221"/>
    </row>
    <row r="72" spans="1:8" ht="47.25" x14ac:dyDescent="0.25">
      <c r="A72" s="26" t="s">
        <v>196</v>
      </c>
      <c r="B72" s="17">
        <v>902</v>
      </c>
      <c r="C72" s="21" t="s">
        <v>181</v>
      </c>
      <c r="D72" s="21" t="s">
        <v>203</v>
      </c>
      <c r="E72" s="42" t="s">
        <v>789</v>
      </c>
      <c r="F72" s="21" t="s">
        <v>197</v>
      </c>
      <c r="G72" s="27">
        <v>0.5</v>
      </c>
      <c r="H72" s="132"/>
    </row>
    <row r="73" spans="1:8" ht="94.5" x14ac:dyDescent="0.25">
      <c r="A73" s="31" t="s">
        <v>230</v>
      </c>
      <c r="B73" s="17">
        <v>902</v>
      </c>
      <c r="C73" s="10" t="s">
        <v>181</v>
      </c>
      <c r="D73" s="10" t="s">
        <v>203</v>
      </c>
      <c r="E73" s="6" t="s">
        <v>231</v>
      </c>
      <c r="F73" s="10"/>
      <c r="G73" s="27">
        <f>G74+G78+G82</f>
        <v>80</v>
      </c>
      <c r="H73" s="221"/>
    </row>
    <row r="74" spans="1:8" ht="78.75" x14ac:dyDescent="0.25">
      <c r="A74" s="31" t="s">
        <v>232</v>
      </c>
      <c r="B74" s="17">
        <v>902</v>
      </c>
      <c r="C74" s="10" t="s">
        <v>181</v>
      </c>
      <c r="D74" s="10" t="s">
        <v>203</v>
      </c>
      <c r="E74" s="32" t="s">
        <v>233</v>
      </c>
      <c r="F74" s="10"/>
      <c r="G74" s="27">
        <f>G75</f>
        <v>15</v>
      </c>
      <c r="H74" s="221"/>
    </row>
    <row r="75" spans="1:8" ht="31.5" x14ac:dyDescent="0.25">
      <c r="A75" s="222" t="s">
        <v>234</v>
      </c>
      <c r="B75" s="17">
        <v>902</v>
      </c>
      <c r="C75" s="10" t="s">
        <v>181</v>
      </c>
      <c r="D75" s="10" t="s">
        <v>203</v>
      </c>
      <c r="E75" s="6" t="s">
        <v>235</v>
      </c>
      <c r="F75" s="10"/>
      <c r="G75" s="27">
        <f>G76</f>
        <v>15</v>
      </c>
      <c r="H75" s="221"/>
    </row>
    <row r="76" spans="1:8" ht="31.5" x14ac:dyDescent="0.25">
      <c r="A76" s="26" t="s">
        <v>194</v>
      </c>
      <c r="B76" s="17">
        <v>902</v>
      </c>
      <c r="C76" s="10" t="s">
        <v>181</v>
      </c>
      <c r="D76" s="10" t="s">
        <v>203</v>
      </c>
      <c r="E76" s="6" t="s">
        <v>235</v>
      </c>
      <c r="F76" s="10" t="s">
        <v>195</v>
      </c>
      <c r="G76" s="27">
        <f>G77</f>
        <v>15</v>
      </c>
      <c r="H76" s="221"/>
    </row>
    <row r="77" spans="1:8" ht="47.25" x14ac:dyDescent="0.25">
      <c r="A77" s="26" t="s">
        <v>196</v>
      </c>
      <c r="B77" s="17">
        <v>902</v>
      </c>
      <c r="C77" s="10" t="s">
        <v>181</v>
      </c>
      <c r="D77" s="10" t="s">
        <v>203</v>
      </c>
      <c r="E77" s="6" t="s">
        <v>235</v>
      </c>
      <c r="F77" s="10" t="s">
        <v>197</v>
      </c>
      <c r="G77" s="27">
        <v>15</v>
      </c>
      <c r="H77" s="221"/>
    </row>
    <row r="78" spans="1:8" ht="63" x14ac:dyDescent="0.25">
      <c r="A78" s="31" t="s">
        <v>236</v>
      </c>
      <c r="B78" s="17">
        <v>902</v>
      </c>
      <c r="C78" s="10" t="s">
        <v>181</v>
      </c>
      <c r="D78" s="10" t="s">
        <v>203</v>
      </c>
      <c r="E78" s="32" t="s">
        <v>237</v>
      </c>
      <c r="F78" s="10"/>
      <c r="G78" s="27">
        <f>G79</f>
        <v>50</v>
      </c>
      <c r="H78" s="221"/>
    </row>
    <row r="79" spans="1:8" ht="31.5" x14ac:dyDescent="0.25">
      <c r="A79" s="47" t="s">
        <v>238</v>
      </c>
      <c r="B79" s="17">
        <v>902</v>
      </c>
      <c r="C79" s="10" t="s">
        <v>181</v>
      </c>
      <c r="D79" s="10" t="s">
        <v>203</v>
      </c>
      <c r="E79" s="6" t="s">
        <v>239</v>
      </c>
      <c r="F79" s="10"/>
      <c r="G79" s="27">
        <f>G80</f>
        <v>50</v>
      </c>
      <c r="H79" s="221"/>
    </row>
    <row r="80" spans="1:8" ht="31.5" x14ac:dyDescent="0.25">
      <c r="A80" s="26" t="s">
        <v>194</v>
      </c>
      <c r="B80" s="17">
        <v>902</v>
      </c>
      <c r="C80" s="10" t="s">
        <v>181</v>
      </c>
      <c r="D80" s="10" t="s">
        <v>203</v>
      </c>
      <c r="E80" s="6" t="s">
        <v>239</v>
      </c>
      <c r="F80" s="10" t="s">
        <v>195</v>
      </c>
      <c r="G80" s="27">
        <f>G81</f>
        <v>50</v>
      </c>
      <c r="H80" s="221"/>
    </row>
    <row r="81" spans="1:9" ht="47.25" x14ac:dyDescent="0.25">
      <c r="A81" s="26" t="s">
        <v>196</v>
      </c>
      <c r="B81" s="17">
        <v>902</v>
      </c>
      <c r="C81" s="10" t="s">
        <v>181</v>
      </c>
      <c r="D81" s="10" t="s">
        <v>203</v>
      </c>
      <c r="E81" s="6" t="s">
        <v>239</v>
      </c>
      <c r="F81" s="10" t="s">
        <v>197</v>
      </c>
      <c r="G81" s="27">
        <v>50</v>
      </c>
      <c r="H81" s="221"/>
    </row>
    <row r="82" spans="1:9" ht="47.25" x14ac:dyDescent="0.25">
      <c r="A82" s="26" t="s">
        <v>240</v>
      </c>
      <c r="B82" s="17">
        <v>902</v>
      </c>
      <c r="C82" s="10" t="s">
        <v>181</v>
      </c>
      <c r="D82" s="10" t="s">
        <v>203</v>
      </c>
      <c r="E82" s="6" t="s">
        <v>241</v>
      </c>
      <c r="F82" s="10"/>
      <c r="G82" s="27">
        <f>G83</f>
        <v>15</v>
      </c>
      <c r="H82" s="221"/>
    </row>
    <row r="83" spans="1:9" ht="15.75" x14ac:dyDescent="0.25">
      <c r="A83" s="47" t="s">
        <v>242</v>
      </c>
      <c r="B83" s="17">
        <v>902</v>
      </c>
      <c r="C83" s="10" t="s">
        <v>181</v>
      </c>
      <c r="D83" s="10" t="s">
        <v>203</v>
      </c>
      <c r="E83" s="6" t="s">
        <v>243</v>
      </c>
      <c r="F83" s="10"/>
      <c r="G83" s="27">
        <f>G84</f>
        <v>15</v>
      </c>
      <c r="H83" s="221"/>
    </row>
    <row r="84" spans="1:9" ht="31.5" x14ac:dyDescent="0.25">
      <c r="A84" s="26" t="s">
        <v>194</v>
      </c>
      <c r="B84" s="17">
        <v>902</v>
      </c>
      <c r="C84" s="10" t="s">
        <v>181</v>
      </c>
      <c r="D84" s="10" t="s">
        <v>203</v>
      </c>
      <c r="E84" s="6" t="s">
        <v>243</v>
      </c>
      <c r="F84" s="10" t="s">
        <v>195</v>
      </c>
      <c r="G84" s="27">
        <f>G85</f>
        <v>15</v>
      </c>
      <c r="H84" s="221"/>
    </row>
    <row r="85" spans="1:9" ht="47.25" x14ac:dyDescent="0.25">
      <c r="A85" s="26" t="s">
        <v>196</v>
      </c>
      <c r="B85" s="17">
        <v>902</v>
      </c>
      <c r="C85" s="10" t="s">
        <v>181</v>
      </c>
      <c r="D85" s="10" t="s">
        <v>203</v>
      </c>
      <c r="E85" s="6" t="s">
        <v>243</v>
      </c>
      <c r="F85" s="10" t="s">
        <v>197</v>
      </c>
      <c r="G85" s="27">
        <v>15</v>
      </c>
      <c r="H85" s="221"/>
    </row>
    <row r="86" spans="1:9" ht="47.25" x14ac:dyDescent="0.25">
      <c r="A86" s="33" t="s">
        <v>244</v>
      </c>
      <c r="B86" s="17">
        <v>902</v>
      </c>
      <c r="C86" s="21" t="s">
        <v>181</v>
      </c>
      <c r="D86" s="21" t="s">
        <v>203</v>
      </c>
      <c r="E86" s="32" t="s">
        <v>245</v>
      </c>
      <c r="F86" s="34"/>
      <c r="G86" s="27">
        <f>G87</f>
        <v>120</v>
      </c>
      <c r="H86" s="221"/>
    </row>
    <row r="87" spans="1:9" ht="31.5" x14ac:dyDescent="0.25">
      <c r="A87" s="26" t="s">
        <v>220</v>
      </c>
      <c r="B87" s="17">
        <v>902</v>
      </c>
      <c r="C87" s="21" t="s">
        <v>181</v>
      </c>
      <c r="D87" s="21" t="s">
        <v>203</v>
      </c>
      <c r="E87" s="21" t="s">
        <v>246</v>
      </c>
      <c r="F87" s="34"/>
      <c r="G87" s="27">
        <f>G88</f>
        <v>120</v>
      </c>
      <c r="H87" s="221"/>
    </row>
    <row r="88" spans="1:9" ht="15.75" x14ac:dyDescent="0.25">
      <c r="A88" s="31" t="s">
        <v>198</v>
      </c>
      <c r="B88" s="17">
        <v>902</v>
      </c>
      <c r="C88" s="21" t="s">
        <v>181</v>
      </c>
      <c r="D88" s="21" t="s">
        <v>203</v>
      </c>
      <c r="E88" s="21" t="s">
        <v>246</v>
      </c>
      <c r="F88" s="34" t="s">
        <v>208</v>
      </c>
      <c r="G88" s="27">
        <f>G89</f>
        <v>120</v>
      </c>
      <c r="H88" s="221"/>
    </row>
    <row r="89" spans="1:9" ht="63" x14ac:dyDescent="0.25">
      <c r="A89" s="31" t="s">
        <v>247</v>
      </c>
      <c r="B89" s="17">
        <v>902</v>
      </c>
      <c r="C89" s="21" t="s">
        <v>181</v>
      </c>
      <c r="D89" s="21" t="s">
        <v>203</v>
      </c>
      <c r="E89" s="21" t="s">
        <v>246</v>
      </c>
      <c r="F89" s="34" t="s">
        <v>223</v>
      </c>
      <c r="G89" s="27">
        <f>100+20</f>
        <v>120</v>
      </c>
      <c r="H89" s="132"/>
      <c r="I89" s="154"/>
    </row>
    <row r="90" spans="1:9" ht="63" x14ac:dyDescent="0.25">
      <c r="A90" s="31" t="s">
        <v>843</v>
      </c>
      <c r="B90" s="17">
        <v>902</v>
      </c>
      <c r="C90" s="21" t="s">
        <v>181</v>
      </c>
      <c r="D90" s="21" t="s">
        <v>203</v>
      </c>
      <c r="E90" s="21" t="s">
        <v>841</v>
      </c>
      <c r="F90" s="34"/>
      <c r="G90" s="27">
        <f>G91</f>
        <v>29</v>
      </c>
      <c r="H90" s="134"/>
    </row>
    <row r="91" spans="1:9" ht="31.5" x14ac:dyDescent="0.25">
      <c r="A91" s="33" t="s">
        <v>220</v>
      </c>
      <c r="B91" s="17">
        <v>902</v>
      </c>
      <c r="C91" s="21" t="s">
        <v>181</v>
      </c>
      <c r="D91" s="21" t="s">
        <v>203</v>
      </c>
      <c r="E91" s="21" t="s">
        <v>849</v>
      </c>
      <c r="F91" s="34"/>
      <c r="G91" s="27">
        <f>G92</f>
        <v>29</v>
      </c>
      <c r="H91" s="134"/>
    </row>
    <row r="92" spans="1:9" ht="31.5" x14ac:dyDescent="0.25">
      <c r="A92" s="26" t="s">
        <v>194</v>
      </c>
      <c r="B92" s="17">
        <v>902</v>
      </c>
      <c r="C92" s="21" t="s">
        <v>181</v>
      </c>
      <c r="D92" s="21" t="s">
        <v>203</v>
      </c>
      <c r="E92" s="21" t="s">
        <v>849</v>
      </c>
      <c r="F92" s="34" t="s">
        <v>195</v>
      </c>
      <c r="G92" s="27">
        <f>G93</f>
        <v>29</v>
      </c>
      <c r="H92" s="134"/>
    </row>
    <row r="93" spans="1:9" ht="47.25" x14ac:dyDescent="0.25">
      <c r="A93" s="26" t="s">
        <v>196</v>
      </c>
      <c r="B93" s="17">
        <v>902</v>
      </c>
      <c r="C93" s="21" t="s">
        <v>181</v>
      </c>
      <c r="D93" s="21" t="s">
        <v>203</v>
      </c>
      <c r="E93" s="21" t="s">
        <v>849</v>
      </c>
      <c r="F93" s="34" t="s">
        <v>197</v>
      </c>
      <c r="G93" s="27">
        <v>29</v>
      </c>
      <c r="H93" s="134"/>
      <c r="I93" s="152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4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4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4"/>
      <c r="I96" s="152"/>
    </row>
    <row r="97" spans="1:9" ht="15.75" x14ac:dyDescent="0.25">
      <c r="A97" s="26" t="s">
        <v>184</v>
      </c>
      <c r="B97" s="17">
        <v>902</v>
      </c>
      <c r="C97" s="21" t="s">
        <v>181</v>
      </c>
      <c r="D97" s="21" t="s">
        <v>203</v>
      </c>
      <c r="E97" s="21" t="s">
        <v>185</v>
      </c>
      <c r="F97" s="21"/>
      <c r="G97" s="27">
        <f>G98+G121</f>
        <v>12340.3</v>
      </c>
      <c r="H97" s="221"/>
    </row>
    <row r="98" spans="1:9" ht="31.5" x14ac:dyDescent="0.25">
      <c r="A98" s="26" t="s">
        <v>248</v>
      </c>
      <c r="B98" s="17">
        <v>902</v>
      </c>
      <c r="C98" s="21" t="s">
        <v>181</v>
      </c>
      <c r="D98" s="21" t="s">
        <v>203</v>
      </c>
      <c r="E98" s="21" t="s">
        <v>249</v>
      </c>
      <c r="F98" s="21"/>
      <c r="G98" s="27">
        <f>G104+G107+G113+G116</f>
        <v>3600.8999999999996</v>
      </c>
      <c r="H98" s="221"/>
    </row>
    <row r="99" spans="1:9" ht="47.25" hidden="1" x14ac:dyDescent="0.25">
      <c r="A99" s="26" t="s">
        <v>250</v>
      </c>
      <c r="B99" s="17">
        <v>902</v>
      </c>
      <c r="C99" s="21" t="s">
        <v>181</v>
      </c>
      <c r="D99" s="21" t="s">
        <v>203</v>
      </c>
      <c r="E99" s="21" t="s">
        <v>251</v>
      </c>
      <c r="F99" s="25"/>
      <c r="G99" s="27">
        <f t="shared" ref="G99" si="2">G100+G102</f>
        <v>0</v>
      </c>
      <c r="H99" s="221"/>
    </row>
    <row r="100" spans="1:9" ht="94.5" hidden="1" x14ac:dyDescent="0.25">
      <c r="A100" s="26" t="s">
        <v>190</v>
      </c>
      <c r="B100" s="17">
        <v>902</v>
      </c>
      <c r="C100" s="21" t="s">
        <v>181</v>
      </c>
      <c r="D100" s="21" t="s">
        <v>203</v>
      </c>
      <c r="E100" s="21" t="s">
        <v>251</v>
      </c>
      <c r="F100" s="21" t="s">
        <v>191</v>
      </c>
      <c r="G100" s="27">
        <f>G101</f>
        <v>0</v>
      </c>
      <c r="H100" s="221"/>
    </row>
    <row r="101" spans="1:9" ht="31.5" hidden="1" x14ac:dyDescent="0.25">
      <c r="A101" s="26" t="s">
        <v>192</v>
      </c>
      <c r="B101" s="17">
        <v>902</v>
      </c>
      <c r="C101" s="21" t="s">
        <v>181</v>
      </c>
      <c r="D101" s="21" t="s">
        <v>203</v>
      </c>
      <c r="E101" s="21" t="s">
        <v>251</v>
      </c>
      <c r="F101" s="21" t="s">
        <v>193</v>
      </c>
      <c r="G101" s="27">
        <v>0</v>
      </c>
      <c r="H101" s="221"/>
    </row>
    <row r="102" spans="1:9" ht="31.5" hidden="1" x14ac:dyDescent="0.25">
      <c r="A102" s="26" t="s">
        <v>194</v>
      </c>
      <c r="B102" s="17">
        <v>902</v>
      </c>
      <c r="C102" s="21" t="s">
        <v>181</v>
      </c>
      <c r="D102" s="21" t="s">
        <v>203</v>
      </c>
      <c r="E102" s="21" t="s">
        <v>251</v>
      </c>
      <c r="F102" s="21" t="s">
        <v>195</v>
      </c>
      <c r="G102" s="27">
        <f t="shared" ref="G102" si="3">G103</f>
        <v>0</v>
      </c>
      <c r="H102" s="221"/>
    </row>
    <row r="103" spans="1:9" ht="47.25" hidden="1" x14ac:dyDescent="0.25">
      <c r="A103" s="26" t="s">
        <v>196</v>
      </c>
      <c r="B103" s="17">
        <v>902</v>
      </c>
      <c r="C103" s="21" t="s">
        <v>181</v>
      </c>
      <c r="D103" s="21" t="s">
        <v>203</v>
      </c>
      <c r="E103" s="21" t="s">
        <v>251</v>
      </c>
      <c r="F103" s="21" t="s">
        <v>197</v>
      </c>
      <c r="G103" s="27">
        <v>0</v>
      </c>
      <c r="H103" s="221"/>
    </row>
    <row r="104" spans="1:9" ht="47.25" x14ac:dyDescent="0.25">
      <c r="A104" s="33" t="s">
        <v>252</v>
      </c>
      <c r="B104" s="17">
        <v>902</v>
      </c>
      <c r="C104" s="21" t="s">
        <v>181</v>
      </c>
      <c r="D104" s="21" t="s">
        <v>203</v>
      </c>
      <c r="E104" s="21" t="s">
        <v>253</v>
      </c>
      <c r="F104" s="21"/>
      <c r="G104" s="27">
        <f>G105</f>
        <v>701.8</v>
      </c>
      <c r="H104" s="221"/>
    </row>
    <row r="105" spans="1:9" ht="94.5" x14ac:dyDescent="0.25">
      <c r="A105" s="26" t="s">
        <v>190</v>
      </c>
      <c r="B105" s="17">
        <v>902</v>
      </c>
      <c r="C105" s="21" t="s">
        <v>181</v>
      </c>
      <c r="D105" s="21" t="s">
        <v>203</v>
      </c>
      <c r="E105" s="21" t="s">
        <v>253</v>
      </c>
      <c r="F105" s="21" t="s">
        <v>191</v>
      </c>
      <c r="G105" s="27">
        <f>G106</f>
        <v>701.8</v>
      </c>
      <c r="H105" s="221"/>
    </row>
    <row r="106" spans="1:9" ht="31.5" x14ac:dyDescent="0.25">
      <c r="A106" s="26" t="s">
        <v>192</v>
      </c>
      <c r="B106" s="17">
        <v>902</v>
      </c>
      <c r="C106" s="21" t="s">
        <v>181</v>
      </c>
      <c r="D106" s="21" t="s">
        <v>203</v>
      </c>
      <c r="E106" s="21" t="s">
        <v>253</v>
      </c>
      <c r="F106" s="21" t="s">
        <v>193</v>
      </c>
      <c r="G106" s="27">
        <v>701.8</v>
      </c>
      <c r="H106" s="221"/>
      <c r="I106" s="141"/>
    </row>
    <row r="107" spans="1:9" ht="47.25" x14ac:dyDescent="0.25">
      <c r="A107" s="35" t="s">
        <v>254</v>
      </c>
      <c r="B107" s="17">
        <v>902</v>
      </c>
      <c r="C107" s="21" t="s">
        <v>181</v>
      </c>
      <c r="D107" s="21" t="s">
        <v>203</v>
      </c>
      <c r="E107" s="21" t="s">
        <v>255</v>
      </c>
      <c r="F107" s="21"/>
      <c r="G107" s="27">
        <f>G108</f>
        <v>40</v>
      </c>
      <c r="H107" s="221"/>
    </row>
    <row r="108" spans="1:9" ht="31.5" x14ac:dyDescent="0.25">
      <c r="A108" s="26" t="s">
        <v>194</v>
      </c>
      <c r="B108" s="17">
        <v>902</v>
      </c>
      <c r="C108" s="21" t="s">
        <v>181</v>
      </c>
      <c r="D108" s="21" t="s">
        <v>203</v>
      </c>
      <c r="E108" s="21" t="s">
        <v>255</v>
      </c>
      <c r="F108" s="21" t="s">
        <v>195</v>
      </c>
      <c r="G108" s="27">
        <f>G109</f>
        <v>40</v>
      </c>
      <c r="H108" s="221"/>
    </row>
    <row r="109" spans="1:9" ht="47.25" x14ac:dyDescent="0.25">
      <c r="A109" s="26" t="s">
        <v>196</v>
      </c>
      <c r="B109" s="17">
        <v>902</v>
      </c>
      <c r="C109" s="21" t="s">
        <v>181</v>
      </c>
      <c r="D109" s="21" t="s">
        <v>203</v>
      </c>
      <c r="E109" s="21" t="s">
        <v>255</v>
      </c>
      <c r="F109" s="21" t="s">
        <v>197</v>
      </c>
      <c r="G109" s="27">
        <f>36+4</f>
        <v>40</v>
      </c>
      <c r="H109" s="221"/>
      <c r="I109" s="141"/>
    </row>
    <row r="110" spans="1:9" ht="31.5" hidden="1" x14ac:dyDescent="0.25">
      <c r="A110" s="33" t="s">
        <v>256</v>
      </c>
      <c r="B110" s="17">
        <v>902</v>
      </c>
      <c r="C110" s="21" t="s">
        <v>181</v>
      </c>
      <c r="D110" s="21" t="s">
        <v>203</v>
      </c>
      <c r="E110" s="21" t="s">
        <v>255</v>
      </c>
      <c r="F110" s="21"/>
      <c r="G110" s="27">
        <f t="shared" ref="G110:G111" si="4">G111</f>
        <v>0</v>
      </c>
      <c r="H110" s="221"/>
    </row>
    <row r="111" spans="1:9" ht="31.5" hidden="1" x14ac:dyDescent="0.25">
      <c r="A111" s="26" t="s">
        <v>194</v>
      </c>
      <c r="B111" s="17">
        <v>902</v>
      </c>
      <c r="C111" s="21" t="s">
        <v>181</v>
      </c>
      <c r="D111" s="21" t="s">
        <v>203</v>
      </c>
      <c r="E111" s="21" t="s">
        <v>255</v>
      </c>
      <c r="F111" s="21" t="s">
        <v>195</v>
      </c>
      <c r="G111" s="27">
        <f t="shared" si="4"/>
        <v>0</v>
      </c>
      <c r="H111" s="221"/>
    </row>
    <row r="112" spans="1:9" ht="47.25" hidden="1" x14ac:dyDescent="0.25">
      <c r="A112" s="26" t="s">
        <v>196</v>
      </c>
      <c r="B112" s="17">
        <v>902</v>
      </c>
      <c r="C112" s="21" t="s">
        <v>181</v>
      </c>
      <c r="D112" s="21" t="s">
        <v>203</v>
      </c>
      <c r="E112" s="21" t="s">
        <v>255</v>
      </c>
      <c r="F112" s="21" t="s">
        <v>197</v>
      </c>
      <c r="G112" s="27"/>
      <c r="H112" s="221"/>
    </row>
    <row r="113" spans="1:9" ht="63" x14ac:dyDescent="0.25">
      <c r="A113" s="33" t="s">
        <v>257</v>
      </c>
      <c r="B113" s="17">
        <v>902</v>
      </c>
      <c r="C113" s="21" t="s">
        <v>181</v>
      </c>
      <c r="D113" s="21" t="s">
        <v>203</v>
      </c>
      <c r="E113" s="21" t="s">
        <v>258</v>
      </c>
      <c r="F113" s="21"/>
      <c r="G113" s="27">
        <f>G114</f>
        <v>1752.9</v>
      </c>
      <c r="H113" s="221"/>
    </row>
    <row r="114" spans="1:9" ht="94.5" x14ac:dyDescent="0.25">
      <c r="A114" s="26" t="s">
        <v>190</v>
      </c>
      <c r="B114" s="17">
        <v>902</v>
      </c>
      <c r="C114" s="21" t="s">
        <v>181</v>
      </c>
      <c r="D114" s="21" t="s">
        <v>203</v>
      </c>
      <c r="E114" s="21" t="s">
        <v>258</v>
      </c>
      <c r="F114" s="21" t="s">
        <v>191</v>
      </c>
      <c r="G114" s="27">
        <f>G115</f>
        <v>1752.9</v>
      </c>
      <c r="H114" s="221"/>
    </row>
    <row r="115" spans="1:9" ht="31.5" x14ac:dyDescent="0.25">
      <c r="A115" s="26" t="s">
        <v>192</v>
      </c>
      <c r="B115" s="17">
        <v>902</v>
      </c>
      <c r="C115" s="21" t="s">
        <v>181</v>
      </c>
      <c r="D115" s="21" t="s">
        <v>203</v>
      </c>
      <c r="E115" s="21" t="s">
        <v>258</v>
      </c>
      <c r="F115" s="21" t="s">
        <v>193</v>
      </c>
      <c r="G115" s="27">
        <v>1752.9</v>
      </c>
      <c r="H115" s="221"/>
    </row>
    <row r="116" spans="1:9" ht="47.25" x14ac:dyDescent="0.25">
      <c r="A116" s="33" t="s">
        <v>259</v>
      </c>
      <c r="B116" s="17">
        <v>902</v>
      </c>
      <c r="C116" s="21" t="s">
        <v>181</v>
      </c>
      <c r="D116" s="21" t="s">
        <v>203</v>
      </c>
      <c r="E116" s="21" t="s">
        <v>260</v>
      </c>
      <c r="F116" s="21"/>
      <c r="G116" s="27">
        <f>G117+G119</f>
        <v>1106.1999999999998</v>
      </c>
      <c r="H116" s="221"/>
    </row>
    <row r="117" spans="1:9" ht="94.5" x14ac:dyDescent="0.25">
      <c r="A117" s="26" t="s">
        <v>190</v>
      </c>
      <c r="B117" s="17">
        <v>902</v>
      </c>
      <c r="C117" s="21" t="s">
        <v>181</v>
      </c>
      <c r="D117" s="21" t="s">
        <v>203</v>
      </c>
      <c r="E117" s="21" t="s">
        <v>260</v>
      </c>
      <c r="F117" s="21" t="s">
        <v>191</v>
      </c>
      <c r="G117" s="27">
        <f>G118</f>
        <v>1073.0999999999999</v>
      </c>
      <c r="H117" s="221"/>
    </row>
    <row r="118" spans="1:9" ht="31.5" x14ac:dyDescent="0.25">
      <c r="A118" s="26" t="s">
        <v>192</v>
      </c>
      <c r="B118" s="17">
        <v>902</v>
      </c>
      <c r="C118" s="21" t="s">
        <v>181</v>
      </c>
      <c r="D118" s="21" t="s">
        <v>203</v>
      </c>
      <c r="E118" s="21" t="s">
        <v>260</v>
      </c>
      <c r="F118" s="21" t="s">
        <v>193</v>
      </c>
      <c r="G118" s="27">
        <f>1537-463.9</f>
        <v>1073.0999999999999</v>
      </c>
      <c r="H118" s="221"/>
      <c r="I118" s="141"/>
    </row>
    <row r="119" spans="1:9" ht="47.25" x14ac:dyDescent="0.25">
      <c r="A119" s="26" t="s">
        <v>261</v>
      </c>
      <c r="B119" s="17">
        <v>902</v>
      </c>
      <c r="C119" s="21" t="s">
        <v>181</v>
      </c>
      <c r="D119" s="21" t="s">
        <v>203</v>
      </c>
      <c r="E119" s="21" t="s">
        <v>260</v>
      </c>
      <c r="F119" s="21" t="s">
        <v>195</v>
      </c>
      <c r="G119" s="27">
        <f>G120</f>
        <v>33.1</v>
      </c>
      <c r="H119" s="221"/>
    </row>
    <row r="120" spans="1:9" ht="47.25" x14ac:dyDescent="0.25">
      <c r="A120" s="26" t="s">
        <v>196</v>
      </c>
      <c r="B120" s="17">
        <v>902</v>
      </c>
      <c r="C120" s="21" t="s">
        <v>181</v>
      </c>
      <c r="D120" s="21" t="s">
        <v>203</v>
      </c>
      <c r="E120" s="21" t="s">
        <v>260</v>
      </c>
      <c r="F120" s="21" t="s">
        <v>197</v>
      </c>
      <c r="G120" s="27">
        <v>33.1</v>
      </c>
      <c r="H120" s="221"/>
    </row>
    <row r="121" spans="1:9" ht="15.75" x14ac:dyDescent="0.25">
      <c r="A121" s="26" t="s">
        <v>204</v>
      </c>
      <c r="B121" s="17">
        <v>902</v>
      </c>
      <c r="C121" s="21" t="s">
        <v>181</v>
      </c>
      <c r="D121" s="21" t="s">
        <v>203</v>
      </c>
      <c r="E121" s="21" t="s">
        <v>205</v>
      </c>
      <c r="F121" s="21"/>
      <c r="G121" s="27">
        <f>G134+G139+G144</f>
        <v>8739.4</v>
      </c>
      <c r="H121" s="221"/>
    </row>
    <row r="122" spans="1:9" ht="15.75" hidden="1" x14ac:dyDescent="0.25">
      <c r="A122" s="26" t="s">
        <v>262</v>
      </c>
      <c r="B122" s="17">
        <v>902</v>
      </c>
      <c r="C122" s="21" t="s">
        <v>181</v>
      </c>
      <c r="D122" s="21" t="s">
        <v>203</v>
      </c>
      <c r="E122" s="21" t="s">
        <v>263</v>
      </c>
      <c r="F122" s="21"/>
      <c r="G122" s="27">
        <f t="shared" ref="G122:G123" si="5">G123</f>
        <v>0</v>
      </c>
      <c r="H122" s="221"/>
    </row>
    <row r="123" spans="1:9" ht="33" hidden="1" customHeight="1" x14ac:dyDescent="0.25">
      <c r="A123" s="26" t="s">
        <v>261</v>
      </c>
      <c r="B123" s="17">
        <v>902</v>
      </c>
      <c r="C123" s="21" t="s">
        <v>181</v>
      </c>
      <c r="D123" s="21" t="s">
        <v>203</v>
      </c>
      <c r="E123" s="21" t="s">
        <v>263</v>
      </c>
      <c r="F123" s="21" t="s">
        <v>195</v>
      </c>
      <c r="G123" s="27">
        <f t="shared" si="5"/>
        <v>0</v>
      </c>
      <c r="H123" s="221"/>
    </row>
    <row r="124" spans="1:9" ht="47.25" hidden="1" x14ac:dyDescent="0.25">
      <c r="A124" s="26" t="s">
        <v>196</v>
      </c>
      <c r="B124" s="17">
        <v>902</v>
      </c>
      <c r="C124" s="21" t="s">
        <v>181</v>
      </c>
      <c r="D124" s="21" t="s">
        <v>203</v>
      </c>
      <c r="E124" s="21" t="s">
        <v>263</v>
      </c>
      <c r="F124" s="21" t="s">
        <v>197</v>
      </c>
      <c r="G124" s="27">
        <v>0</v>
      </c>
      <c r="H124" s="221"/>
    </row>
    <row r="125" spans="1:9" ht="15.75" hidden="1" x14ac:dyDescent="0.25">
      <c r="A125" s="26" t="s">
        <v>264</v>
      </c>
      <c r="B125" s="17">
        <v>902</v>
      </c>
      <c r="C125" s="21" t="s">
        <v>181</v>
      </c>
      <c r="D125" s="21" t="s">
        <v>203</v>
      </c>
      <c r="E125" s="21" t="s">
        <v>265</v>
      </c>
      <c r="F125" s="25"/>
      <c r="G125" s="27">
        <f t="shared" ref="G125:G126" si="6">G126</f>
        <v>0</v>
      </c>
      <c r="H125" s="221"/>
    </row>
    <row r="126" spans="1:9" ht="47.25" hidden="1" x14ac:dyDescent="0.25">
      <c r="A126" s="26" t="s">
        <v>261</v>
      </c>
      <c r="B126" s="17">
        <v>902</v>
      </c>
      <c r="C126" s="21" t="s">
        <v>181</v>
      </c>
      <c r="D126" s="21" t="s">
        <v>203</v>
      </c>
      <c r="E126" s="21" t="s">
        <v>265</v>
      </c>
      <c r="F126" s="21" t="s">
        <v>195</v>
      </c>
      <c r="G126" s="27">
        <f t="shared" si="6"/>
        <v>0</v>
      </c>
      <c r="H126" s="221"/>
    </row>
    <row r="127" spans="1:9" ht="47.25" hidden="1" x14ac:dyDescent="0.25">
      <c r="A127" s="26" t="s">
        <v>196</v>
      </c>
      <c r="B127" s="17">
        <v>902</v>
      </c>
      <c r="C127" s="21" t="s">
        <v>181</v>
      </c>
      <c r="D127" s="21" t="s">
        <v>203</v>
      </c>
      <c r="E127" s="21" t="s">
        <v>265</v>
      </c>
      <c r="F127" s="21" t="s">
        <v>197</v>
      </c>
      <c r="G127" s="27">
        <v>0</v>
      </c>
      <c r="H127" s="221"/>
    </row>
    <row r="128" spans="1:9" ht="31.5" hidden="1" x14ac:dyDescent="0.25">
      <c r="A128" s="26" t="s">
        <v>266</v>
      </c>
      <c r="B128" s="17">
        <v>902</v>
      </c>
      <c r="C128" s="21" t="s">
        <v>181</v>
      </c>
      <c r="D128" s="21" t="s">
        <v>203</v>
      </c>
      <c r="E128" s="21" t="s">
        <v>267</v>
      </c>
      <c r="F128" s="21"/>
      <c r="G128" s="27">
        <f t="shared" ref="G128:G129" si="7">G129</f>
        <v>0</v>
      </c>
      <c r="H128" s="221"/>
    </row>
    <row r="129" spans="1:9" ht="47.25" hidden="1" x14ac:dyDescent="0.25">
      <c r="A129" s="26" t="s">
        <v>261</v>
      </c>
      <c r="B129" s="17">
        <v>902</v>
      </c>
      <c r="C129" s="21" t="s">
        <v>181</v>
      </c>
      <c r="D129" s="21" t="s">
        <v>203</v>
      </c>
      <c r="E129" s="21" t="s">
        <v>267</v>
      </c>
      <c r="F129" s="21" t="s">
        <v>195</v>
      </c>
      <c r="G129" s="27">
        <f t="shared" si="7"/>
        <v>0</v>
      </c>
      <c r="H129" s="221"/>
    </row>
    <row r="130" spans="1:9" ht="47.25" hidden="1" x14ac:dyDescent="0.25">
      <c r="A130" s="26" t="s">
        <v>196</v>
      </c>
      <c r="B130" s="17">
        <v>902</v>
      </c>
      <c r="C130" s="21" t="s">
        <v>181</v>
      </c>
      <c r="D130" s="21" t="s">
        <v>203</v>
      </c>
      <c r="E130" s="21" t="s">
        <v>267</v>
      </c>
      <c r="F130" s="21" t="s">
        <v>197</v>
      </c>
      <c r="G130" s="27">
        <v>0</v>
      </c>
      <c r="H130" s="221"/>
    </row>
    <row r="131" spans="1:9" ht="15.75" hidden="1" x14ac:dyDescent="0.25">
      <c r="A131" s="26" t="s">
        <v>242</v>
      </c>
      <c r="B131" s="17">
        <v>902</v>
      </c>
      <c r="C131" s="21" t="s">
        <v>181</v>
      </c>
      <c r="D131" s="21" t="s">
        <v>203</v>
      </c>
      <c r="E131" s="21" t="s">
        <v>268</v>
      </c>
      <c r="F131" s="21"/>
      <c r="G131" s="27">
        <f t="shared" ref="G131:G132" si="8">G132</f>
        <v>0</v>
      </c>
      <c r="H131" s="221"/>
    </row>
    <row r="132" spans="1:9" ht="47.25" hidden="1" x14ac:dyDescent="0.25">
      <c r="A132" s="26" t="s">
        <v>261</v>
      </c>
      <c r="B132" s="17">
        <v>902</v>
      </c>
      <c r="C132" s="21" t="s">
        <v>181</v>
      </c>
      <c r="D132" s="21" t="s">
        <v>203</v>
      </c>
      <c r="E132" s="21" t="s">
        <v>268</v>
      </c>
      <c r="F132" s="21" t="s">
        <v>195</v>
      </c>
      <c r="G132" s="27">
        <f t="shared" si="8"/>
        <v>0</v>
      </c>
      <c r="H132" s="221"/>
    </row>
    <row r="133" spans="1:9" ht="47.25" hidden="1" x14ac:dyDescent="0.25">
      <c r="A133" s="26" t="s">
        <v>196</v>
      </c>
      <c r="B133" s="17">
        <v>902</v>
      </c>
      <c r="C133" s="21" t="s">
        <v>181</v>
      </c>
      <c r="D133" s="21" t="s">
        <v>203</v>
      </c>
      <c r="E133" s="21" t="s">
        <v>268</v>
      </c>
      <c r="F133" s="21" t="s">
        <v>197</v>
      </c>
      <c r="G133" s="27">
        <v>0</v>
      </c>
      <c r="H133" s="221"/>
    </row>
    <row r="134" spans="1:9" ht="31.5" x14ac:dyDescent="0.25">
      <c r="A134" s="26" t="s">
        <v>269</v>
      </c>
      <c r="B134" s="17">
        <v>902</v>
      </c>
      <c r="C134" s="21" t="s">
        <v>181</v>
      </c>
      <c r="D134" s="21" t="s">
        <v>203</v>
      </c>
      <c r="E134" s="21" t="s">
        <v>270</v>
      </c>
      <c r="F134" s="21"/>
      <c r="G134" s="27">
        <f>G135+G137</f>
        <v>6126.7</v>
      </c>
      <c r="H134" s="221"/>
    </row>
    <row r="135" spans="1:9" ht="94.5" x14ac:dyDescent="0.25">
      <c r="A135" s="26" t="s">
        <v>190</v>
      </c>
      <c r="B135" s="17">
        <v>902</v>
      </c>
      <c r="C135" s="21" t="s">
        <v>181</v>
      </c>
      <c r="D135" s="21" t="s">
        <v>203</v>
      </c>
      <c r="E135" s="21" t="s">
        <v>270</v>
      </c>
      <c r="F135" s="21" t="s">
        <v>191</v>
      </c>
      <c r="G135" s="27">
        <f>G136</f>
        <v>4952</v>
      </c>
      <c r="H135" s="221"/>
    </row>
    <row r="136" spans="1:9" ht="31.5" x14ac:dyDescent="0.25">
      <c r="A136" s="26" t="s">
        <v>271</v>
      </c>
      <c r="B136" s="17">
        <v>902</v>
      </c>
      <c r="C136" s="21" t="s">
        <v>181</v>
      </c>
      <c r="D136" s="21" t="s">
        <v>203</v>
      </c>
      <c r="E136" s="21" t="s">
        <v>270</v>
      </c>
      <c r="F136" s="21" t="s">
        <v>272</v>
      </c>
      <c r="G136" s="28">
        <f>5174.7-222.7</f>
        <v>4952</v>
      </c>
      <c r="H136" s="221"/>
    </row>
    <row r="137" spans="1:9" ht="47.25" x14ac:dyDescent="0.25">
      <c r="A137" s="26" t="s">
        <v>261</v>
      </c>
      <c r="B137" s="17">
        <v>902</v>
      </c>
      <c r="C137" s="21" t="s">
        <v>181</v>
      </c>
      <c r="D137" s="21" t="s">
        <v>203</v>
      </c>
      <c r="E137" s="21" t="s">
        <v>270</v>
      </c>
      <c r="F137" s="21" t="s">
        <v>195</v>
      </c>
      <c r="G137" s="27">
        <f>G138</f>
        <v>1174.7</v>
      </c>
      <c r="H137" s="221"/>
    </row>
    <row r="138" spans="1:9" ht="47.25" x14ac:dyDescent="0.25">
      <c r="A138" s="26" t="s">
        <v>196</v>
      </c>
      <c r="B138" s="17">
        <v>902</v>
      </c>
      <c r="C138" s="21" t="s">
        <v>181</v>
      </c>
      <c r="D138" s="21" t="s">
        <v>203</v>
      </c>
      <c r="E138" s="21" t="s">
        <v>270</v>
      </c>
      <c r="F138" s="21" t="s">
        <v>197</v>
      </c>
      <c r="G138" s="28">
        <f>724.7+450</f>
        <v>1174.7</v>
      </c>
      <c r="H138" s="221"/>
      <c r="I138" s="141"/>
    </row>
    <row r="139" spans="1:9" ht="47.25" x14ac:dyDescent="0.25">
      <c r="A139" s="26" t="s">
        <v>273</v>
      </c>
      <c r="B139" s="17">
        <v>902</v>
      </c>
      <c r="C139" s="21" t="s">
        <v>181</v>
      </c>
      <c r="D139" s="21" t="s">
        <v>203</v>
      </c>
      <c r="E139" s="21" t="s">
        <v>274</v>
      </c>
      <c r="F139" s="21"/>
      <c r="G139" s="27">
        <f>G140+G142</f>
        <v>2520.4</v>
      </c>
      <c r="H139" s="221"/>
    </row>
    <row r="140" spans="1:9" ht="94.5" x14ac:dyDescent="0.25">
      <c r="A140" s="26" t="s">
        <v>190</v>
      </c>
      <c r="B140" s="17">
        <v>902</v>
      </c>
      <c r="C140" s="21" t="s">
        <v>181</v>
      </c>
      <c r="D140" s="21" t="s">
        <v>203</v>
      </c>
      <c r="E140" s="21" t="s">
        <v>274</v>
      </c>
      <c r="F140" s="21" t="s">
        <v>191</v>
      </c>
      <c r="G140" s="27">
        <f>G141</f>
        <v>1895</v>
      </c>
      <c r="H140" s="221"/>
    </row>
    <row r="141" spans="1:9" ht="31.5" x14ac:dyDescent="0.25">
      <c r="A141" s="26" t="s">
        <v>192</v>
      </c>
      <c r="B141" s="17">
        <v>902</v>
      </c>
      <c r="C141" s="21" t="s">
        <v>181</v>
      </c>
      <c r="D141" s="21" t="s">
        <v>203</v>
      </c>
      <c r="E141" s="21" t="s">
        <v>274</v>
      </c>
      <c r="F141" s="21" t="s">
        <v>193</v>
      </c>
      <c r="G141" s="28">
        <f>1952.2-57.2</f>
        <v>1895</v>
      </c>
      <c r="H141" s="221"/>
      <c r="I141" s="141"/>
    </row>
    <row r="142" spans="1:9" ht="47.25" x14ac:dyDescent="0.25">
      <c r="A142" s="26" t="s">
        <v>261</v>
      </c>
      <c r="B142" s="17">
        <v>902</v>
      </c>
      <c r="C142" s="21" t="s">
        <v>181</v>
      </c>
      <c r="D142" s="21" t="s">
        <v>203</v>
      </c>
      <c r="E142" s="21" t="s">
        <v>274</v>
      </c>
      <c r="F142" s="21" t="s">
        <v>195</v>
      </c>
      <c r="G142" s="27">
        <f>G143</f>
        <v>625.4</v>
      </c>
      <c r="H142" s="221"/>
    </row>
    <row r="143" spans="1:9" ht="47.25" x14ac:dyDescent="0.25">
      <c r="A143" s="26" t="s">
        <v>196</v>
      </c>
      <c r="B143" s="17">
        <v>902</v>
      </c>
      <c r="C143" s="21" t="s">
        <v>181</v>
      </c>
      <c r="D143" s="21" t="s">
        <v>203</v>
      </c>
      <c r="E143" s="21" t="s">
        <v>274</v>
      </c>
      <c r="F143" s="21" t="s">
        <v>197</v>
      </c>
      <c r="G143" s="27">
        <f>821.9-196.5</f>
        <v>625.4</v>
      </c>
      <c r="H143" s="221"/>
    </row>
    <row r="144" spans="1:9" ht="15.75" x14ac:dyDescent="0.25">
      <c r="A144" s="47" t="s">
        <v>206</v>
      </c>
      <c r="B144" s="17">
        <v>902</v>
      </c>
      <c r="C144" s="21" t="s">
        <v>181</v>
      </c>
      <c r="D144" s="21" t="s">
        <v>203</v>
      </c>
      <c r="E144" s="21" t="s">
        <v>207</v>
      </c>
      <c r="F144" s="21"/>
      <c r="G144" s="27">
        <f>G145</f>
        <v>92.3</v>
      </c>
      <c r="H144" s="221"/>
    </row>
    <row r="145" spans="1:8" ht="15.75" x14ac:dyDescent="0.25">
      <c r="A145" s="26" t="s">
        <v>198</v>
      </c>
      <c r="B145" s="17">
        <v>902</v>
      </c>
      <c r="C145" s="21" t="s">
        <v>181</v>
      </c>
      <c r="D145" s="21" t="s">
        <v>203</v>
      </c>
      <c r="E145" s="21" t="s">
        <v>207</v>
      </c>
      <c r="F145" s="21" t="s">
        <v>208</v>
      </c>
      <c r="G145" s="27">
        <f>G146</f>
        <v>92.3</v>
      </c>
      <c r="H145" s="221"/>
    </row>
    <row r="146" spans="1:8" ht="15.75" x14ac:dyDescent="0.25">
      <c r="A146" s="26" t="s">
        <v>209</v>
      </c>
      <c r="B146" s="17">
        <v>902</v>
      </c>
      <c r="C146" s="21" t="s">
        <v>181</v>
      </c>
      <c r="D146" s="21" t="s">
        <v>203</v>
      </c>
      <c r="E146" s="21" t="s">
        <v>207</v>
      </c>
      <c r="F146" s="21" t="s">
        <v>210</v>
      </c>
      <c r="G146" s="27">
        <v>92.3</v>
      </c>
      <c r="H146" s="132"/>
    </row>
    <row r="147" spans="1:8" ht="15.75" hidden="1" x14ac:dyDescent="0.25">
      <c r="A147" s="24" t="s">
        <v>275</v>
      </c>
      <c r="B147" s="20">
        <v>902</v>
      </c>
      <c r="C147" s="25" t="s">
        <v>276</v>
      </c>
      <c r="D147" s="25"/>
      <c r="E147" s="25"/>
      <c r="F147" s="25"/>
      <c r="G147" s="22">
        <f t="shared" ref="G147" si="9">G148+G154</f>
        <v>0</v>
      </c>
      <c r="H147" s="221"/>
    </row>
    <row r="148" spans="1:8" ht="31.5" hidden="1" x14ac:dyDescent="0.25">
      <c r="A148" s="24" t="s">
        <v>277</v>
      </c>
      <c r="B148" s="20">
        <v>902</v>
      </c>
      <c r="C148" s="25" t="s">
        <v>276</v>
      </c>
      <c r="D148" s="25" t="s">
        <v>278</v>
      </c>
      <c r="E148" s="25"/>
      <c r="F148" s="25"/>
      <c r="G148" s="22">
        <f t="shared" ref="G148:G152" si="10">G149</f>
        <v>0</v>
      </c>
      <c r="H148" s="221"/>
    </row>
    <row r="149" spans="1:8" ht="15.75" hidden="1" x14ac:dyDescent="0.25">
      <c r="A149" s="26" t="s">
        <v>184</v>
      </c>
      <c r="B149" s="17">
        <v>902</v>
      </c>
      <c r="C149" s="21" t="s">
        <v>276</v>
      </c>
      <c r="D149" s="21" t="s">
        <v>278</v>
      </c>
      <c r="E149" s="21" t="s">
        <v>185</v>
      </c>
      <c r="F149" s="21"/>
      <c r="G149" s="27">
        <f t="shared" si="10"/>
        <v>0</v>
      </c>
      <c r="H149" s="221"/>
    </row>
    <row r="150" spans="1:8" ht="31.5" hidden="1" x14ac:dyDescent="0.25">
      <c r="A150" s="26" t="s">
        <v>248</v>
      </c>
      <c r="B150" s="17">
        <v>902</v>
      </c>
      <c r="C150" s="21" t="s">
        <v>276</v>
      </c>
      <c r="D150" s="21" t="s">
        <v>278</v>
      </c>
      <c r="E150" s="21" t="s">
        <v>249</v>
      </c>
      <c r="F150" s="21"/>
      <c r="G150" s="27">
        <f t="shared" si="10"/>
        <v>0</v>
      </c>
      <c r="H150" s="221"/>
    </row>
    <row r="151" spans="1:8" ht="47.25" hidden="1" x14ac:dyDescent="0.25">
      <c r="A151" s="26" t="s">
        <v>279</v>
      </c>
      <c r="B151" s="17">
        <v>902</v>
      </c>
      <c r="C151" s="21" t="s">
        <v>276</v>
      </c>
      <c r="D151" s="21" t="s">
        <v>278</v>
      </c>
      <c r="E151" s="21" t="s">
        <v>280</v>
      </c>
      <c r="F151" s="21"/>
      <c r="G151" s="27">
        <f t="shared" si="10"/>
        <v>0</v>
      </c>
      <c r="H151" s="221"/>
    </row>
    <row r="152" spans="1:8" ht="94.5" hidden="1" x14ac:dyDescent="0.25">
      <c r="A152" s="26" t="s">
        <v>190</v>
      </c>
      <c r="B152" s="17">
        <v>902</v>
      </c>
      <c r="C152" s="21" t="s">
        <v>276</v>
      </c>
      <c r="D152" s="21" t="s">
        <v>278</v>
      </c>
      <c r="E152" s="21" t="s">
        <v>280</v>
      </c>
      <c r="F152" s="21" t="s">
        <v>191</v>
      </c>
      <c r="G152" s="27">
        <f t="shared" si="10"/>
        <v>0</v>
      </c>
      <c r="H152" s="221"/>
    </row>
    <row r="153" spans="1:8" ht="31.5" hidden="1" x14ac:dyDescent="0.25">
      <c r="A153" s="26" t="s">
        <v>192</v>
      </c>
      <c r="B153" s="17">
        <v>902</v>
      </c>
      <c r="C153" s="21" t="s">
        <v>276</v>
      </c>
      <c r="D153" s="21" t="s">
        <v>278</v>
      </c>
      <c r="E153" s="21" t="s">
        <v>280</v>
      </c>
      <c r="F153" s="21" t="s">
        <v>193</v>
      </c>
      <c r="G153" s="28"/>
      <c r="H153" s="221"/>
    </row>
    <row r="154" spans="1:8" ht="31.5" hidden="1" x14ac:dyDescent="0.25">
      <c r="A154" s="24" t="s">
        <v>281</v>
      </c>
      <c r="B154" s="20">
        <v>902</v>
      </c>
      <c r="C154" s="25" t="s">
        <v>276</v>
      </c>
      <c r="D154" s="25" t="s">
        <v>282</v>
      </c>
      <c r="E154" s="25"/>
      <c r="F154" s="25"/>
      <c r="G154" s="27">
        <f t="shared" ref="G154:G157" si="11">G155</f>
        <v>0</v>
      </c>
      <c r="H154" s="221"/>
    </row>
    <row r="155" spans="1:8" ht="15.75" hidden="1" x14ac:dyDescent="0.25">
      <c r="A155" s="26" t="s">
        <v>184</v>
      </c>
      <c r="B155" s="17">
        <v>902</v>
      </c>
      <c r="C155" s="21" t="s">
        <v>276</v>
      </c>
      <c r="D155" s="21" t="s">
        <v>282</v>
      </c>
      <c r="E155" s="21" t="s">
        <v>185</v>
      </c>
      <c r="F155" s="21"/>
      <c r="G155" s="27">
        <f t="shared" si="11"/>
        <v>0</v>
      </c>
      <c r="H155" s="221"/>
    </row>
    <row r="156" spans="1:8" ht="31.5" hidden="1" x14ac:dyDescent="0.25">
      <c r="A156" s="26" t="s">
        <v>283</v>
      </c>
      <c r="B156" s="17">
        <v>902</v>
      </c>
      <c r="C156" s="21" t="s">
        <v>276</v>
      </c>
      <c r="D156" s="21" t="s">
        <v>282</v>
      </c>
      <c r="E156" s="21" t="s">
        <v>284</v>
      </c>
      <c r="F156" s="21"/>
      <c r="G156" s="27">
        <f t="shared" si="11"/>
        <v>0</v>
      </c>
      <c r="H156" s="221"/>
    </row>
    <row r="157" spans="1:8" ht="47.25" hidden="1" x14ac:dyDescent="0.25">
      <c r="A157" s="26" t="s">
        <v>261</v>
      </c>
      <c r="B157" s="17">
        <v>902</v>
      </c>
      <c r="C157" s="21" t="s">
        <v>276</v>
      </c>
      <c r="D157" s="21" t="s">
        <v>282</v>
      </c>
      <c r="E157" s="21" t="s">
        <v>284</v>
      </c>
      <c r="F157" s="21" t="s">
        <v>195</v>
      </c>
      <c r="G157" s="27">
        <f t="shared" si="11"/>
        <v>0</v>
      </c>
      <c r="H157" s="221"/>
    </row>
    <row r="158" spans="1:8" ht="47.25" hidden="1" x14ac:dyDescent="0.25">
      <c r="A158" s="26" t="s">
        <v>196</v>
      </c>
      <c r="B158" s="17">
        <v>902</v>
      </c>
      <c r="C158" s="21" t="s">
        <v>276</v>
      </c>
      <c r="D158" s="21" t="s">
        <v>282</v>
      </c>
      <c r="E158" s="21" t="s">
        <v>284</v>
      </c>
      <c r="F158" s="21" t="s">
        <v>197</v>
      </c>
      <c r="G158" s="27">
        <v>0</v>
      </c>
      <c r="H158" s="221"/>
    </row>
    <row r="159" spans="1:8" ht="31.5" x14ac:dyDescent="0.25">
      <c r="A159" s="24" t="s">
        <v>285</v>
      </c>
      <c r="B159" s="20">
        <v>902</v>
      </c>
      <c r="C159" s="25" t="s">
        <v>278</v>
      </c>
      <c r="D159" s="25"/>
      <c r="E159" s="25"/>
      <c r="F159" s="25"/>
      <c r="G159" s="22">
        <f>G160</f>
        <v>7159.4000000000005</v>
      </c>
      <c r="H159" s="221"/>
    </row>
    <row r="160" spans="1:8" ht="63" x14ac:dyDescent="0.25">
      <c r="A160" s="24" t="s">
        <v>286</v>
      </c>
      <c r="B160" s="20">
        <v>902</v>
      </c>
      <c r="C160" s="25" t="s">
        <v>278</v>
      </c>
      <c r="D160" s="25" t="s">
        <v>282</v>
      </c>
      <c r="E160" s="21"/>
      <c r="F160" s="21"/>
      <c r="G160" s="22">
        <f>G161</f>
        <v>7159.4000000000005</v>
      </c>
      <c r="H160" s="221"/>
    </row>
    <row r="161" spans="1:9" ht="15.75" x14ac:dyDescent="0.25">
      <c r="A161" s="26" t="s">
        <v>184</v>
      </c>
      <c r="B161" s="17">
        <v>902</v>
      </c>
      <c r="C161" s="21" t="s">
        <v>278</v>
      </c>
      <c r="D161" s="21" t="s">
        <v>282</v>
      </c>
      <c r="E161" s="21" t="s">
        <v>185</v>
      </c>
      <c r="F161" s="21"/>
      <c r="G161" s="27">
        <f>G162</f>
        <v>7159.4000000000005</v>
      </c>
      <c r="H161" s="221"/>
    </row>
    <row r="162" spans="1:9" ht="15.75" x14ac:dyDescent="0.25">
      <c r="A162" s="26" t="s">
        <v>204</v>
      </c>
      <c r="B162" s="17">
        <v>902</v>
      </c>
      <c r="C162" s="21" t="s">
        <v>278</v>
      </c>
      <c r="D162" s="21" t="s">
        <v>282</v>
      </c>
      <c r="E162" s="21" t="s">
        <v>205</v>
      </c>
      <c r="F162" s="21"/>
      <c r="G162" s="27">
        <f>G163+G169+G174</f>
        <v>7159.4000000000005</v>
      </c>
      <c r="H162" s="221"/>
    </row>
    <row r="163" spans="1:9" ht="47.25" x14ac:dyDescent="0.25">
      <c r="A163" s="26" t="s">
        <v>287</v>
      </c>
      <c r="B163" s="17">
        <v>902</v>
      </c>
      <c r="C163" s="21" t="s">
        <v>278</v>
      </c>
      <c r="D163" s="21" t="s">
        <v>282</v>
      </c>
      <c r="E163" s="21" t="s">
        <v>288</v>
      </c>
      <c r="F163" s="21"/>
      <c r="G163" s="27">
        <f>G164</f>
        <v>2064.1</v>
      </c>
      <c r="H163" s="221"/>
    </row>
    <row r="164" spans="1:9" ht="47.25" x14ac:dyDescent="0.25">
      <c r="A164" s="26" t="s">
        <v>261</v>
      </c>
      <c r="B164" s="17">
        <v>902</v>
      </c>
      <c r="C164" s="21" t="s">
        <v>278</v>
      </c>
      <c r="D164" s="21" t="s">
        <v>282</v>
      </c>
      <c r="E164" s="21" t="s">
        <v>288</v>
      </c>
      <c r="F164" s="21" t="s">
        <v>195</v>
      </c>
      <c r="G164" s="27">
        <f>G165</f>
        <v>2064.1</v>
      </c>
      <c r="H164" s="221"/>
    </row>
    <row r="165" spans="1:9" ht="47.25" x14ac:dyDescent="0.25">
      <c r="A165" s="26" t="s">
        <v>196</v>
      </c>
      <c r="B165" s="17">
        <v>902</v>
      </c>
      <c r="C165" s="21" t="s">
        <v>278</v>
      </c>
      <c r="D165" s="21" t="s">
        <v>282</v>
      </c>
      <c r="E165" s="21" t="s">
        <v>288</v>
      </c>
      <c r="F165" s="21" t="s">
        <v>197</v>
      </c>
      <c r="G165" s="195">
        <f>1908.4+354-98.3-100</f>
        <v>2064.1</v>
      </c>
      <c r="H165" s="132" t="s">
        <v>859</v>
      </c>
      <c r="I165" s="153"/>
    </row>
    <row r="166" spans="1:9" ht="15.75" hidden="1" x14ac:dyDescent="0.25">
      <c r="A166" s="26" t="s">
        <v>289</v>
      </c>
      <c r="B166" s="17">
        <v>902</v>
      </c>
      <c r="C166" s="21" t="s">
        <v>278</v>
      </c>
      <c r="D166" s="21" t="s">
        <v>282</v>
      </c>
      <c r="E166" s="21" t="s">
        <v>290</v>
      </c>
      <c r="F166" s="21"/>
      <c r="G166" s="27">
        <f>G167</f>
        <v>0</v>
      </c>
      <c r="H166" s="221"/>
    </row>
    <row r="167" spans="1:9" ht="47.25" hidden="1" x14ac:dyDescent="0.25">
      <c r="A167" s="26" t="s">
        <v>261</v>
      </c>
      <c r="B167" s="17">
        <v>902</v>
      </c>
      <c r="C167" s="21" t="s">
        <v>278</v>
      </c>
      <c r="D167" s="21" t="s">
        <v>282</v>
      </c>
      <c r="E167" s="21" t="s">
        <v>290</v>
      </c>
      <c r="F167" s="21" t="s">
        <v>195</v>
      </c>
      <c r="G167" s="27">
        <f>G168</f>
        <v>0</v>
      </c>
      <c r="H167" s="221"/>
    </row>
    <row r="168" spans="1:9" ht="47.25" hidden="1" x14ac:dyDescent="0.25">
      <c r="A168" s="26" t="s">
        <v>196</v>
      </c>
      <c r="B168" s="17">
        <v>902</v>
      </c>
      <c r="C168" s="21" t="s">
        <v>278</v>
      </c>
      <c r="D168" s="21" t="s">
        <v>282</v>
      </c>
      <c r="E168" s="21" t="s">
        <v>290</v>
      </c>
      <c r="F168" s="21" t="s">
        <v>197</v>
      </c>
      <c r="G168" s="27">
        <v>0</v>
      </c>
      <c r="H168" s="221"/>
    </row>
    <row r="169" spans="1:9" ht="31.5" x14ac:dyDescent="0.25">
      <c r="A169" s="26" t="s">
        <v>291</v>
      </c>
      <c r="B169" s="17">
        <v>902</v>
      </c>
      <c r="C169" s="21" t="s">
        <v>278</v>
      </c>
      <c r="D169" s="21" t="s">
        <v>282</v>
      </c>
      <c r="E169" s="21" t="s">
        <v>292</v>
      </c>
      <c r="F169" s="21"/>
      <c r="G169" s="27">
        <f>G170+G172</f>
        <v>4997</v>
      </c>
      <c r="H169" s="221"/>
    </row>
    <row r="170" spans="1:9" ht="94.5" x14ac:dyDescent="0.25">
      <c r="A170" s="26" t="s">
        <v>190</v>
      </c>
      <c r="B170" s="17">
        <v>902</v>
      </c>
      <c r="C170" s="21" t="s">
        <v>278</v>
      </c>
      <c r="D170" s="21" t="s">
        <v>282</v>
      </c>
      <c r="E170" s="21" t="s">
        <v>292</v>
      </c>
      <c r="F170" s="21" t="s">
        <v>191</v>
      </c>
      <c r="G170" s="27">
        <f>G171</f>
        <v>4692.3</v>
      </c>
      <c r="H170" s="221"/>
    </row>
    <row r="171" spans="1:9" ht="31.5" x14ac:dyDescent="0.25">
      <c r="A171" s="26" t="s">
        <v>271</v>
      </c>
      <c r="B171" s="17">
        <v>902</v>
      </c>
      <c r="C171" s="21" t="s">
        <v>278</v>
      </c>
      <c r="D171" s="21" t="s">
        <v>282</v>
      </c>
      <c r="E171" s="21" t="s">
        <v>292</v>
      </c>
      <c r="F171" s="21" t="s">
        <v>272</v>
      </c>
      <c r="G171" s="28">
        <f>4586.3+106</f>
        <v>4692.3</v>
      </c>
      <c r="H171" s="221"/>
    </row>
    <row r="172" spans="1:9" ht="47.25" x14ac:dyDescent="0.25">
      <c r="A172" s="26" t="s">
        <v>261</v>
      </c>
      <c r="B172" s="17">
        <v>902</v>
      </c>
      <c r="C172" s="21" t="s">
        <v>278</v>
      </c>
      <c r="D172" s="21" t="s">
        <v>282</v>
      </c>
      <c r="E172" s="21" t="s">
        <v>292</v>
      </c>
      <c r="F172" s="21" t="s">
        <v>195</v>
      </c>
      <c r="G172" s="27">
        <f>G173</f>
        <v>304.7</v>
      </c>
      <c r="H172" s="221"/>
    </row>
    <row r="173" spans="1:9" ht="47.25" x14ac:dyDescent="0.25">
      <c r="A173" s="26" t="s">
        <v>196</v>
      </c>
      <c r="B173" s="17">
        <v>902</v>
      </c>
      <c r="C173" s="21" t="s">
        <v>278</v>
      </c>
      <c r="D173" s="21" t="s">
        <v>282</v>
      </c>
      <c r="E173" s="21" t="s">
        <v>292</v>
      </c>
      <c r="F173" s="21" t="s">
        <v>197</v>
      </c>
      <c r="G173" s="192">
        <f>204.7+100</f>
        <v>304.7</v>
      </c>
      <c r="H173" s="193" t="s">
        <v>860</v>
      </c>
    </row>
    <row r="174" spans="1:9" ht="15.75" x14ac:dyDescent="0.25">
      <c r="A174" s="26" t="s">
        <v>293</v>
      </c>
      <c r="B174" s="17">
        <v>902</v>
      </c>
      <c r="C174" s="21" t="s">
        <v>278</v>
      </c>
      <c r="D174" s="21" t="s">
        <v>282</v>
      </c>
      <c r="E174" s="21" t="s">
        <v>294</v>
      </c>
      <c r="F174" s="21"/>
      <c r="G174" s="28">
        <f t="shared" ref="G174:G175" si="12">G175</f>
        <v>98.3</v>
      </c>
      <c r="H174" s="221"/>
    </row>
    <row r="175" spans="1:9" ht="47.25" x14ac:dyDescent="0.25">
      <c r="A175" s="26" t="s">
        <v>261</v>
      </c>
      <c r="B175" s="17">
        <v>902</v>
      </c>
      <c r="C175" s="21" t="s">
        <v>278</v>
      </c>
      <c r="D175" s="21" t="s">
        <v>282</v>
      </c>
      <c r="E175" s="21" t="s">
        <v>294</v>
      </c>
      <c r="F175" s="21" t="s">
        <v>195</v>
      </c>
      <c r="G175" s="28">
        <f t="shared" si="12"/>
        <v>98.3</v>
      </c>
      <c r="H175" s="221"/>
    </row>
    <row r="176" spans="1:9" ht="47.25" x14ac:dyDescent="0.25">
      <c r="A176" s="26" t="s">
        <v>196</v>
      </c>
      <c r="B176" s="17">
        <v>902</v>
      </c>
      <c r="C176" s="21" t="s">
        <v>278</v>
      </c>
      <c r="D176" s="21" t="s">
        <v>282</v>
      </c>
      <c r="E176" s="21" t="s">
        <v>294</v>
      </c>
      <c r="F176" s="21" t="s">
        <v>197</v>
      </c>
      <c r="G176" s="28">
        <v>98.3</v>
      </c>
      <c r="H176" s="132"/>
      <c r="I176" s="152"/>
    </row>
    <row r="177" spans="1:9" ht="15.75" x14ac:dyDescent="0.25">
      <c r="A177" s="24" t="s">
        <v>295</v>
      </c>
      <c r="B177" s="20">
        <v>902</v>
      </c>
      <c r="C177" s="25" t="s">
        <v>213</v>
      </c>
      <c r="D177" s="25"/>
      <c r="E177" s="25"/>
      <c r="F177" s="21"/>
      <c r="G177" s="22">
        <f t="shared" ref="G177" si="13">G184+G178</f>
        <v>1821.3999999999999</v>
      </c>
      <c r="H177" s="221"/>
    </row>
    <row r="178" spans="1:9" ht="15.75" x14ac:dyDescent="0.25">
      <c r="A178" s="24" t="s">
        <v>296</v>
      </c>
      <c r="B178" s="20">
        <v>902</v>
      </c>
      <c r="C178" s="25" t="s">
        <v>213</v>
      </c>
      <c r="D178" s="25" t="s">
        <v>297</v>
      </c>
      <c r="E178" s="25"/>
      <c r="F178" s="21"/>
      <c r="G178" s="22">
        <f>G179</f>
        <v>450</v>
      </c>
      <c r="H178" s="221"/>
    </row>
    <row r="179" spans="1:9" ht="15.75" x14ac:dyDescent="0.25">
      <c r="A179" s="26" t="s">
        <v>184</v>
      </c>
      <c r="B179" s="17">
        <v>902</v>
      </c>
      <c r="C179" s="21" t="s">
        <v>213</v>
      </c>
      <c r="D179" s="21" t="s">
        <v>297</v>
      </c>
      <c r="E179" s="21" t="s">
        <v>185</v>
      </c>
      <c r="F179" s="21"/>
      <c r="G179" s="27">
        <f t="shared" ref="G179:G181" si="14">G180</f>
        <v>450</v>
      </c>
      <c r="H179" s="221"/>
    </row>
    <row r="180" spans="1:9" ht="31.5" x14ac:dyDescent="0.25">
      <c r="A180" s="26" t="s">
        <v>248</v>
      </c>
      <c r="B180" s="17">
        <v>902</v>
      </c>
      <c r="C180" s="21" t="s">
        <v>213</v>
      </c>
      <c r="D180" s="21" t="s">
        <v>297</v>
      </c>
      <c r="E180" s="21" t="s">
        <v>249</v>
      </c>
      <c r="F180" s="21"/>
      <c r="G180" s="27">
        <f>G181</f>
        <v>450</v>
      </c>
      <c r="H180" s="221"/>
    </row>
    <row r="181" spans="1:9" ht="31.5" x14ac:dyDescent="0.25">
      <c r="A181" s="26" t="s">
        <v>298</v>
      </c>
      <c r="B181" s="17">
        <v>902</v>
      </c>
      <c r="C181" s="21" t="s">
        <v>213</v>
      </c>
      <c r="D181" s="21" t="s">
        <v>297</v>
      </c>
      <c r="E181" s="21" t="s">
        <v>299</v>
      </c>
      <c r="F181" s="21"/>
      <c r="G181" s="27">
        <f t="shared" si="14"/>
        <v>450</v>
      </c>
      <c r="H181" s="221"/>
    </row>
    <row r="182" spans="1:9" ht="15.75" x14ac:dyDescent="0.25">
      <c r="A182" s="26" t="s">
        <v>198</v>
      </c>
      <c r="B182" s="17">
        <v>902</v>
      </c>
      <c r="C182" s="21" t="s">
        <v>213</v>
      </c>
      <c r="D182" s="21" t="s">
        <v>297</v>
      </c>
      <c r="E182" s="21" t="s">
        <v>299</v>
      </c>
      <c r="F182" s="21" t="s">
        <v>208</v>
      </c>
      <c r="G182" s="27">
        <f>G183</f>
        <v>450</v>
      </c>
      <c r="H182" s="221"/>
    </row>
    <row r="183" spans="1:9" ht="63" x14ac:dyDescent="0.25">
      <c r="A183" s="26" t="s">
        <v>247</v>
      </c>
      <c r="B183" s="17">
        <v>902</v>
      </c>
      <c r="C183" s="21" t="s">
        <v>213</v>
      </c>
      <c r="D183" s="21" t="s">
        <v>297</v>
      </c>
      <c r="E183" s="21" t="s">
        <v>299</v>
      </c>
      <c r="F183" s="21" t="s">
        <v>223</v>
      </c>
      <c r="G183" s="194">
        <f>310+140</f>
        <v>450</v>
      </c>
      <c r="H183" s="193" t="s">
        <v>858</v>
      </c>
      <c r="I183" s="141"/>
    </row>
    <row r="184" spans="1:9" ht="31.5" x14ac:dyDescent="0.25">
      <c r="A184" s="24" t="s">
        <v>300</v>
      </c>
      <c r="B184" s="20">
        <v>902</v>
      </c>
      <c r="C184" s="25" t="s">
        <v>213</v>
      </c>
      <c r="D184" s="25" t="s">
        <v>301</v>
      </c>
      <c r="E184" s="25"/>
      <c r="F184" s="25"/>
      <c r="G184" s="22">
        <f>G185</f>
        <v>1371.3999999999999</v>
      </c>
      <c r="H184" s="221"/>
    </row>
    <row r="185" spans="1:9" ht="15.75" x14ac:dyDescent="0.25">
      <c r="A185" s="26" t="s">
        <v>184</v>
      </c>
      <c r="B185" s="17">
        <v>902</v>
      </c>
      <c r="C185" s="21" t="s">
        <v>213</v>
      </c>
      <c r="D185" s="21" t="s">
        <v>301</v>
      </c>
      <c r="E185" s="21" t="s">
        <v>185</v>
      </c>
      <c r="F185" s="25"/>
      <c r="G185" s="27">
        <f>G186</f>
        <v>1371.3999999999999</v>
      </c>
      <c r="H185" s="221"/>
    </row>
    <row r="186" spans="1:9" ht="31.5" x14ac:dyDescent="0.25">
      <c r="A186" s="26" t="s">
        <v>248</v>
      </c>
      <c r="B186" s="17">
        <v>902</v>
      </c>
      <c r="C186" s="21" t="s">
        <v>213</v>
      </c>
      <c r="D186" s="21" t="s">
        <v>301</v>
      </c>
      <c r="E186" s="21" t="s">
        <v>249</v>
      </c>
      <c r="F186" s="25"/>
      <c r="G186" s="27">
        <f>G190+G187</f>
        <v>1371.3999999999999</v>
      </c>
      <c r="H186" s="221"/>
    </row>
    <row r="187" spans="1:9" ht="31.5" x14ac:dyDescent="0.25">
      <c r="A187" s="26" t="s">
        <v>302</v>
      </c>
      <c r="B187" s="17">
        <v>902</v>
      </c>
      <c r="C187" s="21" t="s">
        <v>213</v>
      </c>
      <c r="D187" s="21" t="s">
        <v>301</v>
      </c>
      <c r="E187" s="21" t="s">
        <v>303</v>
      </c>
      <c r="F187" s="25"/>
      <c r="G187" s="27">
        <f t="shared" ref="G187:G188" si="15">G188</f>
        <v>90</v>
      </c>
      <c r="H187" s="221"/>
    </row>
    <row r="188" spans="1:9" ht="15.75" x14ac:dyDescent="0.25">
      <c r="A188" s="26" t="s">
        <v>198</v>
      </c>
      <c r="B188" s="17">
        <v>902</v>
      </c>
      <c r="C188" s="21" t="s">
        <v>213</v>
      </c>
      <c r="D188" s="21" t="s">
        <v>301</v>
      </c>
      <c r="E188" s="21" t="s">
        <v>303</v>
      </c>
      <c r="F188" s="21" t="s">
        <v>208</v>
      </c>
      <c r="G188" s="27">
        <f t="shared" si="15"/>
        <v>90</v>
      </c>
      <c r="H188" s="221"/>
    </row>
    <row r="189" spans="1:9" ht="63" x14ac:dyDescent="0.25">
      <c r="A189" s="26" t="s">
        <v>247</v>
      </c>
      <c r="B189" s="17">
        <v>902</v>
      </c>
      <c r="C189" s="21" t="s">
        <v>213</v>
      </c>
      <c r="D189" s="21" t="s">
        <v>301</v>
      </c>
      <c r="E189" s="21" t="s">
        <v>303</v>
      </c>
      <c r="F189" s="21" t="s">
        <v>223</v>
      </c>
      <c r="G189" s="204">
        <v>90</v>
      </c>
      <c r="H189" s="193" t="s">
        <v>872</v>
      </c>
    </row>
    <row r="190" spans="1:9" ht="63" x14ac:dyDescent="0.25">
      <c r="A190" s="33" t="s">
        <v>304</v>
      </c>
      <c r="B190" s="17">
        <v>902</v>
      </c>
      <c r="C190" s="21" t="s">
        <v>213</v>
      </c>
      <c r="D190" s="21" t="s">
        <v>301</v>
      </c>
      <c r="E190" s="21" t="s">
        <v>305</v>
      </c>
      <c r="F190" s="21"/>
      <c r="G190" s="27">
        <f>G191+G193</f>
        <v>1281.3999999999999</v>
      </c>
      <c r="H190" s="221"/>
    </row>
    <row r="191" spans="1:9" ht="94.5" x14ac:dyDescent="0.25">
      <c r="A191" s="26" t="s">
        <v>190</v>
      </c>
      <c r="B191" s="17">
        <v>902</v>
      </c>
      <c r="C191" s="21" t="s">
        <v>213</v>
      </c>
      <c r="D191" s="21" t="s">
        <v>301</v>
      </c>
      <c r="E191" s="21" t="s">
        <v>305</v>
      </c>
      <c r="F191" s="21" t="s">
        <v>191</v>
      </c>
      <c r="G191" s="27">
        <f>G192</f>
        <v>1116.3999999999999</v>
      </c>
      <c r="H191" s="221"/>
    </row>
    <row r="192" spans="1:9" ht="31.5" x14ac:dyDescent="0.25">
      <c r="A192" s="26" t="s">
        <v>192</v>
      </c>
      <c r="B192" s="17">
        <v>902</v>
      </c>
      <c r="C192" s="21" t="s">
        <v>213</v>
      </c>
      <c r="D192" s="21" t="s">
        <v>301</v>
      </c>
      <c r="E192" s="21" t="s">
        <v>305</v>
      </c>
      <c r="F192" s="21" t="s">
        <v>193</v>
      </c>
      <c r="G192" s="27">
        <f>1302-123.4-62.2</f>
        <v>1116.3999999999999</v>
      </c>
      <c r="H192" s="221"/>
      <c r="I192" s="141"/>
    </row>
    <row r="193" spans="1:8" ht="31.5" x14ac:dyDescent="0.25">
      <c r="A193" s="26" t="s">
        <v>194</v>
      </c>
      <c r="B193" s="17">
        <v>902</v>
      </c>
      <c r="C193" s="21" t="s">
        <v>213</v>
      </c>
      <c r="D193" s="21" t="s">
        <v>301</v>
      </c>
      <c r="E193" s="21" t="s">
        <v>305</v>
      </c>
      <c r="F193" s="21" t="s">
        <v>195</v>
      </c>
      <c r="G193" s="27">
        <f>G194</f>
        <v>165</v>
      </c>
      <c r="H193" s="221"/>
    </row>
    <row r="194" spans="1:8" ht="47.25" x14ac:dyDescent="0.25">
      <c r="A194" s="26" t="s">
        <v>196</v>
      </c>
      <c r="B194" s="17">
        <v>902</v>
      </c>
      <c r="C194" s="21" t="s">
        <v>213</v>
      </c>
      <c r="D194" s="21" t="s">
        <v>301</v>
      </c>
      <c r="E194" s="21" t="s">
        <v>305</v>
      </c>
      <c r="F194" s="21" t="s">
        <v>197</v>
      </c>
      <c r="G194" s="27">
        <f>102.8+62.2</f>
        <v>165</v>
      </c>
      <c r="H194" s="221"/>
    </row>
    <row r="195" spans="1:8" ht="16.5" customHeight="1" x14ac:dyDescent="0.25">
      <c r="A195" s="24" t="s">
        <v>306</v>
      </c>
      <c r="B195" s="20">
        <v>902</v>
      </c>
      <c r="C195" s="25" t="s">
        <v>307</v>
      </c>
      <c r="D195" s="25"/>
      <c r="E195" s="25"/>
      <c r="F195" s="25"/>
      <c r="G195" s="22">
        <f>G196+G202+G212</f>
        <v>12224.9</v>
      </c>
      <c r="H195" s="221"/>
    </row>
    <row r="196" spans="1:8" ht="15.75" x14ac:dyDescent="0.25">
      <c r="A196" s="24" t="s">
        <v>308</v>
      </c>
      <c r="B196" s="20">
        <v>902</v>
      </c>
      <c r="C196" s="25" t="s">
        <v>307</v>
      </c>
      <c r="D196" s="25" t="s">
        <v>181</v>
      </c>
      <c r="E196" s="25"/>
      <c r="F196" s="25"/>
      <c r="G196" s="22">
        <f>G197</f>
        <v>9066.4</v>
      </c>
      <c r="H196" s="221"/>
    </row>
    <row r="197" spans="1:8" ht="15.75" x14ac:dyDescent="0.25">
      <c r="A197" s="26" t="s">
        <v>184</v>
      </c>
      <c r="B197" s="17">
        <v>902</v>
      </c>
      <c r="C197" s="21" t="s">
        <v>307</v>
      </c>
      <c r="D197" s="21" t="s">
        <v>181</v>
      </c>
      <c r="E197" s="21" t="s">
        <v>185</v>
      </c>
      <c r="F197" s="21"/>
      <c r="G197" s="27">
        <f t="shared" ref="G197:G199" si="16">G198</f>
        <v>9066.4</v>
      </c>
      <c r="H197" s="221"/>
    </row>
    <row r="198" spans="1:8" ht="15.75" x14ac:dyDescent="0.25">
      <c r="A198" s="26" t="s">
        <v>204</v>
      </c>
      <c r="B198" s="17">
        <v>902</v>
      </c>
      <c r="C198" s="21" t="s">
        <v>307</v>
      </c>
      <c r="D198" s="21" t="s">
        <v>181</v>
      </c>
      <c r="E198" s="21" t="s">
        <v>205</v>
      </c>
      <c r="F198" s="21"/>
      <c r="G198" s="27">
        <f>G199</f>
        <v>9066.4</v>
      </c>
      <c r="H198" s="221"/>
    </row>
    <row r="199" spans="1:8" ht="15.75" x14ac:dyDescent="0.25">
      <c r="A199" s="26" t="s">
        <v>309</v>
      </c>
      <c r="B199" s="17">
        <v>902</v>
      </c>
      <c r="C199" s="21" t="s">
        <v>307</v>
      </c>
      <c r="D199" s="21" t="s">
        <v>181</v>
      </c>
      <c r="E199" s="21" t="s">
        <v>310</v>
      </c>
      <c r="F199" s="21"/>
      <c r="G199" s="27">
        <f t="shared" si="16"/>
        <v>9066.4</v>
      </c>
      <c r="H199" s="221"/>
    </row>
    <row r="200" spans="1:8" ht="31.5" x14ac:dyDescent="0.25">
      <c r="A200" s="26" t="s">
        <v>311</v>
      </c>
      <c r="B200" s="17">
        <v>902</v>
      </c>
      <c r="C200" s="21" t="s">
        <v>307</v>
      </c>
      <c r="D200" s="21" t="s">
        <v>181</v>
      </c>
      <c r="E200" s="21" t="s">
        <v>310</v>
      </c>
      <c r="F200" s="21" t="s">
        <v>312</v>
      </c>
      <c r="G200" s="27">
        <f>G201</f>
        <v>9066.4</v>
      </c>
      <c r="H200" s="221"/>
    </row>
    <row r="201" spans="1:8" ht="31.5" x14ac:dyDescent="0.25">
      <c r="A201" s="26" t="s">
        <v>313</v>
      </c>
      <c r="B201" s="17">
        <v>902</v>
      </c>
      <c r="C201" s="21" t="s">
        <v>307</v>
      </c>
      <c r="D201" s="21" t="s">
        <v>181</v>
      </c>
      <c r="E201" s="21" t="s">
        <v>310</v>
      </c>
      <c r="F201" s="21" t="s">
        <v>314</v>
      </c>
      <c r="G201" s="28">
        <v>9066.4</v>
      </c>
      <c r="H201" s="221"/>
    </row>
    <row r="202" spans="1:8" ht="15.75" x14ac:dyDescent="0.25">
      <c r="A202" s="24" t="s">
        <v>315</v>
      </c>
      <c r="B202" s="20">
        <v>902</v>
      </c>
      <c r="C202" s="25" t="s">
        <v>307</v>
      </c>
      <c r="D202" s="25" t="s">
        <v>278</v>
      </c>
      <c r="E202" s="21"/>
      <c r="F202" s="21"/>
      <c r="G202" s="22">
        <f>G203+G207</f>
        <v>10</v>
      </c>
      <c r="H202" s="221"/>
    </row>
    <row r="203" spans="1:8" ht="78.75" x14ac:dyDescent="0.25">
      <c r="A203" s="26" t="s">
        <v>316</v>
      </c>
      <c r="B203" s="17">
        <v>902</v>
      </c>
      <c r="C203" s="21" t="s">
        <v>307</v>
      </c>
      <c r="D203" s="21" t="s">
        <v>278</v>
      </c>
      <c r="E203" s="21" t="s">
        <v>317</v>
      </c>
      <c r="F203" s="21"/>
      <c r="G203" s="27">
        <f>G204</f>
        <v>10</v>
      </c>
      <c r="H203" s="221"/>
    </row>
    <row r="204" spans="1:8" ht="31.5" x14ac:dyDescent="0.25">
      <c r="A204" s="26" t="s">
        <v>220</v>
      </c>
      <c r="B204" s="17">
        <v>902</v>
      </c>
      <c r="C204" s="21" t="s">
        <v>307</v>
      </c>
      <c r="D204" s="21" t="s">
        <v>278</v>
      </c>
      <c r="E204" s="21" t="s">
        <v>318</v>
      </c>
      <c r="F204" s="21"/>
      <c r="G204" s="27">
        <f>G205</f>
        <v>10</v>
      </c>
      <c r="H204" s="221"/>
    </row>
    <row r="205" spans="1:8" ht="31.5" x14ac:dyDescent="0.25">
      <c r="A205" s="26" t="s">
        <v>311</v>
      </c>
      <c r="B205" s="17">
        <v>902</v>
      </c>
      <c r="C205" s="21" t="s">
        <v>307</v>
      </c>
      <c r="D205" s="21" t="s">
        <v>278</v>
      </c>
      <c r="E205" s="21" t="s">
        <v>318</v>
      </c>
      <c r="F205" s="21" t="s">
        <v>312</v>
      </c>
      <c r="G205" s="27">
        <f>G206</f>
        <v>10</v>
      </c>
      <c r="H205" s="221"/>
    </row>
    <row r="206" spans="1:8" ht="31.5" x14ac:dyDescent="0.25">
      <c r="A206" s="26" t="s">
        <v>313</v>
      </c>
      <c r="B206" s="17">
        <v>902</v>
      </c>
      <c r="C206" s="21" t="s">
        <v>307</v>
      </c>
      <c r="D206" s="21" t="s">
        <v>278</v>
      </c>
      <c r="E206" s="21" t="s">
        <v>318</v>
      </c>
      <c r="F206" s="21" t="s">
        <v>314</v>
      </c>
      <c r="G206" s="27">
        <v>10</v>
      </c>
      <c r="H206" s="221"/>
    </row>
    <row r="207" spans="1:8" ht="15.75" hidden="1" x14ac:dyDescent="0.25">
      <c r="A207" s="26" t="s">
        <v>184</v>
      </c>
      <c r="B207" s="17">
        <v>902</v>
      </c>
      <c r="C207" s="21" t="s">
        <v>307</v>
      </c>
      <c r="D207" s="21" t="s">
        <v>278</v>
      </c>
      <c r="E207" s="21" t="s">
        <v>185</v>
      </c>
      <c r="F207" s="21"/>
      <c r="G207" s="27">
        <f>G208</f>
        <v>0</v>
      </c>
      <c r="H207" s="221"/>
    </row>
    <row r="208" spans="1:8" ht="31.5" hidden="1" x14ac:dyDescent="0.25">
      <c r="A208" s="26" t="s">
        <v>248</v>
      </c>
      <c r="B208" s="17">
        <v>902</v>
      </c>
      <c r="C208" s="21" t="s">
        <v>307</v>
      </c>
      <c r="D208" s="21" t="s">
        <v>278</v>
      </c>
      <c r="E208" s="21" t="s">
        <v>249</v>
      </c>
      <c r="F208" s="21"/>
      <c r="G208" s="27">
        <f>G209</f>
        <v>0</v>
      </c>
      <c r="H208" s="221"/>
    </row>
    <row r="209" spans="1:12" ht="47.25" hidden="1" x14ac:dyDescent="0.25">
      <c r="A209" s="33" t="s">
        <v>319</v>
      </c>
      <c r="B209" s="17">
        <v>902</v>
      </c>
      <c r="C209" s="21" t="s">
        <v>307</v>
      </c>
      <c r="D209" s="21" t="s">
        <v>278</v>
      </c>
      <c r="E209" s="21" t="s">
        <v>320</v>
      </c>
      <c r="F209" s="21"/>
      <c r="G209" s="27">
        <f>G210</f>
        <v>0</v>
      </c>
      <c r="H209" s="221"/>
    </row>
    <row r="210" spans="1:12" ht="31.5" hidden="1" x14ac:dyDescent="0.25">
      <c r="A210" s="26" t="s">
        <v>311</v>
      </c>
      <c r="B210" s="17">
        <v>902</v>
      </c>
      <c r="C210" s="21" t="s">
        <v>307</v>
      </c>
      <c r="D210" s="21" t="s">
        <v>278</v>
      </c>
      <c r="E210" s="21" t="s">
        <v>320</v>
      </c>
      <c r="F210" s="21" t="s">
        <v>312</v>
      </c>
      <c r="G210" s="27">
        <f>G211</f>
        <v>0</v>
      </c>
      <c r="H210" s="221"/>
    </row>
    <row r="211" spans="1:12" ht="31.5" hidden="1" x14ac:dyDescent="0.25">
      <c r="A211" s="26" t="s">
        <v>313</v>
      </c>
      <c r="B211" s="17">
        <v>902</v>
      </c>
      <c r="C211" s="21" t="s">
        <v>307</v>
      </c>
      <c r="D211" s="21" t="s">
        <v>278</v>
      </c>
      <c r="E211" s="21" t="s">
        <v>320</v>
      </c>
      <c r="F211" s="21" t="s">
        <v>314</v>
      </c>
      <c r="G211" s="27">
        <f>6250-6250</f>
        <v>0</v>
      </c>
      <c r="H211" s="132"/>
      <c r="I211" s="141"/>
    </row>
    <row r="212" spans="1:12" ht="31.5" x14ac:dyDescent="0.25">
      <c r="A212" s="24" t="s">
        <v>321</v>
      </c>
      <c r="B212" s="20">
        <v>902</v>
      </c>
      <c r="C212" s="25" t="s">
        <v>307</v>
      </c>
      <c r="D212" s="25" t="s">
        <v>183</v>
      </c>
      <c r="E212" s="25"/>
      <c r="F212" s="25"/>
      <c r="G212" s="22">
        <f>G213</f>
        <v>3148.5000000000005</v>
      </c>
      <c r="H212" s="221"/>
    </row>
    <row r="213" spans="1:12" ht="15.75" x14ac:dyDescent="0.25">
      <c r="A213" s="26" t="s">
        <v>184</v>
      </c>
      <c r="B213" s="17">
        <v>902</v>
      </c>
      <c r="C213" s="21" t="s">
        <v>307</v>
      </c>
      <c r="D213" s="21" t="s">
        <v>183</v>
      </c>
      <c r="E213" s="21" t="s">
        <v>185</v>
      </c>
      <c r="F213" s="25"/>
      <c r="G213" s="27">
        <f>G214</f>
        <v>3148.5000000000005</v>
      </c>
      <c r="H213" s="221"/>
    </row>
    <row r="214" spans="1:12" ht="31.5" x14ac:dyDescent="0.25">
      <c r="A214" s="26" t="s">
        <v>248</v>
      </c>
      <c r="B214" s="17">
        <v>902</v>
      </c>
      <c r="C214" s="21" t="s">
        <v>307</v>
      </c>
      <c r="D214" s="21" t="s">
        <v>183</v>
      </c>
      <c r="E214" s="21" t="s">
        <v>249</v>
      </c>
      <c r="F214" s="21"/>
      <c r="G214" s="27">
        <f>G215</f>
        <v>3148.5000000000005</v>
      </c>
      <c r="H214" s="221"/>
    </row>
    <row r="215" spans="1:12" ht="47.25" x14ac:dyDescent="0.25">
      <c r="A215" s="33" t="s">
        <v>322</v>
      </c>
      <c r="B215" s="17">
        <v>902</v>
      </c>
      <c r="C215" s="21" t="s">
        <v>307</v>
      </c>
      <c r="D215" s="21" t="s">
        <v>183</v>
      </c>
      <c r="E215" s="21" t="s">
        <v>323</v>
      </c>
      <c r="F215" s="21"/>
      <c r="G215" s="27">
        <f>G216+G218</f>
        <v>3148.5000000000005</v>
      </c>
      <c r="H215" s="221"/>
    </row>
    <row r="216" spans="1:12" ht="94.5" x14ac:dyDescent="0.25">
      <c r="A216" s="26" t="s">
        <v>190</v>
      </c>
      <c r="B216" s="17">
        <v>902</v>
      </c>
      <c r="C216" s="21" t="s">
        <v>307</v>
      </c>
      <c r="D216" s="21" t="s">
        <v>183</v>
      </c>
      <c r="E216" s="21" t="s">
        <v>323</v>
      </c>
      <c r="F216" s="21" t="s">
        <v>191</v>
      </c>
      <c r="G216" s="27">
        <f>G217</f>
        <v>2884.1000000000004</v>
      </c>
      <c r="H216" s="221"/>
    </row>
    <row r="217" spans="1:12" ht="31.5" x14ac:dyDescent="0.25">
      <c r="A217" s="26" t="s">
        <v>192</v>
      </c>
      <c r="B217" s="17">
        <v>902</v>
      </c>
      <c r="C217" s="21" t="s">
        <v>307</v>
      </c>
      <c r="D217" s="21" t="s">
        <v>183</v>
      </c>
      <c r="E217" s="21" t="s">
        <v>323</v>
      </c>
      <c r="F217" s="21" t="s">
        <v>193</v>
      </c>
      <c r="G217" s="28">
        <f>2826.8+14.8+42.5</f>
        <v>2884.1000000000004</v>
      </c>
      <c r="H217" s="132"/>
    </row>
    <row r="218" spans="1:12" ht="31.5" x14ac:dyDescent="0.25">
      <c r="A218" s="26" t="s">
        <v>194</v>
      </c>
      <c r="B218" s="17">
        <v>902</v>
      </c>
      <c r="C218" s="21" t="s">
        <v>307</v>
      </c>
      <c r="D218" s="21" t="s">
        <v>183</v>
      </c>
      <c r="E218" s="21" t="s">
        <v>323</v>
      </c>
      <c r="F218" s="21" t="s">
        <v>195</v>
      </c>
      <c r="G218" s="27">
        <f>G219</f>
        <v>264.39999999999998</v>
      </c>
      <c r="H218" s="221"/>
    </row>
    <row r="219" spans="1:12" ht="47.25" x14ac:dyDescent="0.25">
      <c r="A219" s="26" t="s">
        <v>196</v>
      </c>
      <c r="B219" s="17">
        <v>902</v>
      </c>
      <c r="C219" s="21" t="s">
        <v>307</v>
      </c>
      <c r="D219" s="21" t="s">
        <v>183</v>
      </c>
      <c r="E219" s="21" t="s">
        <v>323</v>
      </c>
      <c r="F219" s="21" t="s">
        <v>197</v>
      </c>
      <c r="G219" s="28">
        <f>433.9-112.2-14.8-42.5</f>
        <v>264.39999999999998</v>
      </c>
      <c r="H219" s="132"/>
      <c r="I219" s="141"/>
    </row>
    <row r="220" spans="1:12" ht="47.25" x14ac:dyDescent="0.25">
      <c r="A220" s="20" t="s">
        <v>324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21"/>
      <c r="L220" s="142"/>
    </row>
    <row r="221" spans="1:12" ht="15.75" hidden="1" x14ac:dyDescent="0.25">
      <c r="A221" s="24" t="s">
        <v>180</v>
      </c>
      <c r="B221" s="20">
        <v>903</v>
      </c>
      <c r="C221" s="25" t="s">
        <v>181</v>
      </c>
      <c r="D221" s="25"/>
      <c r="E221" s="25"/>
      <c r="F221" s="25"/>
      <c r="G221" s="22">
        <f t="shared" ref="G221:G226" si="17">G222</f>
        <v>0</v>
      </c>
      <c r="H221" s="221"/>
    </row>
    <row r="222" spans="1:12" ht="15.75" hidden="1" x14ac:dyDescent="0.25">
      <c r="A222" s="36" t="s">
        <v>202</v>
      </c>
      <c r="B222" s="20">
        <v>903</v>
      </c>
      <c r="C222" s="25" t="s">
        <v>181</v>
      </c>
      <c r="D222" s="25" t="s">
        <v>203</v>
      </c>
      <c r="E222" s="25"/>
      <c r="F222" s="25"/>
      <c r="G222" s="22">
        <f t="shared" si="17"/>
        <v>0</v>
      </c>
      <c r="H222" s="221"/>
    </row>
    <row r="223" spans="1:12" ht="15.75" hidden="1" x14ac:dyDescent="0.25">
      <c r="A223" s="33" t="s">
        <v>184</v>
      </c>
      <c r="B223" s="17">
        <v>903</v>
      </c>
      <c r="C223" s="21" t="s">
        <v>181</v>
      </c>
      <c r="D223" s="21" t="s">
        <v>203</v>
      </c>
      <c r="E223" s="21" t="s">
        <v>185</v>
      </c>
      <c r="F223" s="21"/>
      <c r="G223" s="27">
        <f t="shared" si="17"/>
        <v>0</v>
      </c>
      <c r="H223" s="221"/>
    </row>
    <row r="224" spans="1:12" ht="15.75" hidden="1" x14ac:dyDescent="0.25">
      <c r="A224" s="33" t="s">
        <v>204</v>
      </c>
      <c r="B224" s="17">
        <v>903</v>
      </c>
      <c r="C224" s="21" t="s">
        <v>181</v>
      </c>
      <c r="D224" s="21" t="s">
        <v>203</v>
      </c>
      <c r="E224" s="21" t="s">
        <v>205</v>
      </c>
      <c r="F224" s="21"/>
      <c r="G224" s="27">
        <f t="shared" si="17"/>
        <v>0</v>
      </c>
      <c r="H224" s="221"/>
    </row>
    <row r="225" spans="1:8" ht="15.75" hidden="1" x14ac:dyDescent="0.25">
      <c r="A225" s="26" t="s">
        <v>242</v>
      </c>
      <c r="B225" s="17">
        <v>903</v>
      </c>
      <c r="C225" s="21" t="s">
        <v>181</v>
      </c>
      <c r="D225" s="21" t="s">
        <v>203</v>
      </c>
      <c r="E225" s="21" t="s">
        <v>325</v>
      </c>
      <c r="F225" s="21"/>
      <c r="G225" s="27">
        <f t="shared" si="17"/>
        <v>0</v>
      </c>
      <c r="H225" s="221"/>
    </row>
    <row r="226" spans="1:8" ht="31.5" hidden="1" x14ac:dyDescent="0.25">
      <c r="A226" s="26" t="s">
        <v>194</v>
      </c>
      <c r="B226" s="17">
        <v>903</v>
      </c>
      <c r="C226" s="21" t="s">
        <v>181</v>
      </c>
      <c r="D226" s="21" t="s">
        <v>203</v>
      </c>
      <c r="E226" s="21" t="s">
        <v>325</v>
      </c>
      <c r="F226" s="21" t="s">
        <v>195</v>
      </c>
      <c r="G226" s="27">
        <f t="shared" si="17"/>
        <v>0</v>
      </c>
      <c r="H226" s="221"/>
    </row>
    <row r="227" spans="1:8" ht="47.25" hidden="1" x14ac:dyDescent="0.25">
      <c r="A227" s="26" t="s">
        <v>196</v>
      </c>
      <c r="B227" s="17">
        <v>903</v>
      </c>
      <c r="C227" s="21" t="s">
        <v>181</v>
      </c>
      <c r="D227" s="21" t="s">
        <v>203</v>
      </c>
      <c r="E227" s="21" t="s">
        <v>325</v>
      </c>
      <c r="F227" s="21" t="s">
        <v>197</v>
      </c>
      <c r="G227" s="27"/>
      <c r="H227" s="221"/>
    </row>
    <row r="228" spans="1:8" ht="15.75" x14ac:dyDescent="0.25">
      <c r="A228" s="24" t="s">
        <v>180</v>
      </c>
      <c r="B228" s="20">
        <v>903</v>
      </c>
      <c r="C228" s="25" t="s">
        <v>181</v>
      </c>
      <c r="D228" s="21"/>
      <c r="E228" s="21"/>
      <c r="F228" s="21"/>
      <c r="G228" s="27">
        <f>G229</f>
        <v>88.7</v>
      </c>
      <c r="H228" s="221"/>
    </row>
    <row r="229" spans="1:8" ht="15.75" x14ac:dyDescent="0.25">
      <c r="A229" s="24" t="s">
        <v>202</v>
      </c>
      <c r="B229" s="20">
        <v>903</v>
      </c>
      <c r="C229" s="25" t="s">
        <v>181</v>
      </c>
      <c r="D229" s="25" t="s">
        <v>203</v>
      </c>
      <c r="E229" s="21"/>
      <c r="F229" s="21"/>
      <c r="G229" s="27">
        <f>G230</f>
        <v>88.7</v>
      </c>
      <c r="H229" s="221"/>
    </row>
    <row r="230" spans="1:8" ht="15.75" x14ac:dyDescent="0.25">
      <c r="A230" s="26" t="s">
        <v>184</v>
      </c>
      <c r="B230" s="17">
        <v>903</v>
      </c>
      <c r="C230" s="21" t="s">
        <v>181</v>
      </c>
      <c r="D230" s="21" t="s">
        <v>203</v>
      </c>
      <c r="E230" s="21" t="s">
        <v>185</v>
      </c>
      <c r="F230" s="21"/>
      <c r="G230" s="27">
        <f>G231</f>
        <v>88.7</v>
      </c>
      <c r="H230" s="221"/>
    </row>
    <row r="231" spans="1:8" ht="31.5" x14ac:dyDescent="0.25">
      <c r="A231" s="26" t="s">
        <v>248</v>
      </c>
      <c r="B231" s="17">
        <v>903</v>
      </c>
      <c r="C231" s="21" t="s">
        <v>181</v>
      </c>
      <c r="D231" s="21" t="s">
        <v>203</v>
      </c>
      <c r="E231" s="21" t="s">
        <v>249</v>
      </c>
      <c r="F231" s="21"/>
      <c r="G231" s="27">
        <f>G232</f>
        <v>88.7</v>
      </c>
      <c r="H231" s="221"/>
    </row>
    <row r="232" spans="1:8" ht="47.25" x14ac:dyDescent="0.25">
      <c r="A232" s="37" t="s">
        <v>881</v>
      </c>
      <c r="B232" s="17">
        <v>903</v>
      </c>
      <c r="C232" s="21" t="s">
        <v>181</v>
      </c>
      <c r="D232" s="21" t="s">
        <v>203</v>
      </c>
      <c r="E232" s="21" t="s">
        <v>880</v>
      </c>
      <c r="F232" s="25"/>
      <c r="G232" s="27">
        <f t="shared" ref="G232:G233" si="18">G233</f>
        <v>88.7</v>
      </c>
      <c r="H232" s="221"/>
    </row>
    <row r="233" spans="1:8" ht="31.5" x14ac:dyDescent="0.25">
      <c r="A233" s="26" t="s">
        <v>194</v>
      </c>
      <c r="B233" s="17">
        <v>903</v>
      </c>
      <c r="C233" s="21" t="s">
        <v>181</v>
      </c>
      <c r="D233" s="21" t="s">
        <v>203</v>
      </c>
      <c r="E233" s="21" t="s">
        <v>880</v>
      </c>
      <c r="F233" s="21" t="s">
        <v>195</v>
      </c>
      <c r="G233" s="27">
        <f t="shared" si="18"/>
        <v>88.7</v>
      </c>
      <c r="H233" s="221"/>
    </row>
    <row r="234" spans="1:8" ht="53.25" customHeight="1" x14ac:dyDescent="0.25">
      <c r="A234" s="26" t="s">
        <v>196</v>
      </c>
      <c r="B234" s="17">
        <v>903</v>
      </c>
      <c r="C234" s="21" t="s">
        <v>181</v>
      </c>
      <c r="D234" s="21" t="s">
        <v>203</v>
      </c>
      <c r="E234" s="21" t="s">
        <v>880</v>
      </c>
      <c r="F234" s="21" t="s">
        <v>197</v>
      </c>
      <c r="G234" s="204">
        <v>88.7</v>
      </c>
      <c r="H234" s="193" t="s">
        <v>874</v>
      </c>
    </row>
    <row r="235" spans="1:8" ht="15.75" x14ac:dyDescent="0.25">
      <c r="A235" s="24" t="s">
        <v>326</v>
      </c>
      <c r="B235" s="20">
        <v>903</v>
      </c>
      <c r="C235" s="25" t="s">
        <v>327</v>
      </c>
      <c r="D235" s="21"/>
      <c r="E235" s="21"/>
      <c r="F235" s="21"/>
      <c r="G235" s="22">
        <f t="shared" ref="G235" si="19">G236+G271</f>
        <v>17482.699999999997</v>
      </c>
      <c r="H235" s="221"/>
    </row>
    <row r="236" spans="1:8" ht="15.75" x14ac:dyDescent="0.25">
      <c r="A236" s="24" t="s">
        <v>328</v>
      </c>
      <c r="B236" s="20">
        <v>903</v>
      </c>
      <c r="C236" s="25" t="s">
        <v>327</v>
      </c>
      <c r="D236" s="25" t="s">
        <v>278</v>
      </c>
      <c r="E236" s="25"/>
      <c r="F236" s="25"/>
      <c r="G236" s="22">
        <f>G237+G260</f>
        <v>17482.699999999997</v>
      </c>
      <c r="H236" s="221"/>
    </row>
    <row r="237" spans="1:8" ht="47.25" x14ac:dyDescent="0.25">
      <c r="A237" s="26" t="s">
        <v>329</v>
      </c>
      <c r="B237" s="17">
        <v>903</v>
      </c>
      <c r="C237" s="21" t="s">
        <v>327</v>
      </c>
      <c r="D237" s="21" t="s">
        <v>278</v>
      </c>
      <c r="E237" s="21" t="s">
        <v>330</v>
      </c>
      <c r="F237" s="21"/>
      <c r="G237" s="27">
        <f>G238</f>
        <v>16445.599999999999</v>
      </c>
      <c r="H237" s="221"/>
    </row>
    <row r="238" spans="1:8" ht="63" x14ac:dyDescent="0.25">
      <c r="A238" s="26" t="s">
        <v>331</v>
      </c>
      <c r="B238" s="17">
        <v>903</v>
      </c>
      <c r="C238" s="21" t="s">
        <v>327</v>
      </c>
      <c r="D238" s="21" t="s">
        <v>278</v>
      </c>
      <c r="E238" s="21" t="s">
        <v>332</v>
      </c>
      <c r="F238" s="21"/>
      <c r="G238" s="27">
        <f>G239+G251</f>
        <v>16445.599999999999</v>
      </c>
      <c r="H238" s="221"/>
    </row>
    <row r="239" spans="1:8" ht="47.25" x14ac:dyDescent="0.25">
      <c r="A239" s="26" t="s">
        <v>333</v>
      </c>
      <c r="B239" s="17">
        <v>903</v>
      </c>
      <c r="C239" s="21" t="s">
        <v>327</v>
      </c>
      <c r="D239" s="21" t="s">
        <v>278</v>
      </c>
      <c r="E239" s="21" t="s">
        <v>334</v>
      </c>
      <c r="F239" s="21"/>
      <c r="G239" s="27">
        <f>G240</f>
        <v>16395.599999999999</v>
      </c>
      <c r="H239" s="221"/>
    </row>
    <row r="240" spans="1:8" ht="47.25" x14ac:dyDescent="0.25">
      <c r="A240" s="26" t="s">
        <v>335</v>
      </c>
      <c r="B240" s="17">
        <v>903</v>
      </c>
      <c r="C240" s="21" t="s">
        <v>327</v>
      </c>
      <c r="D240" s="21" t="s">
        <v>278</v>
      </c>
      <c r="E240" s="21" t="s">
        <v>334</v>
      </c>
      <c r="F240" s="21" t="s">
        <v>336</v>
      </c>
      <c r="G240" s="27">
        <f>G241</f>
        <v>16395.599999999999</v>
      </c>
      <c r="H240" s="221"/>
    </row>
    <row r="241" spans="1:9" ht="15.75" x14ac:dyDescent="0.25">
      <c r="A241" s="26" t="s">
        <v>337</v>
      </c>
      <c r="B241" s="17">
        <v>903</v>
      </c>
      <c r="C241" s="21" t="s">
        <v>327</v>
      </c>
      <c r="D241" s="21" t="s">
        <v>278</v>
      </c>
      <c r="E241" s="21" t="s">
        <v>334</v>
      </c>
      <c r="F241" s="21" t="s">
        <v>338</v>
      </c>
      <c r="G241" s="28">
        <f>15572+756.3+67.3</f>
        <v>16395.599999999999</v>
      </c>
      <c r="H241" s="132"/>
      <c r="I241" s="153"/>
    </row>
    <row r="242" spans="1:9" ht="47.25" hidden="1" x14ac:dyDescent="0.25">
      <c r="A242" s="26" t="s">
        <v>339</v>
      </c>
      <c r="B242" s="17">
        <v>903</v>
      </c>
      <c r="C242" s="21" t="s">
        <v>327</v>
      </c>
      <c r="D242" s="21" t="s">
        <v>278</v>
      </c>
      <c r="E242" s="21" t="s">
        <v>340</v>
      </c>
      <c r="F242" s="21"/>
      <c r="G242" s="27">
        <f t="shared" ref="G242:G243" si="20">G243</f>
        <v>0</v>
      </c>
      <c r="H242" s="221"/>
    </row>
    <row r="243" spans="1:9" ht="47.25" hidden="1" x14ac:dyDescent="0.25">
      <c r="A243" s="26" t="s">
        <v>335</v>
      </c>
      <c r="B243" s="17">
        <v>903</v>
      </c>
      <c r="C243" s="21" t="s">
        <v>327</v>
      </c>
      <c r="D243" s="21" t="s">
        <v>278</v>
      </c>
      <c r="E243" s="21" t="s">
        <v>340</v>
      </c>
      <c r="F243" s="21" t="s">
        <v>336</v>
      </c>
      <c r="G243" s="27">
        <f t="shared" si="20"/>
        <v>0</v>
      </c>
      <c r="H243" s="221"/>
    </row>
    <row r="244" spans="1:9" ht="15.75" hidden="1" x14ac:dyDescent="0.25">
      <c r="A244" s="26" t="s">
        <v>337</v>
      </c>
      <c r="B244" s="17">
        <v>903</v>
      </c>
      <c r="C244" s="21" t="s">
        <v>327</v>
      </c>
      <c r="D244" s="21" t="s">
        <v>278</v>
      </c>
      <c r="E244" s="21" t="s">
        <v>340</v>
      </c>
      <c r="F244" s="21" t="s">
        <v>338</v>
      </c>
      <c r="G244" s="27">
        <v>0</v>
      </c>
      <c r="H244" s="221"/>
    </row>
    <row r="245" spans="1:9" ht="47.25" hidden="1" x14ac:dyDescent="0.25">
      <c r="A245" s="26" t="s">
        <v>341</v>
      </c>
      <c r="B245" s="17">
        <v>903</v>
      </c>
      <c r="C245" s="21" t="s">
        <v>327</v>
      </c>
      <c r="D245" s="21" t="s">
        <v>278</v>
      </c>
      <c r="E245" s="21" t="s">
        <v>342</v>
      </c>
      <c r="F245" s="21"/>
      <c r="G245" s="27">
        <f t="shared" ref="G245:G246" si="21">G246</f>
        <v>0</v>
      </c>
      <c r="H245" s="221"/>
    </row>
    <row r="246" spans="1:9" ht="47.25" hidden="1" x14ac:dyDescent="0.25">
      <c r="A246" s="26" t="s">
        <v>335</v>
      </c>
      <c r="B246" s="17">
        <v>903</v>
      </c>
      <c r="C246" s="21" t="s">
        <v>327</v>
      </c>
      <c r="D246" s="21" t="s">
        <v>278</v>
      </c>
      <c r="E246" s="21" t="s">
        <v>342</v>
      </c>
      <c r="F246" s="21" t="s">
        <v>336</v>
      </c>
      <c r="G246" s="27">
        <f t="shared" si="21"/>
        <v>0</v>
      </c>
      <c r="H246" s="221"/>
    </row>
    <row r="247" spans="1:9" ht="15.75" hidden="1" x14ac:dyDescent="0.25">
      <c r="A247" s="26" t="s">
        <v>337</v>
      </c>
      <c r="B247" s="17">
        <v>903</v>
      </c>
      <c r="C247" s="21" t="s">
        <v>327</v>
      </c>
      <c r="D247" s="21" t="s">
        <v>278</v>
      </c>
      <c r="E247" s="21" t="s">
        <v>342</v>
      </c>
      <c r="F247" s="21" t="s">
        <v>338</v>
      </c>
      <c r="G247" s="27">
        <v>0</v>
      </c>
      <c r="H247" s="221"/>
    </row>
    <row r="248" spans="1:9" ht="31.5" hidden="1" x14ac:dyDescent="0.25">
      <c r="A248" s="26" t="s">
        <v>343</v>
      </c>
      <c r="B248" s="17">
        <v>903</v>
      </c>
      <c r="C248" s="21" t="s">
        <v>327</v>
      </c>
      <c r="D248" s="21" t="s">
        <v>278</v>
      </c>
      <c r="E248" s="21" t="s">
        <v>344</v>
      </c>
      <c r="F248" s="21"/>
      <c r="G248" s="27">
        <f t="shared" ref="G248:G249" si="22">G249</f>
        <v>0</v>
      </c>
      <c r="H248" s="221"/>
    </row>
    <row r="249" spans="1:9" ht="47.25" hidden="1" x14ac:dyDescent="0.25">
      <c r="A249" s="26" t="s">
        <v>335</v>
      </c>
      <c r="B249" s="17">
        <v>903</v>
      </c>
      <c r="C249" s="21" t="s">
        <v>327</v>
      </c>
      <c r="D249" s="21" t="s">
        <v>278</v>
      </c>
      <c r="E249" s="21" t="s">
        <v>344</v>
      </c>
      <c r="F249" s="21" t="s">
        <v>336</v>
      </c>
      <c r="G249" s="27">
        <f t="shared" si="22"/>
        <v>0</v>
      </c>
      <c r="H249" s="221"/>
    </row>
    <row r="250" spans="1:9" ht="15.75" hidden="1" x14ac:dyDescent="0.25">
      <c r="A250" s="26" t="s">
        <v>337</v>
      </c>
      <c r="B250" s="17">
        <v>903</v>
      </c>
      <c r="C250" s="21" t="s">
        <v>327</v>
      </c>
      <c r="D250" s="21" t="s">
        <v>278</v>
      </c>
      <c r="E250" s="21" t="s">
        <v>344</v>
      </c>
      <c r="F250" s="21" t="s">
        <v>338</v>
      </c>
      <c r="G250" s="27">
        <v>0</v>
      </c>
      <c r="H250" s="221"/>
    </row>
    <row r="251" spans="1:9" ht="47.25" x14ac:dyDescent="0.25">
      <c r="A251" s="26" t="s">
        <v>345</v>
      </c>
      <c r="B251" s="17">
        <v>903</v>
      </c>
      <c r="C251" s="21" t="s">
        <v>327</v>
      </c>
      <c r="D251" s="21" t="s">
        <v>278</v>
      </c>
      <c r="E251" s="21" t="s">
        <v>346</v>
      </c>
      <c r="F251" s="21"/>
      <c r="G251" s="27">
        <f>G252</f>
        <v>50</v>
      </c>
      <c r="H251" s="221"/>
    </row>
    <row r="252" spans="1:9" ht="47.25" x14ac:dyDescent="0.25">
      <c r="A252" s="26" t="s">
        <v>335</v>
      </c>
      <c r="B252" s="17">
        <v>903</v>
      </c>
      <c r="C252" s="21" t="s">
        <v>327</v>
      </c>
      <c r="D252" s="21" t="s">
        <v>278</v>
      </c>
      <c r="E252" s="21" t="s">
        <v>346</v>
      </c>
      <c r="F252" s="21" t="s">
        <v>336</v>
      </c>
      <c r="G252" s="27">
        <f t="shared" ref="G252" si="23">G253</f>
        <v>50</v>
      </c>
      <c r="H252" s="221"/>
    </row>
    <row r="253" spans="1:9" ht="15.75" x14ac:dyDescent="0.25">
      <c r="A253" s="26" t="s">
        <v>337</v>
      </c>
      <c r="B253" s="17">
        <v>903</v>
      </c>
      <c r="C253" s="21" t="s">
        <v>327</v>
      </c>
      <c r="D253" s="21" t="s">
        <v>278</v>
      </c>
      <c r="E253" s="21" t="s">
        <v>346</v>
      </c>
      <c r="F253" s="21" t="s">
        <v>338</v>
      </c>
      <c r="G253" s="27">
        <v>50</v>
      </c>
      <c r="H253" s="221"/>
    </row>
    <row r="254" spans="1:9" ht="31.5" hidden="1" x14ac:dyDescent="0.25">
      <c r="A254" s="26" t="s">
        <v>347</v>
      </c>
      <c r="B254" s="17">
        <v>903</v>
      </c>
      <c r="C254" s="21" t="s">
        <v>327</v>
      </c>
      <c r="D254" s="21" t="s">
        <v>278</v>
      </c>
      <c r="E254" s="21" t="s">
        <v>348</v>
      </c>
      <c r="F254" s="21"/>
      <c r="G254" s="27">
        <f t="shared" ref="G254:G255" si="24">G255</f>
        <v>0</v>
      </c>
      <c r="H254" s="221"/>
    </row>
    <row r="255" spans="1:9" ht="47.25" hidden="1" x14ac:dyDescent="0.25">
      <c r="A255" s="26" t="s">
        <v>335</v>
      </c>
      <c r="B255" s="17">
        <v>903</v>
      </c>
      <c r="C255" s="21" t="s">
        <v>327</v>
      </c>
      <c r="D255" s="21" t="s">
        <v>278</v>
      </c>
      <c r="E255" s="21" t="s">
        <v>349</v>
      </c>
      <c r="F255" s="21" t="s">
        <v>336</v>
      </c>
      <c r="G255" s="27">
        <f t="shared" si="24"/>
        <v>0</v>
      </c>
      <c r="H255" s="221"/>
    </row>
    <row r="256" spans="1:9" ht="15.75" hidden="1" x14ac:dyDescent="0.25">
      <c r="A256" s="26" t="s">
        <v>337</v>
      </c>
      <c r="B256" s="17">
        <v>903</v>
      </c>
      <c r="C256" s="21" t="s">
        <v>327</v>
      </c>
      <c r="D256" s="21" t="s">
        <v>278</v>
      </c>
      <c r="E256" s="21" t="s">
        <v>349</v>
      </c>
      <c r="F256" s="21" t="s">
        <v>338</v>
      </c>
      <c r="G256" s="27">
        <v>0</v>
      </c>
      <c r="H256" s="221"/>
    </row>
    <row r="257" spans="1:9" ht="47.25" hidden="1" x14ac:dyDescent="0.25">
      <c r="A257" s="37" t="s">
        <v>350</v>
      </c>
      <c r="B257" s="17">
        <v>903</v>
      </c>
      <c r="C257" s="21" t="s">
        <v>327</v>
      </c>
      <c r="D257" s="21" t="s">
        <v>278</v>
      </c>
      <c r="E257" s="21" t="s">
        <v>351</v>
      </c>
      <c r="F257" s="21"/>
      <c r="G257" s="27">
        <f t="shared" ref="G257:G258" si="25">G258</f>
        <v>0</v>
      </c>
      <c r="H257" s="221"/>
    </row>
    <row r="258" spans="1:9" ht="47.25" hidden="1" x14ac:dyDescent="0.25">
      <c r="A258" s="26" t="s">
        <v>335</v>
      </c>
      <c r="B258" s="17">
        <v>903</v>
      </c>
      <c r="C258" s="21" t="s">
        <v>327</v>
      </c>
      <c r="D258" s="21" t="s">
        <v>278</v>
      </c>
      <c r="E258" s="21" t="s">
        <v>351</v>
      </c>
      <c r="F258" s="21" t="s">
        <v>336</v>
      </c>
      <c r="G258" s="27">
        <f t="shared" si="25"/>
        <v>0</v>
      </c>
      <c r="H258" s="221"/>
    </row>
    <row r="259" spans="1:9" ht="15.75" hidden="1" x14ac:dyDescent="0.25">
      <c r="A259" s="26" t="s">
        <v>337</v>
      </c>
      <c r="B259" s="17">
        <v>903</v>
      </c>
      <c r="C259" s="21" t="s">
        <v>327</v>
      </c>
      <c r="D259" s="21" t="s">
        <v>278</v>
      </c>
      <c r="E259" s="21" t="s">
        <v>351</v>
      </c>
      <c r="F259" s="21" t="s">
        <v>338</v>
      </c>
      <c r="G259" s="27">
        <v>0</v>
      </c>
      <c r="H259" s="221"/>
    </row>
    <row r="260" spans="1:9" ht="15.75" x14ac:dyDescent="0.25">
      <c r="A260" s="26" t="s">
        <v>184</v>
      </c>
      <c r="B260" s="17">
        <v>903</v>
      </c>
      <c r="C260" s="21" t="s">
        <v>327</v>
      </c>
      <c r="D260" s="21" t="s">
        <v>278</v>
      </c>
      <c r="E260" s="21" t="s">
        <v>185</v>
      </c>
      <c r="F260" s="21"/>
      <c r="G260" s="27">
        <f t="shared" ref="G260" si="26">G261</f>
        <v>1037.1000000000001</v>
      </c>
      <c r="H260" s="221"/>
    </row>
    <row r="261" spans="1:9" ht="31.5" x14ac:dyDescent="0.25">
      <c r="A261" s="26" t="s">
        <v>248</v>
      </c>
      <c r="B261" s="17">
        <v>903</v>
      </c>
      <c r="C261" s="21" t="s">
        <v>327</v>
      </c>
      <c r="D261" s="21" t="s">
        <v>278</v>
      </c>
      <c r="E261" s="21" t="s">
        <v>249</v>
      </c>
      <c r="F261" s="21"/>
      <c r="G261" s="27">
        <f>G262+G265+G268</f>
        <v>1037.1000000000001</v>
      </c>
      <c r="H261" s="221"/>
    </row>
    <row r="262" spans="1:9" ht="63" x14ac:dyDescent="0.25">
      <c r="A262" s="33" t="s">
        <v>352</v>
      </c>
      <c r="B262" s="17">
        <v>903</v>
      </c>
      <c r="C262" s="21" t="s">
        <v>327</v>
      </c>
      <c r="D262" s="21" t="s">
        <v>278</v>
      </c>
      <c r="E262" s="21" t="s">
        <v>353</v>
      </c>
      <c r="F262" s="21"/>
      <c r="G262" s="27">
        <f>G263</f>
        <v>126.69999999999999</v>
      </c>
      <c r="H262" s="221"/>
    </row>
    <row r="263" spans="1:9" ht="47.25" x14ac:dyDescent="0.25">
      <c r="A263" s="26" t="s">
        <v>335</v>
      </c>
      <c r="B263" s="17">
        <v>903</v>
      </c>
      <c r="C263" s="21" t="s">
        <v>327</v>
      </c>
      <c r="D263" s="21" t="s">
        <v>278</v>
      </c>
      <c r="E263" s="21" t="s">
        <v>353</v>
      </c>
      <c r="F263" s="21" t="s">
        <v>336</v>
      </c>
      <c r="G263" s="27">
        <f>G264</f>
        <v>126.69999999999999</v>
      </c>
      <c r="H263" s="221"/>
    </row>
    <row r="264" spans="1:9" ht="15.75" x14ac:dyDescent="0.25">
      <c r="A264" s="26" t="s">
        <v>337</v>
      </c>
      <c r="B264" s="17">
        <v>903</v>
      </c>
      <c r="C264" s="21" t="s">
        <v>327</v>
      </c>
      <c r="D264" s="21" t="s">
        <v>278</v>
      </c>
      <c r="E264" s="21" t="s">
        <v>353</v>
      </c>
      <c r="F264" s="21" t="s">
        <v>338</v>
      </c>
      <c r="G264" s="27">
        <f>162.6-35.9</f>
        <v>126.69999999999999</v>
      </c>
      <c r="H264" s="221"/>
      <c r="I264" s="141"/>
    </row>
    <row r="265" spans="1:9" ht="78.75" x14ac:dyDescent="0.25">
      <c r="A265" s="33" t="s">
        <v>354</v>
      </c>
      <c r="B265" s="17">
        <v>903</v>
      </c>
      <c r="C265" s="21" t="s">
        <v>327</v>
      </c>
      <c r="D265" s="21" t="s">
        <v>278</v>
      </c>
      <c r="E265" s="21" t="s">
        <v>355</v>
      </c>
      <c r="F265" s="21"/>
      <c r="G265" s="27">
        <f>G266</f>
        <v>310.70000000000005</v>
      </c>
      <c r="H265" s="221"/>
    </row>
    <row r="266" spans="1:9" ht="47.25" x14ac:dyDescent="0.25">
      <c r="A266" s="26" t="s">
        <v>335</v>
      </c>
      <c r="B266" s="17">
        <v>903</v>
      </c>
      <c r="C266" s="21" t="s">
        <v>327</v>
      </c>
      <c r="D266" s="21" t="s">
        <v>278</v>
      </c>
      <c r="E266" s="21" t="s">
        <v>355</v>
      </c>
      <c r="F266" s="21" t="s">
        <v>336</v>
      </c>
      <c r="G266" s="27">
        <f>G267</f>
        <v>310.70000000000005</v>
      </c>
      <c r="H266" s="221"/>
    </row>
    <row r="267" spans="1:9" ht="15.75" x14ac:dyDescent="0.25">
      <c r="A267" s="26" t="s">
        <v>337</v>
      </c>
      <c r="B267" s="17">
        <v>903</v>
      </c>
      <c r="C267" s="21" t="s">
        <v>327</v>
      </c>
      <c r="D267" s="21" t="s">
        <v>278</v>
      </c>
      <c r="E267" s="21" t="s">
        <v>355</v>
      </c>
      <c r="F267" s="21" t="s">
        <v>338</v>
      </c>
      <c r="G267" s="27">
        <f>393.3-82.6</f>
        <v>310.70000000000005</v>
      </c>
      <c r="H267" s="221"/>
      <c r="I267" s="141"/>
    </row>
    <row r="268" spans="1:9" ht="110.25" x14ac:dyDescent="0.25">
      <c r="A268" s="33" t="s">
        <v>356</v>
      </c>
      <c r="B268" s="17">
        <v>903</v>
      </c>
      <c r="C268" s="21" t="s">
        <v>327</v>
      </c>
      <c r="D268" s="21" t="s">
        <v>278</v>
      </c>
      <c r="E268" s="21" t="s">
        <v>357</v>
      </c>
      <c r="F268" s="21"/>
      <c r="G268" s="27">
        <f>G269</f>
        <v>599.70000000000005</v>
      </c>
      <c r="H268" s="221"/>
    </row>
    <row r="269" spans="1:9" ht="47.25" x14ac:dyDescent="0.25">
      <c r="A269" s="26" t="s">
        <v>335</v>
      </c>
      <c r="B269" s="17">
        <v>903</v>
      </c>
      <c r="C269" s="21" t="s">
        <v>327</v>
      </c>
      <c r="D269" s="21" t="s">
        <v>278</v>
      </c>
      <c r="E269" s="21" t="s">
        <v>357</v>
      </c>
      <c r="F269" s="21" t="s">
        <v>336</v>
      </c>
      <c r="G269" s="27">
        <f>G270</f>
        <v>599.70000000000005</v>
      </c>
      <c r="H269" s="221"/>
    </row>
    <row r="270" spans="1:9" ht="15.75" x14ac:dyDescent="0.25">
      <c r="A270" s="26" t="s">
        <v>337</v>
      </c>
      <c r="B270" s="17">
        <v>903</v>
      </c>
      <c r="C270" s="21" t="s">
        <v>327</v>
      </c>
      <c r="D270" s="21" t="s">
        <v>278</v>
      </c>
      <c r="E270" s="21" t="s">
        <v>357</v>
      </c>
      <c r="F270" s="21" t="s">
        <v>338</v>
      </c>
      <c r="G270" s="27">
        <f>600-0.3</f>
        <v>599.70000000000005</v>
      </c>
      <c r="H270" s="221"/>
      <c r="I270" s="141"/>
    </row>
    <row r="271" spans="1:9" ht="15.75" hidden="1" x14ac:dyDescent="0.25">
      <c r="A271" s="24" t="s">
        <v>358</v>
      </c>
      <c r="B271" s="20">
        <v>903</v>
      </c>
      <c r="C271" s="25" t="s">
        <v>327</v>
      </c>
      <c r="D271" s="25" t="s">
        <v>282</v>
      </c>
      <c r="E271" s="25"/>
      <c r="F271" s="25"/>
      <c r="G271" s="27">
        <f t="shared" ref="G271:G275" si="27">G272</f>
        <v>0</v>
      </c>
      <c r="H271" s="221"/>
    </row>
    <row r="272" spans="1:9" ht="15.75" hidden="1" x14ac:dyDescent="0.25">
      <c r="A272" s="26" t="s">
        <v>184</v>
      </c>
      <c r="B272" s="17">
        <v>903</v>
      </c>
      <c r="C272" s="21" t="s">
        <v>327</v>
      </c>
      <c r="D272" s="21" t="s">
        <v>282</v>
      </c>
      <c r="E272" s="21" t="s">
        <v>185</v>
      </c>
      <c r="F272" s="21"/>
      <c r="G272" s="27">
        <f t="shared" si="27"/>
        <v>0</v>
      </c>
      <c r="H272" s="221"/>
    </row>
    <row r="273" spans="1:12" ht="31.5" hidden="1" x14ac:dyDescent="0.25">
      <c r="A273" s="26" t="s">
        <v>248</v>
      </c>
      <c r="B273" s="17">
        <v>903</v>
      </c>
      <c r="C273" s="21" t="s">
        <v>327</v>
      </c>
      <c r="D273" s="21" t="s">
        <v>282</v>
      </c>
      <c r="E273" s="21" t="s">
        <v>249</v>
      </c>
      <c r="F273" s="21"/>
      <c r="G273" s="27">
        <f t="shared" si="27"/>
        <v>0</v>
      </c>
      <c r="H273" s="221"/>
    </row>
    <row r="274" spans="1:12" ht="31.5" hidden="1" x14ac:dyDescent="0.25">
      <c r="A274" s="38" t="s">
        <v>359</v>
      </c>
      <c r="B274" s="39">
        <v>903</v>
      </c>
      <c r="C274" s="21" t="s">
        <v>327</v>
      </c>
      <c r="D274" s="21" t="s">
        <v>282</v>
      </c>
      <c r="E274" s="21" t="s">
        <v>360</v>
      </c>
      <c r="F274" s="21"/>
      <c r="G274" s="27">
        <f t="shared" si="27"/>
        <v>0</v>
      </c>
      <c r="H274" s="221"/>
    </row>
    <row r="275" spans="1:12" ht="15.75" hidden="1" x14ac:dyDescent="0.25">
      <c r="A275" s="26" t="s">
        <v>198</v>
      </c>
      <c r="B275" s="17">
        <v>903</v>
      </c>
      <c r="C275" s="21" t="s">
        <v>327</v>
      </c>
      <c r="D275" s="21" t="s">
        <v>282</v>
      </c>
      <c r="E275" s="21" t="s">
        <v>360</v>
      </c>
      <c r="F275" s="21" t="s">
        <v>208</v>
      </c>
      <c r="G275" s="27">
        <f t="shared" si="27"/>
        <v>0</v>
      </c>
      <c r="H275" s="221"/>
    </row>
    <row r="276" spans="1:12" ht="63" hidden="1" x14ac:dyDescent="0.25">
      <c r="A276" s="26" t="s">
        <v>247</v>
      </c>
      <c r="B276" s="17">
        <v>903</v>
      </c>
      <c r="C276" s="21" t="s">
        <v>327</v>
      </c>
      <c r="D276" s="21" t="s">
        <v>282</v>
      </c>
      <c r="E276" s="21" t="s">
        <v>360</v>
      </c>
      <c r="F276" s="21" t="s">
        <v>223</v>
      </c>
      <c r="G276" s="27"/>
      <c r="H276" s="221"/>
    </row>
    <row r="277" spans="1:12" ht="15.75" x14ac:dyDescent="0.25">
      <c r="A277" s="24" t="s">
        <v>361</v>
      </c>
      <c r="B277" s="20">
        <v>903</v>
      </c>
      <c r="C277" s="25" t="s">
        <v>362</v>
      </c>
      <c r="D277" s="25"/>
      <c r="E277" s="25"/>
      <c r="F277" s="25"/>
      <c r="G277" s="22">
        <f>G278+G358</f>
        <v>61699.8</v>
      </c>
      <c r="H277" s="221"/>
    </row>
    <row r="278" spans="1:12" ht="15.75" x14ac:dyDescent="0.25">
      <c r="A278" s="24" t="s">
        <v>363</v>
      </c>
      <c r="B278" s="20">
        <v>903</v>
      </c>
      <c r="C278" s="25" t="s">
        <v>362</v>
      </c>
      <c r="D278" s="25" t="s">
        <v>181</v>
      </c>
      <c r="E278" s="25"/>
      <c r="F278" s="25"/>
      <c r="G278" s="22">
        <f>G279+G337+G333</f>
        <v>44421.000000000007</v>
      </c>
      <c r="H278" s="221"/>
    </row>
    <row r="279" spans="1:12" ht="47.25" x14ac:dyDescent="0.25">
      <c r="A279" s="26" t="s">
        <v>329</v>
      </c>
      <c r="B279" s="17">
        <v>903</v>
      </c>
      <c r="C279" s="21" t="s">
        <v>362</v>
      </c>
      <c r="D279" s="21" t="s">
        <v>181</v>
      </c>
      <c r="E279" s="21" t="s">
        <v>330</v>
      </c>
      <c r="F279" s="21"/>
      <c r="G279" s="27">
        <f>G280+G306</f>
        <v>42083.100000000006</v>
      </c>
      <c r="H279" s="221"/>
    </row>
    <row r="280" spans="1:12" ht="63" x14ac:dyDescent="0.25">
      <c r="A280" s="26" t="s">
        <v>364</v>
      </c>
      <c r="B280" s="17">
        <v>903</v>
      </c>
      <c r="C280" s="21" t="s">
        <v>362</v>
      </c>
      <c r="D280" s="21" t="s">
        <v>181</v>
      </c>
      <c r="E280" s="21" t="s">
        <v>365</v>
      </c>
      <c r="F280" s="21"/>
      <c r="G280" s="27">
        <f>G281+G299+G284+G287+G290+G293+G296</f>
        <v>25422.5</v>
      </c>
      <c r="H280" s="221"/>
    </row>
    <row r="281" spans="1:12" ht="52.5" customHeight="1" x14ac:dyDescent="0.25">
      <c r="A281" s="26" t="s">
        <v>366</v>
      </c>
      <c r="B281" s="17">
        <v>903</v>
      </c>
      <c r="C281" s="21" t="s">
        <v>362</v>
      </c>
      <c r="D281" s="21" t="s">
        <v>181</v>
      </c>
      <c r="E281" s="21" t="s">
        <v>367</v>
      </c>
      <c r="F281" s="21"/>
      <c r="G281" s="27">
        <f>G282</f>
        <v>23654.800000000003</v>
      </c>
      <c r="H281" s="221"/>
    </row>
    <row r="282" spans="1:12" ht="47.25" x14ac:dyDescent="0.25">
      <c r="A282" s="26" t="s">
        <v>335</v>
      </c>
      <c r="B282" s="17">
        <v>903</v>
      </c>
      <c r="C282" s="21" t="s">
        <v>362</v>
      </c>
      <c r="D282" s="21" t="s">
        <v>181</v>
      </c>
      <c r="E282" s="21" t="s">
        <v>367</v>
      </c>
      <c r="F282" s="21" t="s">
        <v>336</v>
      </c>
      <c r="G282" s="27">
        <f t="shared" ref="G282" si="28">G283</f>
        <v>23654.800000000003</v>
      </c>
      <c r="H282" s="221"/>
    </row>
    <row r="283" spans="1:12" ht="15.75" x14ac:dyDescent="0.25">
      <c r="A283" s="26" t="s">
        <v>337</v>
      </c>
      <c r="B283" s="17">
        <v>903</v>
      </c>
      <c r="C283" s="21" t="s">
        <v>362</v>
      </c>
      <c r="D283" s="21" t="s">
        <v>181</v>
      </c>
      <c r="E283" s="21" t="s">
        <v>367</v>
      </c>
      <c r="F283" s="21" t="s">
        <v>338</v>
      </c>
      <c r="G283" s="28">
        <f>25081.9+2671.4-3136.8-961.7</f>
        <v>23654.800000000003</v>
      </c>
      <c r="H283" s="132"/>
      <c r="I283" s="153"/>
    </row>
    <row r="284" spans="1:12" ht="47.25" x14ac:dyDescent="0.25">
      <c r="A284" s="26" t="s">
        <v>835</v>
      </c>
      <c r="B284" s="17">
        <v>903</v>
      </c>
      <c r="C284" s="21" t="s">
        <v>362</v>
      </c>
      <c r="D284" s="21" t="s">
        <v>181</v>
      </c>
      <c r="E284" s="21" t="s">
        <v>368</v>
      </c>
      <c r="F284" s="21"/>
      <c r="G284" s="27">
        <f t="shared" ref="G284:G285" si="29">G285</f>
        <v>96.1</v>
      </c>
      <c r="H284" s="221"/>
      <c r="L284" s="143"/>
    </row>
    <row r="285" spans="1:12" ht="47.25" x14ac:dyDescent="0.25">
      <c r="A285" s="26" t="s">
        <v>335</v>
      </c>
      <c r="B285" s="17">
        <v>903</v>
      </c>
      <c r="C285" s="21" t="s">
        <v>362</v>
      </c>
      <c r="D285" s="21" t="s">
        <v>181</v>
      </c>
      <c r="E285" s="21" t="s">
        <v>368</v>
      </c>
      <c r="F285" s="21" t="s">
        <v>336</v>
      </c>
      <c r="G285" s="27">
        <f t="shared" si="29"/>
        <v>96.1</v>
      </c>
      <c r="H285" s="221"/>
    </row>
    <row r="286" spans="1:12" ht="15.75" x14ac:dyDescent="0.25">
      <c r="A286" s="26" t="s">
        <v>337</v>
      </c>
      <c r="B286" s="17">
        <v>903</v>
      </c>
      <c r="C286" s="21" t="s">
        <v>362</v>
      </c>
      <c r="D286" s="21" t="s">
        <v>181</v>
      </c>
      <c r="E286" s="21" t="s">
        <v>368</v>
      </c>
      <c r="F286" s="21" t="s">
        <v>338</v>
      </c>
      <c r="G286" s="27">
        <v>96.1</v>
      </c>
      <c r="H286" s="132"/>
    </row>
    <row r="287" spans="1:12" ht="47.25" x14ac:dyDescent="0.25">
      <c r="A287" s="26" t="s">
        <v>341</v>
      </c>
      <c r="B287" s="17">
        <v>903</v>
      </c>
      <c r="C287" s="21" t="s">
        <v>362</v>
      </c>
      <c r="D287" s="21" t="s">
        <v>181</v>
      </c>
      <c r="E287" s="21" t="s">
        <v>369</v>
      </c>
      <c r="F287" s="21"/>
      <c r="G287" s="27">
        <f t="shared" ref="G287" si="30">G288</f>
        <v>142.1</v>
      </c>
      <c r="H287" s="221"/>
    </row>
    <row r="288" spans="1:12" ht="47.25" x14ac:dyDescent="0.25">
      <c r="A288" s="26" t="s">
        <v>335</v>
      </c>
      <c r="B288" s="17">
        <v>903</v>
      </c>
      <c r="C288" s="21" t="s">
        <v>362</v>
      </c>
      <c r="D288" s="21" t="s">
        <v>181</v>
      </c>
      <c r="E288" s="21" t="s">
        <v>369</v>
      </c>
      <c r="F288" s="21" t="s">
        <v>336</v>
      </c>
      <c r="G288" s="27">
        <f>G289</f>
        <v>142.1</v>
      </c>
      <c r="H288" s="221"/>
    </row>
    <row r="289" spans="1:10" ht="15.75" x14ac:dyDescent="0.25">
      <c r="A289" s="26" t="s">
        <v>337</v>
      </c>
      <c r="B289" s="17">
        <v>903</v>
      </c>
      <c r="C289" s="21" t="s">
        <v>362</v>
      </c>
      <c r="D289" s="21" t="s">
        <v>181</v>
      </c>
      <c r="E289" s="21" t="s">
        <v>369</v>
      </c>
      <c r="F289" s="21" t="s">
        <v>338</v>
      </c>
      <c r="G289" s="27">
        <v>142.1</v>
      </c>
      <c r="H289" s="221"/>
      <c r="I289" s="141"/>
    </row>
    <row r="290" spans="1:10" ht="15.75" x14ac:dyDescent="0.25">
      <c r="A290" s="26" t="s">
        <v>370</v>
      </c>
      <c r="B290" s="17">
        <v>903</v>
      </c>
      <c r="C290" s="21" t="s">
        <v>362</v>
      </c>
      <c r="D290" s="21" t="s">
        <v>181</v>
      </c>
      <c r="E290" s="21" t="s">
        <v>371</v>
      </c>
      <c r="F290" s="21"/>
      <c r="G290" s="27">
        <f>G291</f>
        <v>1529.5</v>
      </c>
      <c r="H290" s="221"/>
    </row>
    <row r="291" spans="1:10" ht="47.25" x14ac:dyDescent="0.25">
      <c r="A291" s="26" t="s">
        <v>335</v>
      </c>
      <c r="B291" s="17">
        <v>903</v>
      </c>
      <c r="C291" s="21" t="s">
        <v>362</v>
      </c>
      <c r="D291" s="21" t="s">
        <v>181</v>
      </c>
      <c r="E291" s="21" t="s">
        <v>371</v>
      </c>
      <c r="F291" s="21" t="s">
        <v>336</v>
      </c>
      <c r="G291" s="27">
        <f t="shared" ref="G291" si="31">G292</f>
        <v>1529.5</v>
      </c>
      <c r="H291" s="221"/>
    </row>
    <row r="292" spans="1:10" ht="15.75" x14ac:dyDescent="0.25">
      <c r="A292" s="26" t="s">
        <v>337</v>
      </c>
      <c r="B292" s="17">
        <v>903</v>
      </c>
      <c r="C292" s="21" t="s">
        <v>362</v>
      </c>
      <c r="D292" s="21" t="s">
        <v>181</v>
      </c>
      <c r="E292" s="21" t="s">
        <v>371</v>
      </c>
      <c r="F292" s="21" t="s">
        <v>338</v>
      </c>
      <c r="G292" s="27">
        <f>411.9+1117.6</f>
        <v>1529.5</v>
      </c>
      <c r="H292" s="132"/>
      <c r="I292" s="153"/>
      <c r="J292" s="135"/>
    </row>
    <row r="293" spans="1:10" ht="31.5" hidden="1" x14ac:dyDescent="0.25">
      <c r="A293" s="26" t="s">
        <v>347</v>
      </c>
      <c r="B293" s="17">
        <v>903</v>
      </c>
      <c r="C293" s="21" t="s">
        <v>362</v>
      </c>
      <c r="D293" s="21" t="s">
        <v>181</v>
      </c>
      <c r="E293" s="21" t="s">
        <v>348</v>
      </c>
      <c r="F293" s="21"/>
      <c r="G293" s="27">
        <f t="shared" ref="G293:G294" si="32">G294</f>
        <v>0</v>
      </c>
      <c r="H293" s="221"/>
    </row>
    <row r="294" spans="1:10" ht="47.25" hidden="1" x14ac:dyDescent="0.25">
      <c r="A294" s="26" t="s">
        <v>335</v>
      </c>
      <c r="B294" s="17">
        <v>903</v>
      </c>
      <c r="C294" s="21" t="s">
        <v>362</v>
      </c>
      <c r="D294" s="21" t="s">
        <v>181</v>
      </c>
      <c r="E294" s="21" t="s">
        <v>348</v>
      </c>
      <c r="F294" s="21" t="s">
        <v>336</v>
      </c>
      <c r="G294" s="27">
        <f t="shared" si="32"/>
        <v>0</v>
      </c>
      <c r="H294" s="221"/>
    </row>
    <row r="295" spans="1:10" ht="15.75" hidden="1" x14ac:dyDescent="0.25">
      <c r="A295" s="26" t="s">
        <v>337</v>
      </c>
      <c r="B295" s="17">
        <v>903</v>
      </c>
      <c r="C295" s="21" t="s">
        <v>362</v>
      </c>
      <c r="D295" s="21" t="s">
        <v>181</v>
      </c>
      <c r="E295" s="21" t="s">
        <v>348</v>
      </c>
      <c r="F295" s="21" t="s">
        <v>338</v>
      </c>
      <c r="G295" s="27">
        <v>0</v>
      </c>
      <c r="H295" s="221"/>
    </row>
    <row r="296" spans="1:10" ht="47.25" hidden="1" x14ac:dyDescent="0.25">
      <c r="A296" s="37" t="s">
        <v>350</v>
      </c>
      <c r="B296" s="17">
        <v>903</v>
      </c>
      <c r="C296" s="21" t="s">
        <v>362</v>
      </c>
      <c r="D296" s="21" t="s">
        <v>181</v>
      </c>
      <c r="E296" s="21" t="s">
        <v>372</v>
      </c>
      <c r="F296" s="21"/>
      <c r="G296" s="27">
        <f t="shared" ref="G296:G297" si="33">G297</f>
        <v>0</v>
      </c>
      <c r="H296" s="221"/>
    </row>
    <row r="297" spans="1:10" ht="47.25" hidden="1" x14ac:dyDescent="0.25">
      <c r="A297" s="26" t="s">
        <v>335</v>
      </c>
      <c r="B297" s="17">
        <v>903</v>
      </c>
      <c r="C297" s="21" t="s">
        <v>362</v>
      </c>
      <c r="D297" s="21" t="s">
        <v>181</v>
      </c>
      <c r="E297" s="21" t="s">
        <v>372</v>
      </c>
      <c r="F297" s="21" t="s">
        <v>336</v>
      </c>
      <c r="G297" s="27">
        <f t="shared" si="33"/>
        <v>0</v>
      </c>
      <c r="H297" s="221"/>
    </row>
    <row r="298" spans="1:10" ht="15.75" hidden="1" x14ac:dyDescent="0.25">
      <c r="A298" s="26" t="s">
        <v>337</v>
      </c>
      <c r="B298" s="17">
        <v>903</v>
      </c>
      <c r="C298" s="21" t="s">
        <v>362</v>
      </c>
      <c r="D298" s="21" t="s">
        <v>181</v>
      </c>
      <c r="E298" s="21" t="s">
        <v>372</v>
      </c>
      <c r="F298" s="21" t="s">
        <v>338</v>
      </c>
      <c r="G298" s="27">
        <v>0</v>
      </c>
      <c r="H298" s="221"/>
    </row>
    <row r="299" spans="1:10" ht="47.25" hidden="1" customHeight="1" x14ac:dyDescent="0.25">
      <c r="A299" s="26" t="s">
        <v>373</v>
      </c>
      <c r="B299" s="17">
        <v>903</v>
      </c>
      <c r="C299" s="21" t="s">
        <v>362</v>
      </c>
      <c r="D299" s="21" t="s">
        <v>181</v>
      </c>
      <c r="E299" s="21" t="s">
        <v>374</v>
      </c>
      <c r="F299" s="21"/>
      <c r="G299" s="27">
        <f t="shared" ref="G299" si="34">G300+G302+G304</f>
        <v>0</v>
      </c>
      <c r="H299" s="221"/>
    </row>
    <row r="300" spans="1:10" ht="94.5" hidden="1" x14ac:dyDescent="0.25">
      <c r="A300" s="26" t="s">
        <v>190</v>
      </c>
      <c r="B300" s="17">
        <v>903</v>
      </c>
      <c r="C300" s="21" t="s">
        <v>362</v>
      </c>
      <c r="D300" s="21" t="s">
        <v>181</v>
      </c>
      <c r="E300" s="21" t="s">
        <v>374</v>
      </c>
      <c r="F300" s="21" t="s">
        <v>191</v>
      </c>
      <c r="G300" s="27">
        <f t="shared" ref="G300" si="35">G301</f>
        <v>0</v>
      </c>
      <c r="H300" s="221"/>
    </row>
    <row r="301" spans="1:10" ht="31.5" hidden="1" x14ac:dyDescent="0.25">
      <c r="A301" s="26" t="s">
        <v>271</v>
      </c>
      <c r="B301" s="17">
        <v>903</v>
      </c>
      <c r="C301" s="21" t="s">
        <v>362</v>
      </c>
      <c r="D301" s="21" t="s">
        <v>181</v>
      </c>
      <c r="E301" s="21" t="s">
        <v>374</v>
      </c>
      <c r="F301" s="21" t="s">
        <v>272</v>
      </c>
      <c r="G301" s="28">
        <v>0</v>
      </c>
      <c r="H301" s="221"/>
    </row>
    <row r="302" spans="1:10" ht="31.5" hidden="1" x14ac:dyDescent="0.25">
      <c r="A302" s="26" t="s">
        <v>194</v>
      </c>
      <c r="B302" s="17">
        <v>903</v>
      </c>
      <c r="C302" s="21" t="s">
        <v>362</v>
      </c>
      <c r="D302" s="21" t="s">
        <v>181</v>
      </c>
      <c r="E302" s="21" t="s">
        <v>374</v>
      </c>
      <c r="F302" s="21" t="s">
        <v>195</v>
      </c>
      <c r="G302" s="27">
        <f t="shared" ref="G302" si="36">G303</f>
        <v>0</v>
      </c>
      <c r="H302" s="221"/>
    </row>
    <row r="303" spans="1:10" ht="47.25" hidden="1" x14ac:dyDescent="0.25">
      <c r="A303" s="26" t="s">
        <v>196</v>
      </c>
      <c r="B303" s="17">
        <v>903</v>
      </c>
      <c r="C303" s="21" t="s">
        <v>362</v>
      </c>
      <c r="D303" s="21" t="s">
        <v>181</v>
      </c>
      <c r="E303" s="21" t="s">
        <v>374</v>
      </c>
      <c r="F303" s="21" t="s">
        <v>197</v>
      </c>
      <c r="G303" s="28">
        <v>0</v>
      </c>
      <c r="H303" s="221"/>
    </row>
    <row r="304" spans="1:10" ht="15.75" hidden="1" x14ac:dyDescent="0.25">
      <c r="A304" s="26" t="s">
        <v>198</v>
      </c>
      <c r="B304" s="17">
        <v>903</v>
      </c>
      <c r="C304" s="21" t="s">
        <v>362</v>
      </c>
      <c r="D304" s="21" t="s">
        <v>181</v>
      </c>
      <c r="E304" s="21" t="s">
        <v>374</v>
      </c>
      <c r="F304" s="21" t="s">
        <v>208</v>
      </c>
      <c r="G304" s="27">
        <f t="shared" ref="G304" si="37">G305</f>
        <v>0</v>
      </c>
      <c r="H304" s="221"/>
    </row>
    <row r="305" spans="1:9" ht="15.75" hidden="1" x14ac:dyDescent="0.25">
      <c r="A305" s="26" t="s">
        <v>200</v>
      </c>
      <c r="B305" s="17">
        <v>903</v>
      </c>
      <c r="C305" s="21" t="s">
        <v>362</v>
      </c>
      <c r="D305" s="21" t="s">
        <v>181</v>
      </c>
      <c r="E305" s="21" t="s">
        <v>374</v>
      </c>
      <c r="F305" s="21" t="s">
        <v>201</v>
      </c>
      <c r="G305" s="27">
        <v>0</v>
      </c>
      <c r="H305" s="221"/>
    </row>
    <row r="306" spans="1:9" ht="47.25" x14ac:dyDescent="0.25">
      <c r="A306" s="26" t="s">
        <v>375</v>
      </c>
      <c r="B306" s="17">
        <v>903</v>
      </c>
      <c r="C306" s="21" t="s">
        <v>362</v>
      </c>
      <c r="D306" s="21" t="s">
        <v>181</v>
      </c>
      <c r="E306" s="21" t="s">
        <v>376</v>
      </c>
      <c r="F306" s="21"/>
      <c r="G306" s="27">
        <f>G307+G330+G318+G321+G324+G327+G310+G315</f>
        <v>16660.600000000002</v>
      </c>
      <c r="H306" s="221"/>
    </row>
    <row r="307" spans="1:9" ht="51" customHeight="1" x14ac:dyDescent="0.25">
      <c r="A307" s="26" t="s">
        <v>366</v>
      </c>
      <c r="B307" s="17">
        <v>903</v>
      </c>
      <c r="C307" s="21" t="s">
        <v>362</v>
      </c>
      <c r="D307" s="21" t="s">
        <v>181</v>
      </c>
      <c r="E307" s="21" t="s">
        <v>377</v>
      </c>
      <c r="F307" s="21"/>
      <c r="G307" s="27">
        <f>G308</f>
        <v>16655.2</v>
      </c>
      <c r="H307" s="221"/>
    </row>
    <row r="308" spans="1:9" ht="47.25" x14ac:dyDescent="0.25">
      <c r="A308" s="26" t="s">
        <v>335</v>
      </c>
      <c r="B308" s="17">
        <v>903</v>
      </c>
      <c r="C308" s="21" t="s">
        <v>362</v>
      </c>
      <c r="D308" s="21" t="s">
        <v>181</v>
      </c>
      <c r="E308" s="21" t="s">
        <v>377</v>
      </c>
      <c r="F308" s="21" t="s">
        <v>336</v>
      </c>
      <c r="G308" s="27">
        <f t="shared" ref="G308" si="38">G309</f>
        <v>16655.2</v>
      </c>
      <c r="H308" s="221"/>
    </row>
    <row r="309" spans="1:9" ht="15.75" x14ac:dyDescent="0.25">
      <c r="A309" s="26" t="s">
        <v>337</v>
      </c>
      <c r="B309" s="17">
        <v>903</v>
      </c>
      <c r="C309" s="21" t="s">
        <v>362</v>
      </c>
      <c r="D309" s="21" t="s">
        <v>181</v>
      </c>
      <c r="E309" s="21" t="s">
        <v>377</v>
      </c>
      <c r="F309" s="21" t="s">
        <v>338</v>
      </c>
      <c r="G309" s="28">
        <f>18073+419.6-1705.8+78.4-210</f>
        <v>16655.2</v>
      </c>
      <c r="H309" s="132"/>
      <c r="I309" s="153"/>
    </row>
    <row r="310" spans="1:9" ht="38.25" customHeight="1" x14ac:dyDescent="0.25">
      <c r="A310" s="26" t="s">
        <v>378</v>
      </c>
      <c r="B310" s="17">
        <v>903</v>
      </c>
      <c r="C310" s="21" t="s">
        <v>362</v>
      </c>
      <c r="D310" s="21" t="s">
        <v>181</v>
      </c>
      <c r="E310" s="21" t="s">
        <v>379</v>
      </c>
      <c r="F310" s="21"/>
      <c r="G310" s="28">
        <f t="shared" ref="G310" si="39">G311+G313</f>
        <v>5</v>
      </c>
      <c r="H310" s="221"/>
    </row>
    <row r="311" spans="1:9" ht="31.5" hidden="1" x14ac:dyDescent="0.25">
      <c r="A311" s="26" t="s">
        <v>194</v>
      </c>
      <c r="B311" s="17">
        <v>903</v>
      </c>
      <c r="C311" s="21" t="s">
        <v>362</v>
      </c>
      <c r="D311" s="21" t="s">
        <v>181</v>
      </c>
      <c r="E311" s="21" t="s">
        <v>379</v>
      </c>
      <c r="F311" s="21" t="s">
        <v>195</v>
      </c>
      <c r="G311" s="28">
        <f t="shared" ref="G311" si="40">G312</f>
        <v>0</v>
      </c>
      <c r="H311" s="221"/>
    </row>
    <row r="312" spans="1:9" ht="47.25" hidden="1" x14ac:dyDescent="0.25">
      <c r="A312" s="26" t="s">
        <v>196</v>
      </c>
      <c r="B312" s="17">
        <v>903</v>
      </c>
      <c r="C312" s="21" t="s">
        <v>362</v>
      </c>
      <c r="D312" s="21" t="s">
        <v>181</v>
      </c>
      <c r="E312" s="21" t="s">
        <v>379</v>
      </c>
      <c r="F312" s="21" t="s">
        <v>197</v>
      </c>
      <c r="G312" s="28">
        <v>0</v>
      </c>
      <c r="H312" s="221"/>
    </row>
    <row r="313" spans="1:9" ht="47.25" x14ac:dyDescent="0.25">
      <c r="A313" s="26" t="s">
        <v>335</v>
      </c>
      <c r="B313" s="17">
        <v>903</v>
      </c>
      <c r="C313" s="21" t="s">
        <v>362</v>
      </c>
      <c r="D313" s="21" t="s">
        <v>181</v>
      </c>
      <c r="E313" s="21" t="s">
        <v>379</v>
      </c>
      <c r="F313" s="21" t="s">
        <v>336</v>
      </c>
      <c r="G313" s="28">
        <f>G314</f>
        <v>5</v>
      </c>
      <c r="H313" s="221"/>
    </row>
    <row r="314" spans="1:9" ht="15.75" x14ac:dyDescent="0.25">
      <c r="A314" s="26" t="s">
        <v>337</v>
      </c>
      <c r="B314" s="17">
        <v>903</v>
      </c>
      <c r="C314" s="21" t="s">
        <v>362</v>
      </c>
      <c r="D314" s="21" t="s">
        <v>181</v>
      </c>
      <c r="E314" s="21" t="s">
        <v>379</v>
      </c>
      <c r="F314" s="21" t="s">
        <v>338</v>
      </c>
      <c r="G314" s="28">
        <v>5</v>
      </c>
      <c r="H314" s="221"/>
    </row>
    <row r="315" spans="1:9" ht="15.75" x14ac:dyDescent="0.25">
      <c r="A315" s="26" t="s">
        <v>790</v>
      </c>
      <c r="B315" s="17">
        <v>903</v>
      </c>
      <c r="C315" s="21" t="s">
        <v>362</v>
      </c>
      <c r="D315" s="21" t="s">
        <v>181</v>
      </c>
      <c r="E315" s="21" t="s">
        <v>791</v>
      </c>
      <c r="F315" s="21"/>
      <c r="G315" s="28">
        <f>G316</f>
        <v>0.4</v>
      </c>
      <c r="H315" s="221"/>
    </row>
    <row r="316" spans="1:9" ht="47.25" x14ac:dyDescent="0.25">
      <c r="A316" s="26" t="s">
        <v>335</v>
      </c>
      <c r="B316" s="17">
        <v>903</v>
      </c>
      <c r="C316" s="21" t="s">
        <v>362</v>
      </c>
      <c r="D316" s="21" t="s">
        <v>181</v>
      </c>
      <c r="E316" s="21" t="s">
        <v>791</v>
      </c>
      <c r="F316" s="21" t="s">
        <v>336</v>
      </c>
      <c r="G316" s="28">
        <f>G317</f>
        <v>0.4</v>
      </c>
      <c r="H316" s="221"/>
    </row>
    <row r="317" spans="1:9" ht="15.75" x14ac:dyDescent="0.25">
      <c r="A317" s="26" t="s">
        <v>337</v>
      </c>
      <c r="B317" s="17">
        <v>903</v>
      </c>
      <c r="C317" s="21" t="s">
        <v>362</v>
      </c>
      <c r="D317" s="21" t="s">
        <v>181</v>
      </c>
      <c r="E317" s="21" t="s">
        <v>791</v>
      </c>
      <c r="F317" s="21" t="s">
        <v>338</v>
      </c>
      <c r="G317" s="28">
        <v>0.4</v>
      </c>
      <c r="H317" s="132"/>
    </row>
    <row r="318" spans="1:9" ht="47.25" hidden="1" x14ac:dyDescent="0.25">
      <c r="A318" s="26" t="s">
        <v>339</v>
      </c>
      <c r="B318" s="17">
        <v>903</v>
      </c>
      <c r="C318" s="21" t="s">
        <v>362</v>
      </c>
      <c r="D318" s="21" t="s">
        <v>181</v>
      </c>
      <c r="E318" s="21" t="s">
        <v>380</v>
      </c>
      <c r="F318" s="21"/>
      <c r="G318" s="27">
        <f t="shared" ref="G318:G319" si="41">G319</f>
        <v>0</v>
      </c>
      <c r="H318" s="221"/>
    </row>
    <row r="319" spans="1:9" ht="47.25" hidden="1" x14ac:dyDescent="0.25">
      <c r="A319" s="26" t="s">
        <v>335</v>
      </c>
      <c r="B319" s="17">
        <v>903</v>
      </c>
      <c r="C319" s="21" t="s">
        <v>362</v>
      </c>
      <c r="D319" s="21" t="s">
        <v>181</v>
      </c>
      <c r="E319" s="21" t="s">
        <v>380</v>
      </c>
      <c r="F319" s="21" t="s">
        <v>336</v>
      </c>
      <c r="G319" s="27">
        <f t="shared" si="41"/>
        <v>0</v>
      </c>
      <c r="H319" s="221"/>
    </row>
    <row r="320" spans="1:9" ht="15.75" hidden="1" x14ac:dyDescent="0.25">
      <c r="A320" s="26" t="s">
        <v>337</v>
      </c>
      <c r="B320" s="17">
        <v>903</v>
      </c>
      <c r="C320" s="21" t="s">
        <v>362</v>
      </c>
      <c r="D320" s="21" t="s">
        <v>181</v>
      </c>
      <c r="E320" s="21" t="s">
        <v>380</v>
      </c>
      <c r="F320" s="21" t="s">
        <v>338</v>
      </c>
      <c r="G320" s="27">
        <v>0</v>
      </c>
      <c r="H320" s="221"/>
    </row>
    <row r="321" spans="1:8" ht="47.25" hidden="1" x14ac:dyDescent="0.25">
      <c r="A321" s="26" t="s">
        <v>341</v>
      </c>
      <c r="B321" s="17">
        <v>903</v>
      </c>
      <c r="C321" s="21" t="s">
        <v>362</v>
      </c>
      <c r="D321" s="21" t="s">
        <v>181</v>
      </c>
      <c r="E321" s="21" t="s">
        <v>381</v>
      </c>
      <c r="F321" s="21"/>
      <c r="G321" s="27">
        <f t="shared" ref="G321:G322" si="42">G322</f>
        <v>0</v>
      </c>
      <c r="H321" s="221"/>
    </row>
    <row r="322" spans="1:8" ht="47.25" hidden="1" x14ac:dyDescent="0.25">
      <c r="A322" s="26" t="s">
        <v>335</v>
      </c>
      <c r="B322" s="17">
        <v>903</v>
      </c>
      <c r="C322" s="21" t="s">
        <v>362</v>
      </c>
      <c r="D322" s="21" t="s">
        <v>181</v>
      </c>
      <c r="E322" s="21" t="s">
        <v>381</v>
      </c>
      <c r="F322" s="21" t="s">
        <v>336</v>
      </c>
      <c r="G322" s="27">
        <f t="shared" si="42"/>
        <v>0</v>
      </c>
      <c r="H322" s="221"/>
    </row>
    <row r="323" spans="1:8" ht="15.75" hidden="1" x14ac:dyDescent="0.25">
      <c r="A323" s="26" t="s">
        <v>337</v>
      </c>
      <c r="B323" s="17">
        <v>903</v>
      </c>
      <c r="C323" s="21" t="s">
        <v>362</v>
      </c>
      <c r="D323" s="21" t="s">
        <v>181</v>
      </c>
      <c r="E323" s="21" t="s">
        <v>381</v>
      </c>
      <c r="F323" s="21" t="s">
        <v>338</v>
      </c>
      <c r="G323" s="27">
        <v>0</v>
      </c>
      <c r="H323" s="221"/>
    </row>
    <row r="324" spans="1:8" ht="31.5" hidden="1" x14ac:dyDescent="0.25">
      <c r="A324" s="26" t="s">
        <v>343</v>
      </c>
      <c r="B324" s="17">
        <v>903</v>
      </c>
      <c r="C324" s="21" t="s">
        <v>362</v>
      </c>
      <c r="D324" s="21" t="s">
        <v>181</v>
      </c>
      <c r="E324" s="21" t="s">
        <v>382</v>
      </c>
      <c r="F324" s="21"/>
      <c r="G324" s="27">
        <f t="shared" ref="G324:G325" si="43">G325</f>
        <v>0</v>
      </c>
      <c r="H324" s="221"/>
    </row>
    <row r="325" spans="1:8" ht="47.25" hidden="1" x14ac:dyDescent="0.25">
      <c r="A325" s="26" t="s">
        <v>335</v>
      </c>
      <c r="B325" s="17">
        <v>903</v>
      </c>
      <c r="C325" s="21" t="s">
        <v>362</v>
      </c>
      <c r="D325" s="21" t="s">
        <v>181</v>
      </c>
      <c r="E325" s="21" t="s">
        <v>382</v>
      </c>
      <c r="F325" s="21" t="s">
        <v>336</v>
      </c>
      <c r="G325" s="27">
        <f t="shared" si="43"/>
        <v>0</v>
      </c>
      <c r="H325" s="221"/>
    </row>
    <row r="326" spans="1:8" ht="15.75" hidden="1" x14ac:dyDescent="0.25">
      <c r="A326" s="26" t="s">
        <v>337</v>
      </c>
      <c r="B326" s="17">
        <v>903</v>
      </c>
      <c r="C326" s="21" t="s">
        <v>362</v>
      </c>
      <c r="D326" s="21" t="s">
        <v>181</v>
      </c>
      <c r="E326" s="21" t="s">
        <v>382</v>
      </c>
      <c r="F326" s="21" t="s">
        <v>338</v>
      </c>
      <c r="G326" s="27">
        <v>0</v>
      </c>
      <c r="H326" s="221"/>
    </row>
    <row r="327" spans="1:8" ht="31.5" hidden="1" x14ac:dyDescent="0.25">
      <c r="A327" s="26" t="s">
        <v>347</v>
      </c>
      <c r="B327" s="17">
        <v>903</v>
      </c>
      <c r="C327" s="21" t="s">
        <v>362</v>
      </c>
      <c r="D327" s="21" t="s">
        <v>181</v>
      </c>
      <c r="E327" s="21" t="s">
        <v>383</v>
      </c>
      <c r="F327" s="21"/>
      <c r="G327" s="27">
        <f t="shared" ref="G327:G328" si="44">G328</f>
        <v>0</v>
      </c>
      <c r="H327" s="221"/>
    </row>
    <row r="328" spans="1:8" ht="47.25" hidden="1" x14ac:dyDescent="0.25">
      <c r="A328" s="26" t="s">
        <v>335</v>
      </c>
      <c r="B328" s="17">
        <v>903</v>
      </c>
      <c r="C328" s="21" t="s">
        <v>362</v>
      </c>
      <c r="D328" s="21" t="s">
        <v>181</v>
      </c>
      <c r="E328" s="21" t="s">
        <v>383</v>
      </c>
      <c r="F328" s="21" t="s">
        <v>336</v>
      </c>
      <c r="G328" s="27">
        <f t="shared" si="44"/>
        <v>0</v>
      </c>
      <c r="H328" s="221"/>
    </row>
    <row r="329" spans="1:8" ht="15.75" hidden="1" x14ac:dyDescent="0.25">
      <c r="A329" s="26" t="s">
        <v>337</v>
      </c>
      <c r="B329" s="17">
        <v>903</v>
      </c>
      <c r="C329" s="21" t="s">
        <v>362</v>
      </c>
      <c r="D329" s="21" t="s">
        <v>181</v>
      </c>
      <c r="E329" s="21" t="s">
        <v>383</v>
      </c>
      <c r="F329" s="21" t="s">
        <v>338</v>
      </c>
      <c r="G329" s="27">
        <v>0</v>
      </c>
      <c r="H329" s="221"/>
    </row>
    <row r="330" spans="1:8" ht="47.25" hidden="1" x14ac:dyDescent="0.25">
      <c r="A330" s="37" t="s">
        <v>384</v>
      </c>
      <c r="B330" s="17">
        <v>903</v>
      </c>
      <c r="C330" s="21" t="s">
        <v>362</v>
      </c>
      <c r="D330" s="21" t="s">
        <v>181</v>
      </c>
      <c r="E330" s="21" t="s">
        <v>385</v>
      </c>
      <c r="F330" s="21"/>
      <c r="G330" s="27">
        <f t="shared" ref="G330:G331" si="45">G331</f>
        <v>0</v>
      </c>
      <c r="H330" s="221"/>
    </row>
    <row r="331" spans="1:8" ht="47.25" hidden="1" x14ac:dyDescent="0.25">
      <c r="A331" s="26" t="s">
        <v>335</v>
      </c>
      <c r="B331" s="17">
        <v>903</v>
      </c>
      <c r="C331" s="21" t="s">
        <v>362</v>
      </c>
      <c r="D331" s="21" t="s">
        <v>181</v>
      </c>
      <c r="E331" s="21" t="s">
        <v>385</v>
      </c>
      <c r="F331" s="21" t="s">
        <v>336</v>
      </c>
      <c r="G331" s="27">
        <f t="shared" si="45"/>
        <v>0</v>
      </c>
      <c r="H331" s="221"/>
    </row>
    <row r="332" spans="1:8" ht="15.75" hidden="1" x14ac:dyDescent="0.25">
      <c r="A332" s="26" t="s">
        <v>337</v>
      </c>
      <c r="B332" s="17">
        <v>903</v>
      </c>
      <c r="C332" s="21" t="s">
        <v>362</v>
      </c>
      <c r="D332" s="21" t="s">
        <v>181</v>
      </c>
      <c r="E332" s="21" t="s">
        <v>385</v>
      </c>
      <c r="F332" s="21" t="s">
        <v>338</v>
      </c>
      <c r="G332" s="27">
        <v>0</v>
      </c>
      <c r="H332" s="221"/>
    </row>
    <row r="333" spans="1:8" ht="78.75" x14ac:dyDescent="0.25">
      <c r="A333" s="31" t="s">
        <v>386</v>
      </c>
      <c r="B333" s="17">
        <v>903</v>
      </c>
      <c r="C333" s="21" t="s">
        <v>362</v>
      </c>
      <c r="D333" s="21" t="s">
        <v>181</v>
      </c>
      <c r="E333" s="42" t="s">
        <v>387</v>
      </c>
      <c r="F333" s="21"/>
      <c r="G333" s="27">
        <f>G334</f>
        <v>200</v>
      </c>
      <c r="H333" s="221"/>
    </row>
    <row r="334" spans="1:8" ht="47.25" x14ac:dyDescent="0.25">
      <c r="A334" s="26" t="s">
        <v>388</v>
      </c>
      <c r="B334" s="17">
        <v>903</v>
      </c>
      <c r="C334" s="21" t="s">
        <v>362</v>
      </c>
      <c r="D334" s="21" t="s">
        <v>181</v>
      </c>
      <c r="E334" s="42" t="s">
        <v>389</v>
      </c>
      <c r="F334" s="21"/>
      <c r="G334" s="27">
        <f t="shared" ref="G334" si="46">G335</f>
        <v>200</v>
      </c>
      <c r="H334" s="221"/>
    </row>
    <row r="335" spans="1:8" ht="47.25" x14ac:dyDescent="0.25">
      <c r="A335" s="26" t="s">
        <v>335</v>
      </c>
      <c r="B335" s="17">
        <v>903</v>
      </c>
      <c r="C335" s="21" t="s">
        <v>362</v>
      </c>
      <c r="D335" s="21" t="s">
        <v>181</v>
      </c>
      <c r="E335" s="42" t="s">
        <v>389</v>
      </c>
      <c r="F335" s="21" t="s">
        <v>336</v>
      </c>
      <c r="G335" s="27">
        <f>G336</f>
        <v>200</v>
      </c>
      <c r="H335" s="221"/>
    </row>
    <row r="336" spans="1:8" ht="15.75" x14ac:dyDescent="0.25">
      <c r="A336" s="26" t="s">
        <v>337</v>
      </c>
      <c r="B336" s="17">
        <v>903</v>
      </c>
      <c r="C336" s="21" t="s">
        <v>362</v>
      </c>
      <c r="D336" s="21" t="s">
        <v>181</v>
      </c>
      <c r="E336" s="42" t="s">
        <v>389</v>
      </c>
      <c r="F336" s="21" t="s">
        <v>338</v>
      </c>
      <c r="G336" s="27">
        <v>200</v>
      </c>
      <c r="H336" s="221"/>
    </row>
    <row r="337" spans="1:9" ht="15.75" x14ac:dyDescent="0.25">
      <c r="A337" s="26" t="s">
        <v>184</v>
      </c>
      <c r="B337" s="17">
        <v>903</v>
      </c>
      <c r="C337" s="21" t="s">
        <v>362</v>
      </c>
      <c r="D337" s="21" t="s">
        <v>181</v>
      </c>
      <c r="E337" s="21" t="s">
        <v>185</v>
      </c>
      <c r="F337" s="21"/>
      <c r="G337" s="27">
        <f>G338</f>
        <v>2137.9</v>
      </c>
      <c r="H337" s="221"/>
    </row>
    <row r="338" spans="1:9" ht="31.5" x14ac:dyDescent="0.25">
      <c r="A338" s="26" t="s">
        <v>248</v>
      </c>
      <c r="B338" s="17">
        <v>903</v>
      </c>
      <c r="C338" s="21" t="s">
        <v>362</v>
      </c>
      <c r="D338" s="21" t="s">
        <v>181</v>
      </c>
      <c r="E338" s="21" t="s">
        <v>249</v>
      </c>
      <c r="F338" s="21"/>
      <c r="G338" s="27">
        <f>G339+G344+G349+G352+G355</f>
        <v>2137.9</v>
      </c>
      <c r="H338" s="221"/>
    </row>
    <row r="339" spans="1:9" ht="31.5" hidden="1" x14ac:dyDescent="0.25">
      <c r="A339" s="38" t="s">
        <v>390</v>
      </c>
      <c r="B339" s="39">
        <v>903</v>
      </c>
      <c r="C339" s="21" t="s">
        <v>362</v>
      </c>
      <c r="D339" s="21" t="s">
        <v>181</v>
      </c>
      <c r="E339" s="21" t="s">
        <v>391</v>
      </c>
      <c r="F339" s="21"/>
      <c r="G339" s="27">
        <f t="shared" ref="G339" si="47">G340+G342</f>
        <v>0</v>
      </c>
      <c r="H339" s="221"/>
    </row>
    <row r="340" spans="1:9" ht="31.5" hidden="1" x14ac:dyDescent="0.25">
      <c r="A340" s="26" t="s">
        <v>194</v>
      </c>
      <c r="B340" s="39">
        <v>903</v>
      </c>
      <c r="C340" s="21" t="s">
        <v>362</v>
      </c>
      <c r="D340" s="21" t="s">
        <v>181</v>
      </c>
      <c r="E340" s="21" t="s">
        <v>391</v>
      </c>
      <c r="F340" s="21" t="s">
        <v>195</v>
      </c>
      <c r="G340" s="27">
        <f t="shared" ref="G340" si="48">G341</f>
        <v>0</v>
      </c>
      <c r="H340" s="221"/>
    </row>
    <row r="341" spans="1:9" ht="47.25" hidden="1" x14ac:dyDescent="0.25">
      <c r="A341" s="26" t="s">
        <v>196</v>
      </c>
      <c r="B341" s="17">
        <v>903</v>
      </c>
      <c r="C341" s="21" t="s">
        <v>362</v>
      </c>
      <c r="D341" s="21" t="s">
        <v>181</v>
      </c>
      <c r="E341" s="21" t="s">
        <v>391</v>
      </c>
      <c r="F341" s="21" t="s">
        <v>197</v>
      </c>
      <c r="G341" s="27">
        <f>1.4-1.4</f>
        <v>0</v>
      </c>
      <c r="H341" s="221"/>
      <c r="I341" s="141"/>
    </row>
    <row r="342" spans="1:9" ht="47.25" hidden="1" x14ac:dyDescent="0.25">
      <c r="A342" s="26" t="s">
        <v>335</v>
      </c>
      <c r="B342" s="17">
        <v>903</v>
      </c>
      <c r="C342" s="21" t="s">
        <v>362</v>
      </c>
      <c r="D342" s="21" t="s">
        <v>181</v>
      </c>
      <c r="E342" s="21" t="s">
        <v>391</v>
      </c>
      <c r="F342" s="21" t="s">
        <v>336</v>
      </c>
      <c r="G342" s="27">
        <f t="shared" ref="G342" si="49">G343</f>
        <v>0</v>
      </c>
      <c r="H342" s="221"/>
    </row>
    <row r="343" spans="1:9" ht="15.75" hidden="1" x14ac:dyDescent="0.25">
      <c r="A343" s="26" t="s">
        <v>337</v>
      </c>
      <c r="B343" s="17">
        <v>903</v>
      </c>
      <c r="C343" s="21" t="s">
        <v>362</v>
      </c>
      <c r="D343" s="21" t="s">
        <v>181</v>
      </c>
      <c r="E343" s="21" t="s">
        <v>391</v>
      </c>
      <c r="F343" s="21" t="s">
        <v>338</v>
      </c>
      <c r="G343" s="27">
        <f>2.9-2.9</f>
        <v>0</v>
      </c>
      <c r="H343" s="221"/>
      <c r="I343" s="141"/>
    </row>
    <row r="344" spans="1:9" ht="31.5" x14ac:dyDescent="0.25">
      <c r="A344" s="26" t="s">
        <v>392</v>
      </c>
      <c r="B344" s="17">
        <v>903</v>
      </c>
      <c r="C344" s="21" t="s">
        <v>362</v>
      </c>
      <c r="D344" s="21" t="s">
        <v>181</v>
      </c>
      <c r="E344" s="21" t="s">
        <v>393</v>
      </c>
      <c r="F344" s="21"/>
      <c r="G344" s="27">
        <f>G345+G347</f>
        <v>177.3</v>
      </c>
      <c r="H344" s="221"/>
    </row>
    <row r="345" spans="1:9" ht="31.5" hidden="1" x14ac:dyDescent="0.25">
      <c r="A345" s="26" t="s">
        <v>194</v>
      </c>
      <c r="B345" s="17">
        <v>903</v>
      </c>
      <c r="C345" s="21" t="s">
        <v>362</v>
      </c>
      <c r="D345" s="21" t="s">
        <v>181</v>
      </c>
      <c r="E345" s="21" t="s">
        <v>393</v>
      </c>
      <c r="F345" s="21" t="s">
        <v>195</v>
      </c>
      <c r="G345" s="27">
        <f t="shared" ref="G345" si="50">G346</f>
        <v>0</v>
      </c>
      <c r="H345" s="221"/>
    </row>
    <row r="346" spans="1:9" ht="47.25" hidden="1" x14ac:dyDescent="0.25">
      <c r="A346" s="26" t="s">
        <v>196</v>
      </c>
      <c r="B346" s="17">
        <v>903</v>
      </c>
      <c r="C346" s="21" t="s">
        <v>362</v>
      </c>
      <c r="D346" s="21" t="s">
        <v>181</v>
      </c>
      <c r="E346" s="21" t="s">
        <v>393</v>
      </c>
      <c r="F346" s="40">
        <v>240</v>
      </c>
      <c r="G346" s="27">
        <v>0</v>
      </c>
      <c r="H346" s="221"/>
    </row>
    <row r="347" spans="1:9" ht="47.25" x14ac:dyDescent="0.25">
      <c r="A347" s="26" t="s">
        <v>335</v>
      </c>
      <c r="B347" s="17">
        <v>903</v>
      </c>
      <c r="C347" s="21" t="s">
        <v>362</v>
      </c>
      <c r="D347" s="21" t="s">
        <v>181</v>
      </c>
      <c r="E347" s="21" t="s">
        <v>393</v>
      </c>
      <c r="F347" s="21" t="s">
        <v>336</v>
      </c>
      <c r="G347" s="27">
        <f t="shared" ref="G347" si="51">G348</f>
        <v>177.3</v>
      </c>
      <c r="H347" s="221"/>
    </row>
    <row r="348" spans="1:9" ht="15.75" x14ac:dyDescent="0.25">
      <c r="A348" s="26" t="s">
        <v>337</v>
      </c>
      <c r="B348" s="17">
        <v>903</v>
      </c>
      <c r="C348" s="21" t="s">
        <v>362</v>
      </c>
      <c r="D348" s="21" t="s">
        <v>181</v>
      </c>
      <c r="E348" s="21" t="s">
        <v>393</v>
      </c>
      <c r="F348" s="21" t="s">
        <v>338</v>
      </c>
      <c r="G348" s="27">
        <f>274.5-97.2</f>
        <v>177.3</v>
      </c>
      <c r="H348" s="221"/>
      <c r="I348" s="141"/>
    </row>
    <row r="349" spans="1:9" ht="78.75" x14ac:dyDescent="0.25">
      <c r="A349" s="26" t="s">
        <v>394</v>
      </c>
      <c r="B349" s="17">
        <v>903</v>
      </c>
      <c r="C349" s="21" t="s">
        <v>362</v>
      </c>
      <c r="D349" s="21" t="s">
        <v>181</v>
      </c>
      <c r="E349" s="21" t="s">
        <v>395</v>
      </c>
      <c r="F349" s="21"/>
      <c r="G349" s="27">
        <f t="shared" ref="G349" si="52">G350</f>
        <v>263.3</v>
      </c>
      <c r="H349" s="221"/>
    </row>
    <row r="350" spans="1:9" ht="47.25" x14ac:dyDescent="0.25">
      <c r="A350" s="26" t="s">
        <v>335</v>
      </c>
      <c r="B350" s="17">
        <v>903</v>
      </c>
      <c r="C350" s="21" t="s">
        <v>362</v>
      </c>
      <c r="D350" s="21" t="s">
        <v>181</v>
      </c>
      <c r="E350" s="21" t="s">
        <v>395</v>
      </c>
      <c r="F350" s="21" t="s">
        <v>336</v>
      </c>
      <c r="G350" s="27">
        <f>G351</f>
        <v>263.3</v>
      </c>
      <c r="H350" s="221"/>
    </row>
    <row r="351" spans="1:9" ht="15.75" x14ac:dyDescent="0.25">
      <c r="A351" s="26" t="s">
        <v>337</v>
      </c>
      <c r="B351" s="17">
        <v>903</v>
      </c>
      <c r="C351" s="21" t="s">
        <v>362</v>
      </c>
      <c r="D351" s="21" t="s">
        <v>181</v>
      </c>
      <c r="E351" s="21" t="s">
        <v>395</v>
      </c>
      <c r="F351" s="21" t="s">
        <v>338</v>
      </c>
      <c r="G351" s="27">
        <f>247.6+15.7</f>
        <v>263.3</v>
      </c>
      <c r="H351" s="221"/>
      <c r="I351" s="141"/>
    </row>
    <row r="352" spans="1:9" ht="110.25" x14ac:dyDescent="0.25">
      <c r="A352" s="33" t="s">
        <v>356</v>
      </c>
      <c r="B352" s="17">
        <v>903</v>
      </c>
      <c r="C352" s="21" t="s">
        <v>362</v>
      </c>
      <c r="D352" s="21" t="s">
        <v>181</v>
      </c>
      <c r="E352" s="21" t="s">
        <v>357</v>
      </c>
      <c r="F352" s="21"/>
      <c r="G352" s="27">
        <f t="shared" ref="G352" si="53">G353</f>
        <v>1693.3000000000002</v>
      </c>
      <c r="H352" s="221"/>
    </row>
    <row r="353" spans="1:9" ht="47.25" x14ac:dyDescent="0.25">
      <c r="A353" s="26" t="s">
        <v>335</v>
      </c>
      <c r="B353" s="17">
        <v>903</v>
      </c>
      <c r="C353" s="21" t="s">
        <v>362</v>
      </c>
      <c r="D353" s="21" t="s">
        <v>181</v>
      </c>
      <c r="E353" s="21" t="s">
        <v>357</v>
      </c>
      <c r="F353" s="21" t="s">
        <v>336</v>
      </c>
      <c r="G353" s="27">
        <f>G354</f>
        <v>1693.3000000000002</v>
      </c>
      <c r="H353" s="221"/>
    </row>
    <row r="354" spans="1:9" ht="15.75" x14ac:dyDescent="0.25">
      <c r="A354" s="26" t="s">
        <v>337</v>
      </c>
      <c r="B354" s="17">
        <v>903</v>
      </c>
      <c r="C354" s="21" t="s">
        <v>362</v>
      </c>
      <c r="D354" s="21" t="s">
        <v>181</v>
      </c>
      <c r="E354" s="21" t="s">
        <v>357</v>
      </c>
      <c r="F354" s="21" t="s">
        <v>338</v>
      </c>
      <c r="G354" s="27">
        <f>1929.4-236.1</f>
        <v>1693.3000000000002</v>
      </c>
      <c r="H354" s="221"/>
    </row>
    <row r="355" spans="1:9" ht="15.75" x14ac:dyDescent="0.25">
      <c r="A355" s="33" t="s">
        <v>792</v>
      </c>
      <c r="B355" s="17">
        <v>903</v>
      </c>
      <c r="C355" s="21" t="s">
        <v>362</v>
      </c>
      <c r="D355" s="21" t="s">
        <v>181</v>
      </c>
      <c r="E355" s="21" t="s">
        <v>793</v>
      </c>
      <c r="F355" s="21"/>
      <c r="G355" s="27">
        <f>G356</f>
        <v>4</v>
      </c>
      <c r="H355" s="221"/>
    </row>
    <row r="356" spans="1:9" ht="47.25" x14ac:dyDescent="0.25">
      <c r="A356" s="26" t="s">
        <v>335</v>
      </c>
      <c r="B356" s="17">
        <v>903</v>
      </c>
      <c r="C356" s="21" t="s">
        <v>362</v>
      </c>
      <c r="D356" s="21" t="s">
        <v>181</v>
      </c>
      <c r="E356" s="21" t="s">
        <v>793</v>
      </c>
      <c r="F356" s="21" t="s">
        <v>336</v>
      </c>
      <c r="G356" s="27">
        <f>G357</f>
        <v>4</v>
      </c>
      <c r="H356" s="221"/>
    </row>
    <row r="357" spans="1:9" ht="15.75" x14ac:dyDescent="0.25">
      <c r="A357" s="26" t="s">
        <v>337</v>
      </c>
      <c r="B357" s="17">
        <v>903</v>
      </c>
      <c r="C357" s="21" t="s">
        <v>362</v>
      </c>
      <c r="D357" s="21" t="s">
        <v>181</v>
      </c>
      <c r="E357" s="21" t="s">
        <v>793</v>
      </c>
      <c r="F357" s="21" t="s">
        <v>338</v>
      </c>
      <c r="G357" s="27">
        <v>4</v>
      </c>
      <c r="H357" s="132"/>
    </row>
    <row r="358" spans="1:9" ht="31.5" x14ac:dyDescent="0.25">
      <c r="A358" s="24" t="s">
        <v>396</v>
      </c>
      <c r="B358" s="20">
        <v>903</v>
      </c>
      <c r="C358" s="25" t="s">
        <v>362</v>
      </c>
      <c r="D358" s="25" t="s">
        <v>213</v>
      </c>
      <c r="E358" s="25"/>
      <c r="F358" s="25"/>
      <c r="G358" s="22">
        <f>G359+G373+G369</f>
        <v>17278.8</v>
      </c>
      <c r="H358" s="221"/>
    </row>
    <row r="359" spans="1:9" ht="47.25" x14ac:dyDescent="0.25">
      <c r="A359" s="26" t="s">
        <v>397</v>
      </c>
      <c r="B359" s="17">
        <v>903</v>
      </c>
      <c r="C359" s="21" t="s">
        <v>362</v>
      </c>
      <c r="D359" s="21" t="s">
        <v>213</v>
      </c>
      <c r="E359" s="21" t="s">
        <v>398</v>
      </c>
      <c r="F359" s="21"/>
      <c r="G359" s="27">
        <f>G360+G363+G366</f>
        <v>125</v>
      </c>
      <c r="H359" s="221"/>
      <c r="I359" s="141"/>
    </row>
    <row r="360" spans="1:9" ht="31.5" hidden="1" x14ac:dyDescent="0.25">
      <c r="A360" s="26" t="s">
        <v>399</v>
      </c>
      <c r="B360" s="17">
        <v>903</v>
      </c>
      <c r="C360" s="21" t="s">
        <v>362</v>
      </c>
      <c r="D360" s="21" t="s">
        <v>213</v>
      </c>
      <c r="E360" s="21" t="s">
        <v>400</v>
      </c>
      <c r="F360" s="21"/>
      <c r="G360" s="27">
        <f>G361</f>
        <v>0</v>
      </c>
      <c r="H360" s="221"/>
    </row>
    <row r="361" spans="1:9" ht="31.5" hidden="1" x14ac:dyDescent="0.25">
      <c r="A361" s="26" t="s">
        <v>194</v>
      </c>
      <c r="B361" s="17">
        <v>903</v>
      </c>
      <c r="C361" s="21" t="s">
        <v>362</v>
      </c>
      <c r="D361" s="21" t="s">
        <v>213</v>
      </c>
      <c r="E361" s="21" t="s">
        <v>400</v>
      </c>
      <c r="F361" s="21" t="s">
        <v>195</v>
      </c>
      <c r="G361" s="27">
        <f>G362</f>
        <v>0</v>
      </c>
      <c r="H361" s="221"/>
    </row>
    <row r="362" spans="1:9" ht="47.25" hidden="1" x14ac:dyDescent="0.25">
      <c r="A362" s="26" t="s">
        <v>196</v>
      </c>
      <c r="B362" s="17">
        <v>903</v>
      </c>
      <c r="C362" s="21" t="s">
        <v>362</v>
      </c>
      <c r="D362" s="21" t="s">
        <v>213</v>
      </c>
      <c r="E362" s="21" t="s">
        <v>400</v>
      </c>
      <c r="F362" s="21" t="s">
        <v>197</v>
      </c>
      <c r="G362" s="27">
        <v>0</v>
      </c>
      <c r="H362" s="221"/>
    </row>
    <row r="363" spans="1:9" ht="31.5" x14ac:dyDescent="0.25">
      <c r="A363" s="26" t="s">
        <v>401</v>
      </c>
      <c r="B363" s="17">
        <v>903</v>
      </c>
      <c r="C363" s="21" t="s">
        <v>362</v>
      </c>
      <c r="D363" s="21" t="s">
        <v>213</v>
      </c>
      <c r="E363" s="21" t="s">
        <v>402</v>
      </c>
      <c r="F363" s="21"/>
      <c r="G363" s="27">
        <f>G364</f>
        <v>20</v>
      </c>
      <c r="H363" s="221"/>
    </row>
    <row r="364" spans="1:9" ht="31.5" x14ac:dyDescent="0.25">
      <c r="A364" s="26" t="s">
        <v>194</v>
      </c>
      <c r="B364" s="17">
        <v>903</v>
      </c>
      <c r="C364" s="21" t="s">
        <v>362</v>
      </c>
      <c r="D364" s="21" t="s">
        <v>213</v>
      </c>
      <c r="E364" s="21" t="s">
        <v>402</v>
      </c>
      <c r="F364" s="21" t="s">
        <v>195</v>
      </c>
      <c r="G364" s="27">
        <f>G365</f>
        <v>20</v>
      </c>
      <c r="H364" s="221"/>
    </row>
    <row r="365" spans="1:9" ht="47.25" x14ac:dyDescent="0.25">
      <c r="A365" s="26" t="s">
        <v>196</v>
      </c>
      <c r="B365" s="17">
        <v>903</v>
      </c>
      <c r="C365" s="21" t="s">
        <v>362</v>
      </c>
      <c r="D365" s="21" t="s">
        <v>213</v>
      </c>
      <c r="E365" s="21" t="s">
        <v>402</v>
      </c>
      <c r="F365" s="21" t="s">
        <v>197</v>
      </c>
      <c r="G365" s="27">
        <v>20</v>
      </c>
      <c r="H365" s="221"/>
    </row>
    <row r="366" spans="1:9" ht="63" x14ac:dyDescent="0.25">
      <c r="A366" s="26" t="s">
        <v>844</v>
      </c>
      <c r="B366" s="17">
        <v>903</v>
      </c>
      <c r="C366" s="21" t="s">
        <v>362</v>
      </c>
      <c r="D366" s="21" t="s">
        <v>213</v>
      </c>
      <c r="E366" s="21" t="s">
        <v>787</v>
      </c>
      <c r="F366" s="21"/>
      <c r="G366" s="27">
        <f>G367</f>
        <v>105</v>
      </c>
      <c r="H366" s="221"/>
    </row>
    <row r="367" spans="1:9" ht="39.75" customHeight="1" x14ac:dyDescent="0.25">
      <c r="A367" s="26" t="s">
        <v>194</v>
      </c>
      <c r="B367" s="17">
        <v>903</v>
      </c>
      <c r="C367" s="21" t="s">
        <v>362</v>
      </c>
      <c r="D367" s="21" t="s">
        <v>213</v>
      </c>
      <c r="E367" s="21" t="s">
        <v>787</v>
      </c>
      <c r="F367" s="21" t="s">
        <v>195</v>
      </c>
      <c r="G367" s="27">
        <f>G368</f>
        <v>105</v>
      </c>
      <c r="H367" s="221"/>
    </row>
    <row r="368" spans="1:9" ht="47.25" x14ac:dyDescent="0.25">
      <c r="A368" s="26" t="s">
        <v>196</v>
      </c>
      <c r="B368" s="17">
        <v>903</v>
      </c>
      <c r="C368" s="21" t="s">
        <v>362</v>
      </c>
      <c r="D368" s="21" t="s">
        <v>213</v>
      </c>
      <c r="E368" s="21" t="s">
        <v>787</v>
      </c>
      <c r="F368" s="21" t="s">
        <v>197</v>
      </c>
      <c r="G368" s="27">
        <f>55+50</f>
        <v>105</v>
      </c>
      <c r="H368" s="132"/>
      <c r="I368" s="152"/>
    </row>
    <row r="369" spans="1:11" ht="63" x14ac:dyDescent="0.25">
      <c r="A369" s="31" t="s">
        <v>843</v>
      </c>
      <c r="B369" s="17">
        <v>903</v>
      </c>
      <c r="C369" s="21" t="s">
        <v>362</v>
      </c>
      <c r="D369" s="21" t="s">
        <v>213</v>
      </c>
      <c r="E369" s="21" t="s">
        <v>841</v>
      </c>
      <c r="F369" s="21"/>
      <c r="G369" s="27">
        <f>G370</f>
        <v>5</v>
      </c>
      <c r="H369" s="221"/>
    </row>
    <row r="370" spans="1:11" ht="31.5" x14ac:dyDescent="0.25">
      <c r="A370" s="26" t="s">
        <v>432</v>
      </c>
      <c r="B370" s="17">
        <v>903</v>
      </c>
      <c r="C370" s="21" t="s">
        <v>362</v>
      </c>
      <c r="D370" s="21" t="s">
        <v>213</v>
      </c>
      <c r="E370" s="21" t="s">
        <v>849</v>
      </c>
      <c r="F370" s="21"/>
      <c r="G370" s="27">
        <f>G371</f>
        <v>5</v>
      </c>
      <c r="H370" s="221"/>
    </row>
    <row r="371" spans="1:11" ht="31.5" x14ac:dyDescent="0.25">
      <c r="A371" s="26" t="s">
        <v>194</v>
      </c>
      <c r="B371" s="17">
        <v>903</v>
      </c>
      <c r="C371" s="21" t="s">
        <v>362</v>
      </c>
      <c r="D371" s="21" t="s">
        <v>213</v>
      </c>
      <c r="E371" s="21" t="s">
        <v>849</v>
      </c>
      <c r="F371" s="21" t="s">
        <v>195</v>
      </c>
      <c r="G371" s="27">
        <f>G372</f>
        <v>5</v>
      </c>
      <c r="H371" s="221"/>
    </row>
    <row r="372" spans="1:11" ht="47.25" x14ac:dyDescent="0.25">
      <c r="A372" s="26" t="s">
        <v>196</v>
      </c>
      <c r="B372" s="17">
        <v>903</v>
      </c>
      <c r="C372" s="21" t="s">
        <v>362</v>
      </c>
      <c r="D372" s="21" t="s">
        <v>213</v>
      </c>
      <c r="E372" s="21" t="s">
        <v>849</v>
      </c>
      <c r="F372" s="21" t="s">
        <v>197</v>
      </c>
      <c r="G372" s="27">
        <v>5</v>
      </c>
      <c r="H372" s="132"/>
      <c r="I372" s="152"/>
    </row>
    <row r="373" spans="1:11" ht="15.75" x14ac:dyDescent="0.25">
      <c r="A373" s="26" t="s">
        <v>184</v>
      </c>
      <c r="B373" s="17">
        <v>903</v>
      </c>
      <c r="C373" s="21" t="s">
        <v>362</v>
      </c>
      <c r="D373" s="21" t="s">
        <v>213</v>
      </c>
      <c r="E373" s="21" t="s">
        <v>185</v>
      </c>
      <c r="F373" s="21"/>
      <c r="G373" s="27">
        <f t="shared" ref="G373" si="54">G374+G380</f>
        <v>17148.8</v>
      </c>
      <c r="H373" s="221"/>
    </row>
    <row r="374" spans="1:11" ht="31.5" x14ac:dyDescent="0.25">
      <c r="A374" s="26" t="s">
        <v>186</v>
      </c>
      <c r="B374" s="17">
        <v>903</v>
      </c>
      <c r="C374" s="21" t="s">
        <v>362</v>
      </c>
      <c r="D374" s="21" t="s">
        <v>213</v>
      </c>
      <c r="E374" s="21" t="s">
        <v>187</v>
      </c>
      <c r="F374" s="21"/>
      <c r="G374" s="27">
        <f>G375</f>
        <v>6754.9</v>
      </c>
      <c r="H374" s="221"/>
    </row>
    <row r="375" spans="1:11" ht="47.25" x14ac:dyDescent="0.25">
      <c r="A375" s="26" t="s">
        <v>188</v>
      </c>
      <c r="B375" s="17">
        <v>903</v>
      </c>
      <c r="C375" s="21" t="s">
        <v>362</v>
      </c>
      <c r="D375" s="21" t="s">
        <v>213</v>
      </c>
      <c r="E375" s="21" t="s">
        <v>189</v>
      </c>
      <c r="F375" s="21"/>
      <c r="G375" s="27">
        <f t="shared" ref="G375" si="55">G376+G378</f>
        <v>6754.9</v>
      </c>
      <c r="H375" s="221"/>
    </row>
    <row r="376" spans="1:11" ht="94.5" x14ac:dyDescent="0.25">
      <c r="A376" s="26" t="s">
        <v>190</v>
      </c>
      <c r="B376" s="17">
        <v>903</v>
      </c>
      <c r="C376" s="21" t="s">
        <v>362</v>
      </c>
      <c r="D376" s="21" t="s">
        <v>213</v>
      </c>
      <c r="E376" s="21" t="s">
        <v>189</v>
      </c>
      <c r="F376" s="21" t="s">
        <v>191</v>
      </c>
      <c r="G376" s="27">
        <f>G377</f>
        <v>6754.9</v>
      </c>
      <c r="H376" s="221"/>
    </row>
    <row r="377" spans="1:11" ht="31.5" x14ac:dyDescent="0.25">
      <c r="A377" s="26" t="s">
        <v>192</v>
      </c>
      <c r="B377" s="17">
        <v>903</v>
      </c>
      <c r="C377" s="21" t="s">
        <v>362</v>
      </c>
      <c r="D377" s="21" t="s">
        <v>213</v>
      </c>
      <c r="E377" s="21" t="s">
        <v>189</v>
      </c>
      <c r="F377" s="21" t="s">
        <v>193</v>
      </c>
      <c r="G377" s="28">
        <v>6754.9</v>
      </c>
      <c r="H377" s="221"/>
    </row>
    <row r="378" spans="1:11" ht="31.5" hidden="1" x14ac:dyDescent="0.25">
      <c r="A378" s="26" t="s">
        <v>194</v>
      </c>
      <c r="B378" s="17">
        <v>903</v>
      </c>
      <c r="C378" s="21" t="s">
        <v>362</v>
      </c>
      <c r="D378" s="21" t="s">
        <v>213</v>
      </c>
      <c r="E378" s="21" t="s">
        <v>189</v>
      </c>
      <c r="F378" s="21" t="s">
        <v>195</v>
      </c>
      <c r="G378" s="27">
        <f t="shared" ref="G378" si="56">G379</f>
        <v>0</v>
      </c>
      <c r="H378" s="221"/>
    </row>
    <row r="379" spans="1:11" ht="47.25" hidden="1" x14ac:dyDescent="0.25">
      <c r="A379" s="26" t="s">
        <v>196</v>
      </c>
      <c r="B379" s="17">
        <v>903</v>
      </c>
      <c r="C379" s="21" t="s">
        <v>362</v>
      </c>
      <c r="D379" s="21" t="s">
        <v>213</v>
      </c>
      <c r="E379" s="21" t="s">
        <v>189</v>
      </c>
      <c r="F379" s="21" t="s">
        <v>197</v>
      </c>
      <c r="G379" s="27"/>
      <c r="H379" s="221"/>
    </row>
    <row r="380" spans="1:11" ht="15.75" x14ac:dyDescent="0.25">
      <c r="A380" s="26" t="s">
        <v>204</v>
      </c>
      <c r="B380" s="17">
        <v>903</v>
      </c>
      <c r="C380" s="21" t="s">
        <v>362</v>
      </c>
      <c r="D380" s="21" t="s">
        <v>213</v>
      </c>
      <c r="E380" s="21" t="s">
        <v>205</v>
      </c>
      <c r="F380" s="21"/>
      <c r="G380" s="27">
        <f>G381</f>
        <v>10393.9</v>
      </c>
      <c r="H380" s="221"/>
    </row>
    <row r="381" spans="1:11" ht="31.5" x14ac:dyDescent="0.25">
      <c r="A381" s="26" t="s">
        <v>403</v>
      </c>
      <c r="B381" s="17">
        <v>903</v>
      </c>
      <c r="C381" s="21" t="s">
        <v>362</v>
      </c>
      <c r="D381" s="21" t="s">
        <v>213</v>
      </c>
      <c r="E381" s="21" t="s">
        <v>404</v>
      </c>
      <c r="F381" s="21"/>
      <c r="G381" s="27">
        <f t="shared" ref="G381" si="57">G382+G384+G386</f>
        <v>10393.9</v>
      </c>
      <c r="H381" s="221"/>
      <c r="J381" s="278"/>
      <c r="K381" s="278"/>
    </row>
    <row r="382" spans="1:11" ht="94.5" x14ac:dyDescent="0.25">
      <c r="A382" s="26" t="s">
        <v>190</v>
      </c>
      <c r="B382" s="17">
        <v>903</v>
      </c>
      <c r="C382" s="21" t="s">
        <v>362</v>
      </c>
      <c r="D382" s="21" t="s">
        <v>213</v>
      </c>
      <c r="E382" s="21" t="s">
        <v>404</v>
      </c>
      <c r="F382" s="21" t="s">
        <v>191</v>
      </c>
      <c r="G382" s="27">
        <f>G383</f>
        <v>8721.4</v>
      </c>
      <c r="H382" s="221"/>
      <c r="J382" s="278"/>
      <c r="K382" s="278"/>
    </row>
    <row r="383" spans="1:11" ht="31.5" x14ac:dyDescent="0.25">
      <c r="A383" s="26" t="s">
        <v>405</v>
      </c>
      <c r="B383" s="17">
        <v>903</v>
      </c>
      <c r="C383" s="21" t="s">
        <v>362</v>
      </c>
      <c r="D383" s="21" t="s">
        <v>213</v>
      </c>
      <c r="E383" s="21" t="s">
        <v>404</v>
      </c>
      <c r="F383" s="21" t="s">
        <v>272</v>
      </c>
      <c r="G383" s="28">
        <f>8596.3-84.9+210</f>
        <v>8721.4</v>
      </c>
      <c r="H383" s="132"/>
      <c r="I383" s="152"/>
      <c r="J383" s="278"/>
      <c r="K383" s="278"/>
    </row>
    <row r="384" spans="1:11" ht="31.5" x14ac:dyDescent="0.25">
      <c r="A384" s="26" t="s">
        <v>194</v>
      </c>
      <c r="B384" s="17">
        <v>903</v>
      </c>
      <c r="C384" s="21" t="s">
        <v>362</v>
      </c>
      <c r="D384" s="21" t="s">
        <v>213</v>
      </c>
      <c r="E384" s="21" t="s">
        <v>404</v>
      </c>
      <c r="F384" s="21" t="s">
        <v>195</v>
      </c>
      <c r="G384" s="27">
        <f>G385</f>
        <v>1652.5</v>
      </c>
      <c r="H384" s="221"/>
      <c r="J384" s="278"/>
      <c r="K384" s="278"/>
    </row>
    <row r="385" spans="1:11" ht="47.25" x14ac:dyDescent="0.25">
      <c r="A385" s="26" t="s">
        <v>196</v>
      </c>
      <c r="B385" s="17">
        <v>903</v>
      </c>
      <c r="C385" s="21" t="s">
        <v>362</v>
      </c>
      <c r="D385" s="21" t="s">
        <v>213</v>
      </c>
      <c r="E385" s="21" t="s">
        <v>404</v>
      </c>
      <c r="F385" s="21" t="s">
        <v>197</v>
      </c>
      <c r="G385" s="28">
        <f>1663.9+135.6-147</f>
        <v>1652.5</v>
      </c>
      <c r="H385" s="132"/>
      <c r="I385" s="153"/>
      <c r="J385" s="278"/>
      <c r="K385" s="278"/>
    </row>
    <row r="386" spans="1:11" ht="15.75" x14ac:dyDescent="0.25">
      <c r="A386" s="26" t="s">
        <v>198</v>
      </c>
      <c r="B386" s="17">
        <v>903</v>
      </c>
      <c r="C386" s="21" t="s">
        <v>362</v>
      </c>
      <c r="D386" s="21" t="s">
        <v>213</v>
      </c>
      <c r="E386" s="21" t="s">
        <v>404</v>
      </c>
      <c r="F386" s="21" t="s">
        <v>208</v>
      </c>
      <c r="G386" s="27">
        <f>G387</f>
        <v>20</v>
      </c>
      <c r="H386" s="221"/>
      <c r="J386" s="278"/>
      <c r="K386" s="278"/>
    </row>
    <row r="387" spans="1:11" ht="15.75" x14ac:dyDescent="0.25">
      <c r="A387" s="26" t="s">
        <v>633</v>
      </c>
      <c r="B387" s="17">
        <v>903</v>
      </c>
      <c r="C387" s="21" t="s">
        <v>362</v>
      </c>
      <c r="D387" s="21" t="s">
        <v>213</v>
      </c>
      <c r="E387" s="21" t="s">
        <v>404</v>
      </c>
      <c r="F387" s="21" t="s">
        <v>201</v>
      </c>
      <c r="G387" s="27">
        <v>20</v>
      </c>
      <c r="H387" s="221"/>
      <c r="J387" s="278"/>
      <c r="K387" s="278"/>
    </row>
    <row r="388" spans="1:11" ht="15.75" x14ac:dyDescent="0.25">
      <c r="A388" s="24" t="s">
        <v>306</v>
      </c>
      <c r="B388" s="20">
        <v>903</v>
      </c>
      <c r="C388" s="25" t="s">
        <v>307</v>
      </c>
      <c r="D388" s="25"/>
      <c r="E388" s="25"/>
      <c r="F388" s="25"/>
      <c r="G388" s="22">
        <f>G389</f>
        <v>4625</v>
      </c>
      <c r="H388" s="221"/>
    </row>
    <row r="389" spans="1:11" ht="15.75" x14ac:dyDescent="0.25">
      <c r="A389" s="24" t="s">
        <v>315</v>
      </c>
      <c r="B389" s="20">
        <v>903</v>
      </c>
      <c r="C389" s="25" t="s">
        <v>307</v>
      </c>
      <c r="D389" s="25" t="s">
        <v>278</v>
      </c>
      <c r="E389" s="25"/>
      <c r="F389" s="25"/>
      <c r="G389" s="22">
        <f t="shared" ref="G389" si="58">G390+G443</f>
        <v>4625</v>
      </c>
      <c r="H389" s="221"/>
    </row>
    <row r="390" spans="1:11" ht="47.25" x14ac:dyDescent="0.25">
      <c r="A390" s="26" t="s">
        <v>406</v>
      </c>
      <c r="B390" s="17">
        <v>903</v>
      </c>
      <c r="C390" s="21" t="s">
        <v>307</v>
      </c>
      <c r="D390" s="21" t="s">
        <v>278</v>
      </c>
      <c r="E390" s="21" t="s">
        <v>407</v>
      </c>
      <c r="F390" s="21"/>
      <c r="G390" s="27">
        <f>G391+G399+G403+G407+G413+G417+G421+G439</f>
        <v>3693</v>
      </c>
      <c r="H390" s="221"/>
    </row>
    <row r="391" spans="1:11" ht="31.5" x14ac:dyDescent="0.25">
      <c r="A391" s="26" t="s">
        <v>408</v>
      </c>
      <c r="B391" s="17">
        <v>903</v>
      </c>
      <c r="C391" s="21" t="s">
        <v>307</v>
      </c>
      <c r="D391" s="21" t="s">
        <v>278</v>
      </c>
      <c r="E391" s="21" t="s">
        <v>409</v>
      </c>
      <c r="F391" s="21"/>
      <c r="G391" s="27">
        <f>G392+G396</f>
        <v>935</v>
      </c>
      <c r="H391" s="221"/>
    </row>
    <row r="392" spans="1:11" ht="31.5" x14ac:dyDescent="0.25">
      <c r="A392" s="26" t="s">
        <v>194</v>
      </c>
      <c r="B392" s="17">
        <v>903</v>
      </c>
      <c r="C392" s="21" t="s">
        <v>307</v>
      </c>
      <c r="D392" s="21" t="s">
        <v>278</v>
      </c>
      <c r="E392" s="21" t="s">
        <v>410</v>
      </c>
      <c r="F392" s="21" t="s">
        <v>195</v>
      </c>
      <c r="G392" s="27">
        <f>G393</f>
        <v>666.4</v>
      </c>
      <c r="H392" s="221"/>
    </row>
    <row r="393" spans="1:11" ht="47.25" x14ac:dyDescent="0.25">
      <c r="A393" s="26" t="s">
        <v>196</v>
      </c>
      <c r="B393" s="17">
        <v>903</v>
      </c>
      <c r="C393" s="21" t="s">
        <v>307</v>
      </c>
      <c r="D393" s="21" t="s">
        <v>278</v>
      </c>
      <c r="E393" s="21" t="s">
        <v>410</v>
      </c>
      <c r="F393" s="21" t="s">
        <v>197</v>
      </c>
      <c r="G393" s="27">
        <f>669.4-3</f>
        <v>666.4</v>
      </c>
      <c r="H393" s="221"/>
    </row>
    <row r="394" spans="1:11" ht="31.5" hidden="1" x14ac:dyDescent="0.25">
      <c r="A394" s="26" t="s">
        <v>311</v>
      </c>
      <c r="B394" s="17">
        <v>903</v>
      </c>
      <c r="C394" s="21" t="s">
        <v>307</v>
      </c>
      <c r="D394" s="21" t="s">
        <v>278</v>
      </c>
      <c r="E394" s="21" t="s">
        <v>410</v>
      </c>
      <c r="F394" s="21" t="s">
        <v>312</v>
      </c>
      <c r="G394" s="27">
        <f t="shared" ref="G394" si="59">G395</f>
        <v>0</v>
      </c>
      <c r="H394" s="221"/>
    </row>
    <row r="395" spans="1:11" ht="31.5" hidden="1" x14ac:dyDescent="0.25">
      <c r="A395" s="26" t="s">
        <v>411</v>
      </c>
      <c r="B395" s="17">
        <v>903</v>
      </c>
      <c r="C395" s="21" t="s">
        <v>307</v>
      </c>
      <c r="D395" s="21" t="s">
        <v>278</v>
      </c>
      <c r="E395" s="21" t="s">
        <v>410</v>
      </c>
      <c r="F395" s="21" t="s">
        <v>412</v>
      </c>
      <c r="G395" s="27">
        <v>0</v>
      </c>
      <c r="H395" s="221"/>
    </row>
    <row r="396" spans="1:11" ht="31.5" x14ac:dyDescent="0.25">
      <c r="A396" s="26" t="s">
        <v>413</v>
      </c>
      <c r="B396" s="17">
        <v>903</v>
      </c>
      <c r="C396" s="21" t="s">
        <v>307</v>
      </c>
      <c r="D396" s="21" t="s">
        <v>278</v>
      </c>
      <c r="E396" s="21" t="s">
        <v>414</v>
      </c>
      <c r="F396" s="21"/>
      <c r="G396" s="27">
        <f>G397</f>
        <v>268.60000000000002</v>
      </c>
      <c r="H396" s="221"/>
    </row>
    <row r="397" spans="1:11" ht="47.25" x14ac:dyDescent="0.25">
      <c r="A397" s="26" t="s">
        <v>335</v>
      </c>
      <c r="B397" s="17">
        <v>903</v>
      </c>
      <c r="C397" s="21" t="s">
        <v>307</v>
      </c>
      <c r="D397" s="21" t="s">
        <v>278</v>
      </c>
      <c r="E397" s="21" t="s">
        <v>414</v>
      </c>
      <c r="F397" s="21" t="s">
        <v>336</v>
      </c>
      <c r="G397" s="27">
        <f>G398</f>
        <v>268.60000000000002</v>
      </c>
      <c r="H397" s="221"/>
    </row>
    <row r="398" spans="1:11" ht="15.75" x14ac:dyDescent="0.25">
      <c r="A398" s="26" t="s">
        <v>337</v>
      </c>
      <c r="B398" s="17">
        <v>903</v>
      </c>
      <c r="C398" s="21" t="s">
        <v>307</v>
      </c>
      <c r="D398" s="21" t="s">
        <v>278</v>
      </c>
      <c r="E398" s="21" t="s">
        <v>414</v>
      </c>
      <c r="F398" s="21" t="s">
        <v>338</v>
      </c>
      <c r="G398" s="27">
        <f>160.5+108.1</f>
        <v>268.60000000000002</v>
      </c>
      <c r="H398" s="132"/>
    </row>
    <row r="399" spans="1:11" ht="31.5" x14ac:dyDescent="0.25">
      <c r="A399" s="26" t="s">
        <v>415</v>
      </c>
      <c r="B399" s="17">
        <v>903</v>
      </c>
      <c r="C399" s="21" t="s">
        <v>307</v>
      </c>
      <c r="D399" s="21" t="s">
        <v>278</v>
      </c>
      <c r="E399" s="21" t="s">
        <v>416</v>
      </c>
      <c r="F399" s="21"/>
      <c r="G399" s="27">
        <f>G400</f>
        <v>63</v>
      </c>
      <c r="H399" s="221"/>
    </row>
    <row r="400" spans="1:11" ht="31.5" x14ac:dyDescent="0.25">
      <c r="A400" s="26" t="s">
        <v>220</v>
      </c>
      <c r="B400" s="17">
        <v>903</v>
      </c>
      <c r="C400" s="21" t="s">
        <v>307</v>
      </c>
      <c r="D400" s="21" t="s">
        <v>278</v>
      </c>
      <c r="E400" s="21" t="s">
        <v>417</v>
      </c>
      <c r="F400" s="21"/>
      <c r="G400" s="27">
        <f>G401</f>
        <v>63</v>
      </c>
      <c r="H400" s="221"/>
    </row>
    <row r="401" spans="1:8" ht="31.5" x14ac:dyDescent="0.25">
      <c r="A401" s="26" t="s">
        <v>311</v>
      </c>
      <c r="B401" s="17">
        <v>903</v>
      </c>
      <c r="C401" s="21" t="s">
        <v>307</v>
      </c>
      <c r="D401" s="21" t="s">
        <v>278</v>
      </c>
      <c r="E401" s="21" t="s">
        <v>417</v>
      </c>
      <c r="F401" s="21" t="s">
        <v>312</v>
      </c>
      <c r="G401" s="27">
        <f>G402</f>
        <v>63</v>
      </c>
      <c r="H401" s="221"/>
    </row>
    <row r="402" spans="1:8" ht="31.5" x14ac:dyDescent="0.25">
      <c r="A402" s="26" t="s">
        <v>313</v>
      </c>
      <c r="B402" s="17">
        <v>903</v>
      </c>
      <c r="C402" s="21" t="s">
        <v>307</v>
      </c>
      <c r="D402" s="21" t="s">
        <v>278</v>
      </c>
      <c r="E402" s="21" t="s">
        <v>417</v>
      </c>
      <c r="F402" s="21" t="s">
        <v>314</v>
      </c>
      <c r="G402" s="27">
        <f>60+3</f>
        <v>63</v>
      </c>
      <c r="H402" s="221"/>
    </row>
    <row r="403" spans="1:8" ht="31.5" x14ac:dyDescent="0.25">
      <c r="A403" s="26" t="s">
        <v>418</v>
      </c>
      <c r="B403" s="17">
        <v>903</v>
      </c>
      <c r="C403" s="17">
        <v>10</v>
      </c>
      <c r="D403" s="21" t="s">
        <v>278</v>
      </c>
      <c r="E403" s="21" t="s">
        <v>419</v>
      </c>
      <c r="F403" s="21"/>
      <c r="G403" s="27">
        <f t="shared" ref="G403:G405" si="60">G404</f>
        <v>420</v>
      </c>
      <c r="H403" s="221"/>
    </row>
    <row r="404" spans="1:8" ht="31.5" x14ac:dyDescent="0.25">
      <c r="A404" s="26" t="s">
        <v>220</v>
      </c>
      <c r="B404" s="17">
        <v>903</v>
      </c>
      <c r="C404" s="21" t="s">
        <v>307</v>
      </c>
      <c r="D404" s="21" t="s">
        <v>278</v>
      </c>
      <c r="E404" s="21" t="s">
        <v>420</v>
      </c>
      <c r="F404" s="21"/>
      <c r="G404" s="27">
        <f>G405</f>
        <v>420</v>
      </c>
      <c r="H404" s="221"/>
    </row>
    <row r="405" spans="1:8" ht="31.5" x14ac:dyDescent="0.25">
      <c r="A405" s="26" t="s">
        <v>311</v>
      </c>
      <c r="B405" s="17">
        <v>903</v>
      </c>
      <c r="C405" s="21" t="s">
        <v>307</v>
      </c>
      <c r="D405" s="21" t="s">
        <v>278</v>
      </c>
      <c r="E405" s="21" t="s">
        <v>420</v>
      </c>
      <c r="F405" s="21" t="s">
        <v>312</v>
      </c>
      <c r="G405" s="27">
        <f t="shared" si="60"/>
        <v>420</v>
      </c>
      <c r="H405" s="221"/>
    </row>
    <row r="406" spans="1:8" ht="31.5" x14ac:dyDescent="0.25">
      <c r="A406" s="26" t="s">
        <v>411</v>
      </c>
      <c r="B406" s="17">
        <v>903</v>
      </c>
      <c r="C406" s="21" t="s">
        <v>307</v>
      </c>
      <c r="D406" s="21" t="s">
        <v>278</v>
      </c>
      <c r="E406" s="21" t="s">
        <v>420</v>
      </c>
      <c r="F406" s="21" t="s">
        <v>412</v>
      </c>
      <c r="G406" s="27">
        <v>420</v>
      </c>
      <c r="H406" s="221"/>
    </row>
    <row r="407" spans="1:8" ht="15.75" x14ac:dyDescent="0.25">
      <c r="A407" s="26" t="s">
        <v>421</v>
      </c>
      <c r="B407" s="17">
        <v>903</v>
      </c>
      <c r="C407" s="17">
        <v>10</v>
      </c>
      <c r="D407" s="21" t="s">
        <v>278</v>
      </c>
      <c r="E407" s="21" t="s">
        <v>422</v>
      </c>
      <c r="F407" s="21"/>
      <c r="G407" s="27">
        <f>G408</f>
        <v>1595</v>
      </c>
      <c r="H407" s="221"/>
    </row>
    <row r="408" spans="1:8" ht="31.5" x14ac:dyDescent="0.25">
      <c r="A408" s="26" t="s">
        <v>220</v>
      </c>
      <c r="B408" s="17">
        <v>903</v>
      </c>
      <c r="C408" s="21" t="s">
        <v>307</v>
      </c>
      <c r="D408" s="21" t="s">
        <v>278</v>
      </c>
      <c r="E408" s="21" t="s">
        <v>423</v>
      </c>
      <c r="F408" s="21"/>
      <c r="G408" s="27">
        <f>G409+G411</f>
        <v>1595</v>
      </c>
      <c r="H408" s="221"/>
    </row>
    <row r="409" spans="1:8" ht="31.5" x14ac:dyDescent="0.25">
      <c r="A409" s="26" t="s">
        <v>194</v>
      </c>
      <c r="B409" s="17">
        <v>903</v>
      </c>
      <c r="C409" s="21" t="s">
        <v>307</v>
      </c>
      <c r="D409" s="21" t="s">
        <v>278</v>
      </c>
      <c r="E409" s="21" t="s">
        <v>423</v>
      </c>
      <c r="F409" s="21" t="s">
        <v>195</v>
      </c>
      <c r="G409" s="27">
        <f>G410</f>
        <v>547</v>
      </c>
      <c r="H409" s="221"/>
    </row>
    <row r="410" spans="1:8" ht="47.25" x14ac:dyDescent="0.25">
      <c r="A410" s="26" t="s">
        <v>196</v>
      </c>
      <c r="B410" s="17">
        <v>903</v>
      </c>
      <c r="C410" s="21" t="s">
        <v>307</v>
      </c>
      <c r="D410" s="21" t="s">
        <v>278</v>
      </c>
      <c r="E410" s="21" t="s">
        <v>423</v>
      </c>
      <c r="F410" s="21" t="s">
        <v>197</v>
      </c>
      <c r="G410" s="204">
        <f>552-50+45</f>
        <v>547</v>
      </c>
      <c r="H410" s="193" t="s">
        <v>894</v>
      </c>
    </row>
    <row r="411" spans="1:8" ht="31.5" x14ac:dyDescent="0.25">
      <c r="A411" s="26" t="s">
        <v>311</v>
      </c>
      <c r="B411" s="17">
        <v>903</v>
      </c>
      <c r="C411" s="21" t="s">
        <v>307</v>
      </c>
      <c r="D411" s="21" t="s">
        <v>278</v>
      </c>
      <c r="E411" s="21" t="s">
        <v>423</v>
      </c>
      <c r="F411" s="21" t="s">
        <v>312</v>
      </c>
      <c r="G411" s="27">
        <f>G412</f>
        <v>1048</v>
      </c>
      <c r="H411" s="221"/>
    </row>
    <row r="412" spans="1:8" ht="31.5" x14ac:dyDescent="0.25">
      <c r="A412" s="26" t="s">
        <v>411</v>
      </c>
      <c r="B412" s="17">
        <v>903</v>
      </c>
      <c r="C412" s="21" t="s">
        <v>307</v>
      </c>
      <c r="D412" s="21" t="s">
        <v>278</v>
      </c>
      <c r="E412" s="21" t="s">
        <v>423</v>
      </c>
      <c r="F412" s="21" t="s">
        <v>412</v>
      </c>
      <c r="G412" s="27">
        <v>1048</v>
      </c>
      <c r="H412" s="221"/>
    </row>
    <row r="413" spans="1:8" ht="47.25" x14ac:dyDescent="0.25">
      <c r="A413" s="26" t="s">
        <v>424</v>
      </c>
      <c r="B413" s="17">
        <v>903</v>
      </c>
      <c r="C413" s="21" t="s">
        <v>307</v>
      </c>
      <c r="D413" s="21" t="s">
        <v>278</v>
      </c>
      <c r="E413" s="21" t="s">
        <v>425</v>
      </c>
      <c r="F413" s="21"/>
      <c r="G413" s="27">
        <f>G414</f>
        <v>335</v>
      </c>
      <c r="H413" s="221"/>
    </row>
    <row r="414" spans="1:8" ht="31.5" x14ac:dyDescent="0.25">
      <c r="A414" s="26" t="s">
        <v>220</v>
      </c>
      <c r="B414" s="17">
        <v>903</v>
      </c>
      <c r="C414" s="21" t="s">
        <v>307</v>
      </c>
      <c r="D414" s="21" t="s">
        <v>278</v>
      </c>
      <c r="E414" s="21" t="s">
        <v>426</v>
      </c>
      <c r="F414" s="21"/>
      <c r="G414" s="27">
        <f>G415</f>
        <v>335</v>
      </c>
      <c r="H414" s="221"/>
    </row>
    <row r="415" spans="1:8" ht="31.5" x14ac:dyDescent="0.25">
      <c r="A415" s="26" t="s">
        <v>311</v>
      </c>
      <c r="B415" s="17">
        <v>903</v>
      </c>
      <c r="C415" s="21" t="s">
        <v>307</v>
      </c>
      <c r="D415" s="21" t="s">
        <v>278</v>
      </c>
      <c r="E415" s="21" t="s">
        <v>426</v>
      </c>
      <c r="F415" s="21" t="s">
        <v>312</v>
      </c>
      <c r="G415" s="27">
        <f>G416</f>
        <v>335</v>
      </c>
      <c r="H415" s="221"/>
    </row>
    <row r="416" spans="1:8" ht="31.5" x14ac:dyDescent="0.25">
      <c r="A416" s="26" t="s">
        <v>411</v>
      </c>
      <c r="B416" s="17">
        <v>903</v>
      </c>
      <c r="C416" s="21" t="s">
        <v>307</v>
      </c>
      <c r="D416" s="21" t="s">
        <v>278</v>
      </c>
      <c r="E416" s="21" t="s">
        <v>426</v>
      </c>
      <c r="F416" s="21" t="s">
        <v>412</v>
      </c>
      <c r="G416" s="27">
        <f>400-65</f>
        <v>335</v>
      </c>
      <c r="H416" s="221"/>
    </row>
    <row r="417" spans="1:8" ht="63" x14ac:dyDescent="0.25">
      <c r="A417" s="26" t="s">
        <v>427</v>
      </c>
      <c r="B417" s="17">
        <v>903</v>
      </c>
      <c r="C417" s="21" t="s">
        <v>307</v>
      </c>
      <c r="D417" s="21" t="s">
        <v>278</v>
      </c>
      <c r="E417" s="21" t="s">
        <v>428</v>
      </c>
      <c r="F417" s="21"/>
      <c r="G417" s="27">
        <f>G418</f>
        <v>210</v>
      </c>
      <c r="H417" s="221"/>
    </row>
    <row r="418" spans="1:8" ht="31.5" x14ac:dyDescent="0.25">
      <c r="A418" s="26" t="s">
        <v>220</v>
      </c>
      <c r="B418" s="17">
        <v>903</v>
      </c>
      <c r="C418" s="21" t="s">
        <v>307</v>
      </c>
      <c r="D418" s="21" t="s">
        <v>278</v>
      </c>
      <c r="E418" s="21" t="s">
        <v>429</v>
      </c>
      <c r="F418" s="21"/>
      <c r="G418" s="27">
        <f>G419</f>
        <v>210</v>
      </c>
      <c r="H418" s="221"/>
    </row>
    <row r="419" spans="1:8" ht="31.5" x14ac:dyDescent="0.25">
      <c r="A419" s="26" t="s">
        <v>194</v>
      </c>
      <c r="B419" s="17">
        <v>903</v>
      </c>
      <c r="C419" s="21" t="s">
        <v>307</v>
      </c>
      <c r="D419" s="21" t="s">
        <v>278</v>
      </c>
      <c r="E419" s="21" t="s">
        <v>429</v>
      </c>
      <c r="F419" s="21" t="s">
        <v>195</v>
      </c>
      <c r="G419" s="27">
        <f>G420</f>
        <v>210</v>
      </c>
      <c r="H419" s="221"/>
    </row>
    <row r="420" spans="1:8" ht="47.25" x14ac:dyDescent="0.25">
      <c r="A420" s="26" t="s">
        <v>196</v>
      </c>
      <c r="B420" s="17">
        <v>903</v>
      </c>
      <c r="C420" s="21" t="s">
        <v>307</v>
      </c>
      <c r="D420" s="21" t="s">
        <v>278</v>
      </c>
      <c r="E420" s="21" t="s">
        <v>429</v>
      </c>
      <c r="F420" s="21" t="s">
        <v>197</v>
      </c>
      <c r="G420" s="27">
        <f>150+60</f>
        <v>210</v>
      </c>
      <c r="H420" s="221"/>
    </row>
    <row r="421" spans="1:8" ht="63" x14ac:dyDescent="0.25">
      <c r="A421" s="26" t="s">
        <v>430</v>
      </c>
      <c r="B421" s="17">
        <v>903</v>
      </c>
      <c r="C421" s="21" t="s">
        <v>307</v>
      </c>
      <c r="D421" s="21" t="s">
        <v>278</v>
      </c>
      <c r="E421" s="21" t="s">
        <v>431</v>
      </c>
      <c r="F421" s="21"/>
      <c r="G421" s="27">
        <f t="shared" ref="G421" si="61">G422+G434+G428+G431</f>
        <v>30</v>
      </c>
      <c r="H421" s="221"/>
    </row>
    <row r="422" spans="1:8" ht="47.25" customHeight="1" x14ac:dyDescent="0.25">
      <c r="A422" s="26" t="s">
        <v>432</v>
      </c>
      <c r="B422" s="17">
        <v>903</v>
      </c>
      <c r="C422" s="21" t="s">
        <v>307</v>
      </c>
      <c r="D422" s="21" t="s">
        <v>278</v>
      </c>
      <c r="E422" s="21" t="s">
        <v>433</v>
      </c>
      <c r="F422" s="21"/>
      <c r="G422" s="27">
        <f>G423</f>
        <v>20</v>
      </c>
      <c r="H422" s="221"/>
    </row>
    <row r="423" spans="1:8" ht="47.25" x14ac:dyDescent="0.25">
      <c r="A423" s="26" t="s">
        <v>335</v>
      </c>
      <c r="B423" s="17">
        <v>903</v>
      </c>
      <c r="C423" s="21" t="s">
        <v>307</v>
      </c>
      <c r="D423" s="21" t="s">
        <v>278</v>
      </c>
      <c r="E423" s="21" t="s">
        <v>433</v>
      </c>
      <c r="F423" s="21" t="s">
        <v>336</v>
      </c>
      <c r="G423" s="27">
        <f t="shared" ref="G423" si="62">G424</f>
        <v>20</v>
      </c>
      <c r="H423" s="221"/>
    </row>
    <row r="424" spans="1:8" ht="63" x14ac:dyDescent="0.25">
      <c r="A424" s="41" t="s">
        <v>434</v>
      </c>
      <c r="B424" s="17">
        <v>903</v>
      </c>
      <c r="C424" s="21" t="s">
        <v>307</v>
      </c>
      <c r="D424" s="21" t="s">
        <v>278</v>
      </c>
      <c r="E424" s="21" t="s">
        <v>433</v>
      </c>
      <c r="F424" s="21" t="s">
        <v>435</v>
      </c>
      <c r="G424" s="27">
        <f>30-10</f>
        <v>20</v>
      </c>
      <c r="H424" s="132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4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4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4"/>
    </row>
    <row r="428" spans="1:8" ht="126" hidden="1" x14ac:dyDescent="0.25">
      <c r="A428" s="26" t="s">
        <v>436</v>
      </c>
      <c r="B428" s="17">
        <v>903</v>
      </c>
      <c r="C428" s="21" t="s">
        <v>307</v>
      </c>
      <c r="D428" s="21" t="s">
        <v>278</v>
      </c>
      <c r="E428" s="21" t="s">
        <v>437</v>
      </c>
      <c r="F428" s="21"/>
      <c r="G428" s="27">
        <f t="shared" ref="G428:G429" si="63">G429</f>
        <v>0</v>
      </c>
      <c r="H428" s="221"/>
    </row>
    <row r="429" spans="1:8" ht="15.75" hidden="1" x14ac:dyDescent="0.25">
      <c r="A429" s="26" t="s">
        <v>198</v>
      </c>
      <c r="B429" s="17">
        <v>903</v>
      </c>
      <c r="C429" s="21" t="s">
        <v>307</v>
      </c>
      <c r="D429" s="21" t="s">
        <v>278</v>
      </c>
      <c r="E429" s="21" t="s">
        <v>437</v>
      </c>
      <c r="F429" s="21" t="s">
        <v>208</v>
      </c>
      <c r="G429" s="27">
        <f t="shared" si="63"/>
        <v>0</v>
      </c>
      <c r="H429" s="221"/>
    </row>
    <row r="430" spans="1:8" ht="63" hidden="1" x14ac:dyDescent="0.25">
      <c r="A430" s="26" t="s">
        <v>247</v>
      </c>
      <c r="B430" s="17">
        <v>903</v>
      </c>
      <c r="C430" s="21" t="s">
        <v>307</v>
      </c>
      <c r="D430" s="21" t="s">
        <v>278</v>
      </c>
      <c r="E430" s="21" t="s">
        <v>437</v>
      </c>
      <c r="F430" s="21" t="s">
        <v>223</v>
      </c>
      <c r="G430" s="27">
        <v>0</v>
      </c>
      <c r="H430" s="221"/>
    </row>
    <row r="431" spans="1:8" ht="63" x14ac:dyDescent="0.25">
      <c r="A431" s="26" t="s">
        <v>438</v>
      </c>
      <c r="B431" s="17">
        <v>903</v>
      </c>
      <c r="C431" s="21" t="s">
        <v>307</v>
      </c>
      <c r="D431" s="21" t="s">
        <v>278</v>
      </c>
      <c r="E431" s="21" t="s">
        <v>439</v>
      </c>
      <c r="F431" s="21"/>
      <c r="G431" s="27">
        <f t="shared" ref="G431:G432" si="64">G432</f>
        <v>10</v>
      </c>
      <c r="H431" s="221"/>
    </row>
    <row r="432" spans="1:8" ht="31.5" x14ac:dyDescent="0.25">
      <c r="A432" s="26" t="s">
        <v>311</v>
      </c>
      <c r="B432" s="17">
        <v>903</v>
      </c>
      <c r="C432" s="21" t="s">
        <v>307</v>
      </c>
      <c r="D432" s="21" t="s">
        <v>278</v>
      </c>
      <c r="E432" s="21" t="s">
        <v>439</v>
      </c>
      <c r="F432" s="21" t="s">
        <v>312</v>
      </c>
      <c r="G432" s="27">
        <f t="shared" si="64"/>
        <v>10</v>
      </c>
      <c r="H432" s="221"/>
    </row>
    <row r="433" spans="1:10" ht="31.5" x14ac:dyDescent="0.25">
      <c r="A433" s="26" t="s">
        <v>313</v>
      </c>
      <c r="B433" s="17">
        <v>903</v>
      </c>
      <c r="C433" s="21" t="s">
        <v>307</v>
      </c>
      <c r="D433" s="21" t="s">
        <v>278</v>
      </c>
      <c r="E433" s="21" t="s">
        <v>439</v>
      </c>
      <c r="F433" s="21" t="s">
        <v>314</v>
      </c>
      <c r="G433" s="27">
        <v>10</v>
      </c>
      <c r="H433" s="132"/>
    </row>
    <row r="434" spans="1:10" ht="31.5" hidden="1" x14ac:dyDescent="0.25">
      <c r="A434" s="26" t="s">
        <v>440</v>
      </c>
      <c r="B434" s="17">
        <v>903</v>
      </c>
      <c r="C434" s="21" t="s">
        <v>307</v>
      </c>
      <c r="D434" s="21" t="s">
        <v>278</v>
      </c>
      <c r="E434" s="21" t="s">
        <v>441</v>
      </c>
      <c r="F434" s="21"/>
      <c r="G434" s="27">
        <f t="shared" ref="G434" si="65">G435+G437</f>
        <v>0</v>
      </c>
      <c r="H434" s="221"/>
    </row>
    <row r="435" spans="1:10" ht="31.5" hidden="1" x14ac:dyDescent="0.25">
      <c r="A435" s="26" t="s">
        <v>194</v>
      </c>
      <c r="B435" s="17">
        <v>903</v>
      </c>
      <c r="C435" s="21" t="s">
        <v>307</v>
      </c>
      <c r="D435" s="21" t="s">
        <v>278</v>
      </c>
      <c r="E435" s="21" t="s">
        <v>441</v>
      </c>
      <c r="F435" s="21" t="s">
        <v>195</v>
      </c>
      <c r="G435" s="27">
        <f t="shared" ref="G435" si="66">G436</f>
        <v>0</v>
      </c>
      <c r="H435" s="221"/>
    </row>
    <row r="436" spans="1:10" ht="47.25" hidden="1" x14ac:dyDescent="0.25">
      <c r="A436" s="26" t="s">
        <v>196</v>
      </c>
      <c r="B436" s="17">
        <v>903</v>
      </c>
      <c r="C436" s="21" t="s">
        <v>307</v>
      </c>
      <c r="D436" s="21" t="s">
        <v>278</v>
      </c>
      <c r="E436" s="21" t="s">
        <v>441</v>
      </c>
      <c r="F436" s="21" t="s">
        <v>197</v>
      </c>
      <c r="G436" s="27">
        <v>0</v>
      </c>
      <c r="H436" s="221"/>
    </row>
    <row r="437" spans="1:10" ht="15.75" hidden="1" x14ac:dyDescent="0.25">
      <c r="A437" s="26" t="s">
        <v>198</v>
      </c>
      <c r="B437" s="17">
        <v>903</v>
      </c>
      <c r="C437" s="21" t="s">
        <v>307</v>
      </c>
      <c r="D437" s="21" t="s">
        <v>278</v>
      </c>
      <c r="E437" s="21" t="s">
        <v>442</v>
      </c>
      <c r="F437" s="21" t="s">
        <v>208</v>
      </c>
      <c r="G437" s="27">
        <f t="shared" ref="G437" si="67">G438</f>
        <v>0</v>
      </c>
      <c r="H437" s="221"/>
    </row>
    <row r="438" spans="1:10" ht="63" hidden="1" x14ac:dyDescent="0.25">
      <c r="A438" s="26" t="s">
        <v>247</v>
      </c>
      <c r="B438" s="17">
        <v>903</v>
      </c>
      <c r="C438" s="21" t="s">
        <v>307</v>
      </c>
      <c r="D438" s="21" t="s">
        <v>278</v>
      </c>
      <c r="E438" s="21" t="s">
        <v>442</v>
      </c>
      <c r="F438" s="21" t="s">
        <v>223</v>
      </c>
      <c r="G438" s="27">
        <v>0</v>
      </c>
      <c r="H438" s="221"/>
    </row>
    <row r="439" spans="1:10" ht="94.5" x14ac:dyDescent="0.25">
      <c r="A439" s="31" t="s">
        <v>443</v>
      </c>
      <c r="B439" s="17">
        <v>903</v>
      </c>
      <c r="C439" s="42" t="s">
        <v>307</v>
      </c>
      <c r="D439" s="42" t="s">
        <v>278</v>
      </c>
      <c r="E439" s="42" t="s">
        <v>444</v>
      </c>
      <c r="F439" s="42"/>
      <c r="G439" s="27">
        <f>G440</f>
        <v>105</v>
      </c>
      <c r="H439" s="221"/>
    </row>
    <row r="440" spans="1:10" ht="31.5" x14ac:dyDescent="0.25">
      <c r="A440" s="31" t="s">
        <v>220</v>
      </c>
      <c r="B440" s="17">
        <v>903</v>
      </c>
      <c r="C440" s="42" t="s">
        <v>307</v>
      </c>
      <c r="D440" s="42" t="s">
        <v>278</v>
      </c>
      <c r="E440" s="42" t="s">
        <v>445</v>
      </c>
      <c r="F440" s="42"/>
      <c r="G440" s="27">
        <f>G441</f>
        <v>105</v>
      </c>
      <c r="H440" s="221"/>
    </row>
    <row r="441" spans="1:10" ht="31.5" x14ac:dyDescent="0.25">
      <c r="A441" s="31" t="s">
        <v>194</v>
      </c>
      <c r="B441" s="17">
        <v>903</v>
      </c>
      <c r="C441" s="42" t="s">
        <v>307</v>
      </c>
      <c r="D441" s="42" t="s">
        <v>278</v>
      </c>
      <c r="E441" s="42" t="s">
        <v>445</v>
      </c>
      <c r="F441" s="42" t="s">
        <v>195</v>
      </c>
      <c r="G441" s="27">
        <f>G442</f>
        <v>105</v>
      </c>
      <c r="H441" s="221"/>
    </row>
    <row r="442" spans="1:10" ht="47.25" x14ac:dyDescent="0.25">
      <c r="A442" s="31" t="s">
        <v>196</v>
      </c>
      <c r="B442" s="17">
        <v>903</v>
      </c>
      <c r="C442" s="42" t="s">
        <v>307</v>
      </c>
      <c r="D442" s="42" t="s">
        <v>278</v>
      </c>
      <c r="E442" s="42" t="s">
        <v>445</v>
      </c>
      <c r="F442" s="42" t="s">
        <v>197</v>
      </c>
      <c r="G442" s="27">
        <f>50+55</f>
        <v>105</v>
      </c>
      <c r="H442" s="221"/>
    </row>
    <row r="443" spans="1:10" ht="15.75" x14ac:dyDescent="0.25">
      <c r="A443" s="26" t="s">
        <v>184</v>
      </c>
      <c r="B443" s="17">
        <v>903</v>
      </c>
      <c r="C443" s="21" t="s">
        <v>307</v>
      </c>
      <c r="D443" s="21" t="s">
        <v>278</v>
      </c>
      <c r="E443" s="21" t="s">
        <v>185</v>
      </c>
      <c r="F443" s="21"/>
      <c r="G443" s="27">
        <f>G444+G455</f>
        <v>932</v>
      </c>
      <c r="H443" s="221"/>
    </row>
    <row r="444" spans="1:10" ht="31.5" x14ac:dyDescent="0.25">
      <c r="A444" s="26" t="s">
        <v>248</v>
      </c>
      <c r="B444" s="17">
        <v>903</v>
      </c>
      <c r="C444" s="21" t="s">
        <v>307</v>
      </c>
      <c r="D444" s="21" t="s">
        <v>278</v>
      </c>
      <c r="E444" s="21" t="s">
        <v>249</v>
      </c>
      <c r="F444" s="21"/>
      <c r="G444" s="27">
        <f>G451+G445+G448</f>
        <v>932</v>
      </c>
      <c r="H444" s="221"/>
    </row>
    <row r="445" spans="1:10" ht="15.75" x14ac:dyDescent="0.25">
      <c r="A445" s="26" t="s">
        <v>446</v>
      </c>
      <c r="B445" s="17">
        <v>903</v>
      </c>
      <c r="C445" s="21" t="s">
        <v>307</v>
      </c>
      <c r="D445" s="21" t="s">
        <v>278</v>
      </c>
      <c r="E445" s="21" t="s">
        <v>447</v>
      </c>
      <c r="F445" s="21"/>
      <c r="G445" s="27">
        <f t="shared" ref="G445:G446" si="68">G446</f>
        <v>372.6</v>
      </c>
      <c r="H445" s="221"/>
    </row>
    <row r="446" spans="1:10" ht="31.5" x14ac:dyDescent="0.25">
      <c r="A446" s="26" t="s">
        <v>311</v>
      </c>
      <c r="B446" s="17">
        <v>903</v>
      </c>
      <c r="C446" s="21" t="s">
        <v>307</v>
      </c>
      <c r="D446" s="21" t="s">
        <v>278</v>
      </c>
      <c r="E446" s="21" t="s">
        <v>447</v>
      </c>
      <c r="F446" s="21" t="s">
        <v>312</v>
      </c>
      <c r="G446" s="27">
        <f t="shared" si="68"/>
        <v>372.6</v>
      </c>
      <c r="H446" s="221"/>
    </row>
    <row r="447" spans="1:10" ht="31.5" x14ac:dyDescent="0.25">
      <c r="A447" s="26" t="s">
        <v>313</v>
      </c>
      <c r="B447" s="17">
        <v>903</v>
      </c>
      <c r="C447" s="21" t="s">
        <v>307</v>
      </c>
      <c r="D447" s="21" t="s">
        <v>278</v>
      </c>
      <c r="E447" s="21" t="s">
        <v>447</v>
      </c>
      <c r="F447" s="21" t="s">
        <v>314</v>
      </c>
      <c r="G447" s="27">
        <v>372.6</v>
      </c>
      <c r="H447" s="132"/>
      <c r="I447" s="152"/>
    </row>
    <row r="448" spans="1:10" ht="63" x14ac:dyDescent="0.25">
      <c r="A448" s="26" t="s">
        <v>438</v>
      </c>
      <c r="B448" s="17">
        <v>903</v>
      </c>
      <c r="C448" s="21" t="s">
        <v>307</v>
      </c>
      <c r="D448" s="21" t="s">
        <v>278</v>
      </c>
      <c r="E448" s="21" t="s">
        <v>448</v>
      </c>
      <c r="F448" s="21"/>
      <c r="G448" s="27">
        <f t="shared" ref="G448:G449" si="69">G449</f>
        <v>500</v>
      </c>
      <c r="H448" s="221"/>
      <c r="J448" s="135"/>
    </row>
    <row r="449" spans="1:10" ht="31.5" x14ac:dyDescent="0.25">
      <c r="A449" s="26" t="s">
        <v>311</v>
      </c>
      <c r="B449" s="17">
        <v>903</v>
      </c>
      <c r="C449" s="21" t="s">
        <v>307</v>
      </c>
      <c r="D449" s="21" t="s">
        <v>278</v>
      </c>
      <c r="E449" s="21" t="s">
        <v>448</v>
      </c>
      <c r="F449" s="21" t="s">
        <v>312</v>
      </c>
      <c r="G449" s="27">
        <f t="shared" si="69"/>
        <v>500</v>
      </c>
      <c r="H449" s="221"/>
      <c r="J449" s="135"/>
    </row>
    <row r="450" spans="1:10" ht="31.5" x14ac:dyDescent="0.25">
      <c r="A450" s="26" t="s">
        <v>313</v>
      </c>
      <c r="B450" s="17">
        <v>903</v>
      </c>
      <c r="C450" s="21" t="s">
        <v>307</v>
      </c>
      <c r="D450" s="21" t="s">
        <v>278</v>
      </c>
      <c r="E450" s="21" t="s">
        <v>448</v>
      </c>
      <c r="F450" s="21" t="s">
        <v>314</v>
      </c>
      <c r="G450" s="27">
        <v>500</v>
      </c>
      <c r="H450" s="132"/>
      <c r="J450" s="135"/>
    </row>
    <row r="451" spans="1:10" ht="54" customHeight="1" x14ac:dyDescent="0.25">
      <c r="A451" s="206" t="s">
        <v>882</v>
      </c>
      <c r="B451" s="17">
        <v>903</v>
      </c>
      <c r="C451" s="21" t="s">
        <v>307</v>
      </c>
      <c r="D451" s="21" t="s">
        <v>278</v>
      </c>
      <c r="E451" s="21" t="s">
        <v>450</v>
      </c>
      <c r="F451" s="21"/>
      <c r="G451" s="27">
        <f t="shared" ref="G451" si="70">G452</f>
        <v>59.4</v>
      </c>
      <c r="H451" s="221"/>
      <c r="J451" s="135"/>
    </row>
    <row r="452" spans="1:10" ht="31.5" x14ac:dyDescent="0.25">
      <c r="A452" s="26" t="s">
        <v>311</v>
      </c>
      <c r="B452" s="17">
        <v>903</v>
      </c>
      <c r="C452" s="21" t="s">
        <v>307</v>
      </c>
      <c r="D452" s="21" t="s">
        <v>278</v>
      </c>
      <c r="E452" s="21" t="s">
        <v>450</v>
      </c>
      <c r="F452" s="21" t="s">
        <v>312</v>
      </c>
      <c r="G452" s="27">
        <f t="shared" ref="G452" si="71">G453+G454</f>
        <v>59.4</v>
      </c>
      <c r="H452" s="221"/>
      <c r="J452" s="135"/>
    </row>
    <row r="453" spans="1:10" ht="31.5" x14ac:dyDescent="0.25">
      <c r="A453" s="26" t="s">
        <v>411</v>
      </c>
      <c r="B453" s="17">
        <v>903</v>
      </c>
      <c r="C453" s="21" t="s">
        <v>307</v>
      </c>
      <c r="D453" s="21" t="s">
        <v>278</v>
      </c>
      <c r="E453" s="21" t="s">
        <v>450</v>
      </c>
      <c r="F453" s="21" t="s">
        <v>412</v>
      </c>
      <c r="G453" s="204">
        <v>59.4</v>
      </c>
      <c r="H453" s="193" t="s">
        <v>871</v>
      </c>
      <c r="J453" s="135"/>
    </row>
    <row r="454" spans="1:10" ht="31.5" x14ac:dyDescent="0.25">
      <c r="A454" s="26" t="s">
        <v>313</v>
      </c>
      <c r="B454" s="17">
        <v>903</v>
      </c>
      <c r="C454" s="21" t="s">
        <v>307</v>
      </c>
      <c r="D454" s="21" t="s">
        <v>278</v>
      </c>
      <c r="E454" s="21" t="s">
        <v>450</v>
      </c>
      <c r="F454" s="21" t="s">
        <v>314</v>
      </c>
      <c r="G454" s="27"/>
      <c r="H454" s="221"/>
    </row>
    <row r="455" spans="1:10" ht="15.75" x14ac:dyDescent="0.25">
      <c r="A455" s="26" t="s">
        <v>204</v>
      </c>
      <c r="B455" s="17">
        <v>903</v>
      </c>
      <c r="C455" s="21" t="s">
        <v>307</v>
      </c>
      <c r="D455" s="21" t="s">
        <v>278</v>
      </c>
      <c r="E455" s="21" t="s">
        <v>205</v>
      </c>
      <c r="F455" s="21"/>
      <c r="G455" s="27">
        <f t="shared" ref="G455:G457" si="72">G456</f>
        <v>0</v>
      </c>
      <c r="H455" s="221"/>
    </row>
    <row r="456" spans="1:10" ht="15.75" x14ac:dyDescent="0.25">
      <c r="A456" s="26" t="s">
        <v>264</v>
      </c>
      <c r="B456" s="17">
        <v>903</v>
      </c>
      <c r="C456" s="21" t="s">
        <v>307</v>
      </c>
      <c r="D456" s="21" t="s">
        <v>278</v>
      </c>
      <c r="E456" s="21" t="s">
        <v>265</v>
      </c>
      <c r="F456" s="21"/>
      <c r="G456" s="27">
        <f t="shared" si="72"/>
        <v>0</v>
      </c>
      <c r="H456" s="221"/>
    </row>
    <row r="457" spans="1:10" ht="31.5" x14ac:dyDescent="0.25">
      <c r="A457" s="26" t="s">
        <v>311</v>
      </c>
      <c r="B457" s="17">
        <v>903</v>
      </c>
      <c r="C457" s="21" t="s">
        <v>307</v>
      </c>
      <c r="D457" s="21" t="s">
        <v>278</v>
      </c>
      <c r="E457" s="21" t="s">
        <v>265</v>
      </c>
      <c r="F457" s="21" t="s">
        <v>312</v>
      </c>
      <c r="G457" s="27">
        <f t="shared" si="72"/>
        <v>0</v>
      </c>
      <c r="H457" s="221"/>
    </row>
    <row r="458" spans="1:10" ht="31.5" x14ac:dyDescent="0.25">
      <c r="A458" s="26" t="s">
        <v>411</v>
      </c>
      <c r="B458" s="17">
        <v>903</v>
      </c>
      <c r="C458" s="21" t="s">
        <v>307</v>
      </c>
      <c r="D458" s="21" t="s">
        <v>278</v>
      </c>
      <c r="E458" s="21" t="s">
        <v>265</v>
      </c>
      <c r="F458" s="21" t="s">
        <v>412</v>
      </c>
      <c r="G458" s="27">
        <v>0</v>
      </c>
      <c r="H458" s="221"/>
    </row>
    <row r="459" spans="1:10" ht="47.25" x14ac:dyDescent="0.25">
      <c r="A459" s="20" t="s">
        <v>451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21"/>
    </row>
    <row r="460" spans="1:10" ht="15.75" x14ac:dyDescent="0.25">
      <c r="A460" s="24" t="s">
        <v>180</v>
      </c>
      <c r="B460" s="20">
        <v>905</v>
      </c>
      <c r="C460" s="25" t="s">
        <v>181</v>
      </c>
      <c r="D460" s="21"/>
      <c r="E460" s="21"/>
      <c r="F460" s="21"/>
      <c r="G460" s="22">
        <f>G461+G471</f>
        <v>14701.94</v>
      </c>
      <c r="H460" s="221"/>
    </row>
    <row r="461" spans="1:10" ht="78.75" x14ac:dyDescent="0.25">
      <c r="A461" s="24" t="s">
        <v>212</v>
      </c>
      <c r="B461" s="20">
        <v>905</v>
      </c>
      <c r="C461" s="25" t="s">
        <v>181</v>
      </c>
      <c r="D461" s="25" t="s">
        <v>213</v>
      </c>
      <c r="E461" s="25"/>
      <c r="F461" s="25"/>
      <c r="G461" s="22">
        <f t="shared" ref="G461:G463" si="73">G462</f>
        <v>11089</v>
      </c>
      <c r="H461" s="221"/>
    </row>
    <row r="462" spans="1:10" ht="15.75" x14ac:dyDescent="0.25">
      <c r="A462" s="26" t="s">
        <v>184</v>
      </c>
      <c r="B462" s="17">
        <v>905</v>
      </c>
      <c r="C462" s="21" t="s">
        <v>181</v>
      </c>
      <c r="D462" s="21" t="s">
        <v>213</v>
      </c>
      <c r="E462" s="21" t="s">
        <v>185</v>
      </c>
      <c r="F462" s="21"/>
      <c r="G462" s="27">
        <f>G463</f>
        <v>11089</v>
      </c>
      <c r="H462" s="221"/>
    </row>
    <row r="463" spans="1:10" ht="31.5" x14ac:dyDescent="0.25">
      <c r="A463" s="26" t="s">
        <v>186</v>
      </c>
      <c r="B463" s="17">
        <v>905</v>
      </c>
      <c r="C463" s="21" t="s">
        <v>181</v>
      </c>
      <c r="D463" s="21" t="s">
        <v>213</v>
      </c>
      <c r="E463" s="21" t="s">
        <v>187</v>
      </c>
      <c r="F463" s="21"/>
      <c r="G463" s="27">
        <f t="shared" si="73"/>
        <v>11089</v>
      </c>
      <c r="H463" s="221"/>
    </row>
    <row r="464" spans="1:10" ht="47.25" x14ac:dyDescent="0.25">
      <c r="A464" s="26" t="s">
        <v>188</v>
      </c>
      <c r="B464" s="17">
        <v>905</v>
      </c>
      <c r="C464" s="21" t="s">
        <v>181</v>
      </c>
      <c r="D464" s="21" t="s">
        <v>213</v>
      </c>
      <c r="E464" s="21" t="s">
        <v>189</v>
      </c>
      <c r="F464" s="21"/>
      <c r="G464" s="27">
        <f>G465+G467+G469</f>
        <v>11089</v>
      </c>
      <c r="H464" s="221"/>
    </row>
    <row r="465" spans="1:9" ht="94.5" x14ac:dyDescent="0.25">
      <c r="A465" s="26" t="s">
        <v>190</v>
      </c>
      <c r="B465" s="17">
        <v>905</v>
      </c>
      <c r="C465" s="21" t="s">
        <v>181</v>
      </c>
      <c r="D465" s="21" t="s">
        <v>213</v>
      </c>
      <c r="E465" s="21" t="s">
        <v>189</v>
      </c>
      <c r="F465" s="21" t="s">
        <v>191</v>
      </c>
      <c r="G465" s="27">
        <f t="shared" ref="G465" si="74">G466</f>
        <v>10200.700000000001</v>
      </c>
      <c r="H465" s="221"/>
    </row>
    <row r="466" spans="1:9" ht="31.5" x14ac:dyDescent="0.25">
      <c r="A466" s="26" t="s">
        <v>192</v>
      </c>
      <c r="B466" s="17">
        <v>905</v>
      </c>
      <c r="C466" s="21" t="s">
        <v>181</v>
      </c>
      <c r="D466" s="21" t="s">
        <v>213</v>
      </c>
      <c r="E466" s="21" t="s">
        <v>189</v>
      </c>
      <c r="F466" s="21" t="s">
        <v>193</v>
      </c>
      <c r="G466" s="28">
        <v>10200.700000000001</v>
      </c>
      <c r="H466" s="221"/>
    </row>
    <row r="467" spans="1:9" ht="31.5" x14ac:dyDescent="0.25">
      <c r="A467" s="26" t="s">
        <v>194</v>
      </c>
      <c r="B467" s="17">
        <v>905</v>
      </c>
      <c r="C467" s="21" t="s">
        <v>181</v>
      </c>
      <c r="D467" s="21" t="s">
        <v>213</v>
      </c>
      <c r="E467" s="21" t="s">
        <v>189</v>
      </c>
      <c r="F467" s="21" t="s">
        <v>195</v>
      </c>
      <c r="G467" s="27">
        <f t="shared" ref="G467" si="75">G468</f>
        <v>811.8</v>
      </c>
      <c r="H467" s="221"/>
    </row>
    <row r="468" spans="1:9" ht="47.25" x14ac:dyDescent="0.25">
      <c r="A468" s="26" t="s">
        <v>196</v>
      </c>
      <c r="B468" s="17">
        <v>905</v>
      </c>
      <c r="C468" s="21" t="s">
        <v>181</v>
      </c>
      <c r="D468" s="21" t="s">
        <v>213</v>
      </c>
      <c r="E468" s="21" t="s">
        <v>189</v>
      </c>
      <c r="F468" s="21" t="s">
        <v>197</v>
      </c>
      <c r="G468" s="192">
        <f>885.8-74</f>
        <v>811.8</v>
      </c>
      <c r="H468" s="193" t="s">
        <v>861</v>
      </c>
    </row>
    <row r="469" spans="1:9" ht="15.75" x14ac:dyDescent="0.25">
      <c r="A469" s="26" t="s">
        <v>198</v>
      </c>
      <c r="B469" s="17">
        <v>905</v>
      </c>
      <c r="C469" s="21" t="s">
        <v>181</v>
      </c>
      <c r="D469" s="21" t="s">
        <v>213</v>
      </c>
      <c r="E469" s="21" t="s">
        <v>189</v>
      </c>
      <c r="F469" s="21" t="s">
        <v>208</v>
      </c>
      <c r="G469" s="27">
        <f t="shared" ref="G469" si="76">G470</f>
        <v>76.5</v>
      </c>
      <c r="H469" s="221"/>
    </row>
    <row r="470" spans="1:9" ht="15.75" x14ac:dyDescent="0.25">
      <c r="A470" s="26" t="s">
        <v>633</v>
      </c>
      <c r="B470" s="17">
        <v>905</v>
      </c>
      <c r="C470" s="21" t="s">
        <v>181</v>
      </c>
      <c r="D470" s="21" t="s">
        <v>213</v>
      </c>
      <c r="E470" s="21" t="s">
        <v>189</v>
      </c>
      <c r="F470" s="21" t="s">
        <v>201</v>
      </c>
      <c r="G470" s="194">
        <f>2.5+74</f>
        <v>76.5</v>
      </c>
      <c r="H470" s="193" t="s">
        <v>862</v>
      </c>
    </row>
    <row r="471" spans="1:9" ht="15.75" x14ac:dyDescent="0.25">
      <c r="A471" s="24" t="s">
        <v>202</v>
      </c>
      <c r="B471" s="20">
        <v>905</v>
      </c>
      <c r="C471" s="25" t="s">
        <v>181</v>
      </c>
      <c r="D471" s="25" t="s">
        <v>203</v>
      </c>
      <c r="E471" s="25"/>
      <c r="F471" s="25"/>
      <c r="G471" s="22">
        <f t="shared" ref="G471:G475" si="77">G472</f>
        <v>3612.94</v>
      </c>
      <c r="H471" s="221"/>
    </row>
    <row r="472" spans="1:9" ht="15.75" x14ac:dyDescent="0.25">
      <c r="A472" s="26" t="s">
        <v>184</v>
      </c>
      <c r="B472" s="17">
        <v>905</v>
      </c>
      <c r="C472" s="21" t="s">
        <v>181</v>
      </c>
      <c r="D472" s="21" t="s">
        <v>203</v>
      </c>
      <c r="E472" s="21" t="s">
        <v>185</v>
      </c>
      <c r="F472" s="21"/>
      <c r="G472" s="27">
        <f>G473</f>
        <v>3612.94</v>
      </c>
      <c r="H472" s="221"/>
    </row>
    <row r="473" spans="1:9" ht="15.75" x14ac:dyDescent="0.25">
      <c r="A473" s="26" t="s">
        <v>204</v>
      </c>
      <c r="B473" s="17">
        <v>905</v>
      </c>
      <c r="C473" s="21" t="s">
        <v>181</v>
      </c>
      <c r="D473" s="21" t="s">
        <v>203</v>
      </c>
      <c r="E473" s="21" t="s">
        <v>205</v>
      </c>
      <c r="F473" s="21"/>
      <c r="G473" s="27">
        <f t="shared" si="77"/>
        <v>3612.94</v>
      </c>
      <c r="H473" s="221"/>
    </row>
    <row r="474" spans="1:9" ht="47.25" x14ac:dyDescent="0.25">
      <c r="A474" s="26" t="s">
        <v>452</v>
      </c>
      <c r="B474" s="17">
        <v>905</v>
      </c>
      <c r="C474" s="21" t="s">
        <v>181</v>
      </c>
      <c r="D474" s="21" t="s">
        <v>203</v>
      </c>
      <c r="E474" s="21" t="s">
        <v>453</v>
      </c>
      <c r="F474" s="21"/>
      <c r="G474" s="27">
        <f>G475</f>
        <v>3612.94</v>
      </c>
      <c r="H474" s="221"/>
    </row>
    <row r="475" spans="1:9" ht="31.5" x14ac:dyDescent="0.25">
      <c r="A475" s="26" t="s">
        <v>194</v>
      </c>
      <c r="B475" s="17">
        <v>905</v>
      </c>
      <c r="C475" s="21" t="s">
        <v>181</v>
      </c>
      <c r="D475" s="21" t="s">
        <v>203</v>
      </c>
      <c r="E475" s="21" t="s">
        <v>453</v>
      </c>
      <c r="F475" s="21" t="s">
        <v>195</v>
      </c>
      <c r="G475" s="27">
        <f t="shared" si="77"/>
        <v>3612.94</v>
      </c>
      <c r="H475" s="221"/>
    </row>
    <row r="476" spans="1:9" ht="47.25" x14ac:dyDescent="0.25">
      <c r="A476" s="26" t="s">
        <v>196</v>
      </c>
      <c r="B476" s="17">
        <v>905</v>
      </c>
      <c r="C476" s="21" t="s">
        <v>181</v>
      </c>
      <c r="D476" s="21" t="s">
        <v>203</v>
      </c>
      <c r="E476" s="21" t="s">
        <v>453</v>
      </c>
      <c r="F476" s="21" t="s">
        <v>197</v>
      </c>
      <c r="G476" s="204">
        <f>1961.14+1251.8+400</f>
        <v>3612.94</v>
      </c>
      <c r="H476" s="132" t="s">
        <v>885</v>
      </c>
      <c r="I476" s="152"/>
    </row>
    <row r="477" spans="1:9" ht="15.75" x14ac:dyDescent="0.25">
      <c r="A477" s="43" t="s">
        <v>454</v>
      </c>
      <c r="B477" s="20">
        <v>905</v>
      </c>
      <c r="C477" s="25" t="s">
        <v>297</v>
      </c>
      <c r="D477" s="25"/>
      <c r="E477" s="25"/>
      <c r="F477" s="25"/>
      <c r="G477" s="22">
        <f t="shared" ref="G477" si="78">G478</f>
        <v>1099.8</v>
      </c>
      <c r="H477" s="221"/>
    </row>
    <row r="478" spans="1:9" ht="15.75" x14ac:dyDescent="0.25">
      <c r="A478" s="43" t="s">
        <v>455</v>
      </c>
      <c r="B478" s="20">
        <v>905</v>
      </c>
      <c r="C478" s="25" t="s">
        <v>297</v>
      </c>
      <c r="D478" s="25" t="s">
        <v>181</v>
      </c>
      <c r="E478" s="25"/>
      <c r="F478" s="25"/>
      <c r="G478" s="27">
        <f>G479</f>
        <v>1099.8</v>
      </c>
      <c r="H478" s="221"/>
    </row>
    <row r="479" spans="1:9" ht="15.75" x14ac:dyDescent="0.25">
      <c r="A479" s="31" t="s">
        <v>184</v>
      </c>
      <c r="B479" s="17">
        <v>905</v>
      </c>
      <c r="C479" s="21" t="s">
        <v>297</v>
      </c>
      <c r="D479" s="21" t="s">
        <v>181</v>
      </c>
      <c r="E479" s="21" t="s">
        <v>185</v>
      </c>
      <c r="F479" s="21"/>
      <c r="G479" s="27">
        <f t="shared" ref="G479" si="79">G485+G480</f>
        <v>1099.8</v>
      </c>
      <c r="H479" s="221"/>
    </row>
    <row r="480" spans="1:9" ht="31.5" hidden="1" x14ac:dyDescent="0.25">
      <c r="A480" s="26" t="s">
        <v>248</v>
      </c>
      <c r="B480" s="39">
        <v>905</v>
      </c>
      <c r="C480" s="21" t="s">
        <v>297</v>
      </c>
      <c r="D480" s="21" t="s">
        <v>181</v>
      </c>
      <c r="E480" s="21" t="s">
        <v>249</v>
      </c>
      <c r="F480" s="21"/>
      <c r="G480" s="27">
        <f t="shared" ref="G480:G483" si="80">G481</f>
        <v>0</v>
      </c>
      <c r="H480" s="221"/>
    </row>
    <row r="481" spans="1:9" ht="47.25" hidden="1" x14ac:dyDescent="0.25">
      <c r="A481" s="38" t="s">
        <v>456</v>
      </c>
      <c r="B481" s="39">
        <v>905</v>
      </c>
      <c r="C481" s="21" t="s">
        <v>297</v>
      </c>
      <c r="D481" s="21" t="s">
        <v>181</v>
      </c>
      <c r="E481" s="21" t="s">
        <v>457</v>
      </c>
      <c r="F481" s="21"/>
      <c r="G481" s="27">
        <f t="shared" si="80"/>
        <v>0</v>
      </c>
      <c r="H481" s="221"/>
    </row>
    <row r="482" spans="1:9" ht="31.5" hidden="1" x14ac:dyDescent="0.25">
      <c r="A482" s="44" t="s">
        <v>458</v>
      </c>
      <c r="B482" s="39">
        <v>905</v>
      </c>
      <c r="C482" s="21" t="s">
        <v>297</v>
      </c>
      <c r="D482" s="21" t="s">
        <v>181</v>
      </c>
      <c r="E482" s="21" t="s">
        <v>459</v>
      </c>
      <c r="F482" s="21"/>
      <c r="G482" s="27">
        <f t="shared" si="80"/>
        <v>0</v>
      </c>
      <c r="H482" s="221"/>
    </row>
    <row r="483" spans="1:9" ht="31.5" hidden="1" x14ac:dyDescent="0.25">
      <c r="A483" s="26" t="s">
        <v>194</v>
      </c>
      <c r="B483" s="17">
        <v>905</v>
      </c>
      <c r="C483" s="21" t="s">
        <v>297</v>
      </c>
      <c r="D483" s="21" t="s">
        <v>181</v>
      </c>
      <c r="E483" s="21" t="s">
        <v>459</v>
      </c>
      <c r="F483" s="21" t="s">
        <v>195</v>
      </c>
      <c r="G483" s="27">
        <f t="shared" si="80"/>
        <v>0</v>
      </c>
      <c r="H483" s="221"/>
    </row>
    <row r="484" spans="1:9" ht="47.25" hidden="1" x14ac:dyDescent="0.25">
      <c r="A484" s="26" t="s">
        <v>196</v>
      </c>
      <c r="B484" s="17">
        <v>905</v>
      </c>
      <c r="C484" s="21" t="s">
        <v>297</v>
      </c>
      <c r="D484" s="21" t="s">
        <v>181</v>
      </c>
      <c r="E484" s="21" t="s">
        <v>459</v>
      </c>
      <c r="F484" s="21" t="s">
        <v>197</v>
      </c>
      <c r="G484" s="27"/>
      <c r="H484" s="221"/>
    </row>
    <row r="485" spans="1:9" ht="15.75" x14ac:dyDescent="0.25">
      <c r="A485" s="31" t="s">
        <v>204</v>
      </c>
      <c r="B485" s="17">
        <v>905</v>
      </c>
      <c r="C485" s="21" t="s">
        <v>297</v>
      </c>
      <c r="D485" s="21" t="s">
        <v>181</v>
      </c>
      <c r="E485" s="21" t="s">
        <v>205</v>
      </c>
      <c r="F485" s="21"/>
      <c r="G485" s="27">
        <f>G486+G489</f>
        <v>1099.8</v>
      </c>
      <c r="H485" s="221"/>
    </row>
    <row r="486" spans="1:9" ht="31.5" x14ac:dyDescent="0.25">
      <c r="A486" s="31" t="s">
        <v>462</v>
      </c>
      <c r="B486" s="17">
        <v>905</v>
      </c>
      <c r="C486" s="21" t="s">
        <v>297</v>
      </c>
      <c r="D486" s="21" t="s">
        <v>181</v>
      </c>
      <c r="E486" s="21" t="s">
        <v>463</v>
      </c>
      <c r="F486" s="21"/>
      <c r="G486" s="27">
        <f>G487</f>
        <v>260.8</v>
      </c>
      <c r="H486" s="221"/>
    </row>
    <row r="487" spans="1:9" ht="31.5" x14ac:dyDescent="0.25">
      <c r="A487" s="26" t="s">
        <v>194</v>
      </c>
      <c r="B487" s="17">
        <v>905</v>
      </c>
      <c r="C487" s="21" t="s">
        <v>297</v>
      </c>
      <c r="D487" s="21" t="s">
        <v>181</v>
      </c>
      <c r="E487" s="21" t="s">
        <v>463</v>
      </c>
      <c r="F487" s="21" t="s">
        <v>195</v>
      </c>
      <c r="G487" s="27">
        <f t="shared" ref="G487" si="81">G488</f>
        <v>260.8</v>
      </c>
      <c r="H487" s="221"/>
    </row>
    <row r="488" spans="1:9" ht="47.25" x14ac:dyDescent="0.25">
      <c r="A488" s="26" t="s">
        <v>196</v>
      </c>
      <c r="B488" s="17">
        <v>905</v>
      </c>
      <c r="C488" s="21" t="s">
        <v>297</v>
      </c>
      <c r="D488" s="21" t="s">
        <v>181</v>
      </c>
      <c r="E488" s="21" t="s">
        <v>463</v>
      </c>
      <c r="F488" s="21" t="s">
        <v>197</v>
      </c>
      <c r="G488" s="27">
        <v>260.8</v>
      </c>
      <c r="H488" s="221"/>
    </row>
    <row r="489" spans="1:9" ht="15.75" x14ac:dyDescent="0.25">
      <c r="A489" s="31" t="s">
        <v>460</v>
      </c>
      <c r="B489" s="17">
        <v>905</v>
      </c>
      <c r="C489" s="21" t="s">
        <v>297</v>
      </c>
      <c r="D489" s="21" t="s">
        <v>181</v>
      </c>
      <c r="E489" s="21" t="s">
        <v>461</v>
      </c>
      <c r="F489" s="21"/>
      <c r="G489" s="27">
        <f>G490</f>
        <v>839</v>
      </c>
      <c r="H489" s="221"/>
    </row>
    <row r="490" spans="1:9" ht="31.5" x14ac:dyDescent="0.25">
      <c r="A490" s="26" t="s">
        <v>194</v>
      </c>
      <c r="B490" s="17">
        <v>905</v>
      </c>
      <c r="C490" s="21" t="s">
        <v>297</v>
      </c>
      <c r="D490" s="21" t="s">
        <v>181</v>
      </c>
      <c r="E490" s="21" t="s">
        <v>461</v>
      </c>
      <c r="F490" s="21" t="s">
        <v>195</v>
      </c>
      <c r="G490" s="27">
        <f>G491</f>
        <v>839</v>
      </c>
      <c r="H490" s="221"/>
    </row>
    <row r="491" spans="1:9" ht="47.25" x14ac:dyDescent="0.25">
      <c r="A491" s="26" t="s">
        <v>196</v>
      </c>
      <c r="B491" s="17">
        <v>905</v>
      </c>
      <c r="C491" s="21" t="s">
        <v>297</v>
      </c>
      <c r="D491" s="21" t="s">
        <v>181</v>
      </c>
      <c r="E491" s="21" t="s">
        <v>461</v>
      </c>
      <c r="F491" s="21" t="s">
        <v>197</v>
      </c>
      <c r="G491" s="27">
        <v>839</v>
      </c>
      <c r="H491" s="221"/>
      <c r="I491" s="141"/>
    </row>
    <row r="492" spans="1:9" ht="15.75" hidden="1" x14ac:dyDescent="0.25">
      <c r="A492" s="45" t="s">
        <v>306</v>
      </c>
      <c r="B492" s="20">
        <v>905</v>
      </c>
      <c r="C492" s="25" t="s">
        <v>307</v>
      </c>
      <c r="D492" s="25"/>
      <c r="E492" s="25"/>
      <c r="F492" s="25"/>
      <c r="G492" s="22">
        <f t="shared" ref="G492:G496" si="82">G493</f>
        <v>0</v>
      </c>
      <c r="H492" s="221"/>
    </row>
    <row r="493" spans="1:9" ht="15.75" hidden="1" x14ac:dyDescent="0.25">
      <c r="A493" s="24" t="s">
        <v>464</v>
      </c>
      <c r="B493" s="20">
        <v>905</v>
      </c>
      <c r="C493" s="25" t="s">
        <v>307</v>
      </c>
      <c r="D493" s="25" t="s">
        <v>213</v>
      </c>
      <c r="E493" s="25"/>
      <c r="F493" s="25"/>
      <c r="G493" s="22">
        <f t="shared" si="82"/>
        <v>0</v>
      </c>
      <c r="H493" s="221"/>
    </row>
    <row r="494" spans="1:9" ht="31.5" hidden="1" x14ac:dyDescent="0.25">
      <c r="A494" s="26" t="s">
        <v>248</v>
      </c>
      <c r="B494" s="17">
        <v>905</v>
      </c>
      <c r="C494" s="21" t="s">
        <v>307</v>
      </c>
      <c r="D494" s="21" t="s">
        <v>213</v>
      </c>
      <c r="E494" s="21" t="s">
        <v>249</v>
      </c>
      <c r="F494" s="21"/>
      <c r="G494" s="27">
        <f t="shared" si="82"/>
        <v>0</v>
      </c>
      <c r="H494" s="221"/>
    </row>
    <row r="495" spans="1:9" ht="47.25" hidden="1" x14ac:dyDescent="0.25">
      <c r="A495" s="33" t="s">
        <v>465</v>
      </c>
      <c r="B495" s="17">
        <v>905</v>
      </c>
      <c r="C495" s="21" t="s">
        <v>307</v>
      </c>
      <c r="D495" s="21" t="s">
        <v>213</v>
      </c>
      <c r="E495" s="21" t="s">
        <v>466</v>
      </c>
      <c r="F495" s="21"/>
      <c r="G495" s="27">
        <f t="shared" si="82"/>
        <v>0</v>
      </c>
      <c r="H495" s="221"/>
    </row>
    <row r="496" spans="1:9" ht="31.5" hidden="1" x14ac:dyDescent="0.25">
      <c r="A496" s="26" t="s">
        <v>194</v>
      </c>
      <c r="B496" s="17">
        <v>905</v>
      </c>
      <c r="C496" s="21" t="s">
        <v>307</v>
      </c>
      <c r="D496" s="21" t="s">
        <v>213</v>
      </c>
      <c r="E496" s="21" t="s">
        <v>466</v>
      </c>
      <c r="F496" s="21" t="s">
        <v>195</v>
      </c>
      <c r="G496" s="27">
        <f t="shared" si="82"/>
        <v>0</v>
      </c>
      <c r="H496" s="221"/>
    </row>
    <row r="497" spans="1:12" ht="47.25" hidden="1" x14ac:dyDescent="0.25">
      <c r="A497" s="26" t="s">
        <v>196</v>
      </c>
      <c r="B497" s="17">
        <v>905</v>
      </c>
      <c r="C497" s="21" t="s">
        <v>307</v>
      </c>
      <c r="D497" s="21" t="s">
        <v>213</v>
      </c>
      <c r="E497" s="21" t="s">
        <v>466</v>
      </c>
      <c r="F497" s="21" t="s">
        <v>197</v>
      </c>
      <c r="G497" s="27">
        <f>1330-1330</f>
        <v>0</v>
      </c>
      <c r="H497" s="221"/>
      <c r="I497" s="141"/>
    </row>
    <row r="498" spans="1:12" ht="31.5" x14ac:dyDescent="0.25">
      <c r="A498" s="20" t="s">
        <v>467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21"/>
      <c r="L498" s="142"/>
    </row>
    <row r="499" spans="1:12" ht="15.75" x14ac:dyDescent="0.25">
      <c r="A499" s="24" t="s">
        <v>180</v>
      </c>
      <c r="B499" s="20">
        <v>906</v>
      </c>
      <c r="C499" s="25" t="s">
        <v>181</v>
      </c>
      <c r="D499" s="25"/>
      <c r="E499" s="25"/>
      <c r="F499" s="25"/>
      <c r="G499" s="22">
        <f>G500</f>
        <v>5</v>
      </c>
      <c r="H499" s="221"/>
    </row>
    <row r="500" spans="1:12" ht="15.75" x14ac:dyDescent="0.25">
      <c r="A500" s="36" t="s">
        <v>202</v>
      </c>
      <c r="B500" s="20">
        <v>906</v>
      </c>
      <c r="C500" s="25" t="s">
        <v>181</v>
      </c>
      <c r="D500" s="25" t="s">
        <v>203</v>
      </c>
      <c r="E500" s="25"/>
      <c r="F500" s="25"/>
      <c r="G500" s="22">
        <f t="shared" ref="G500:G504" si="83">G501</f>
        <v>5</v>
      </c>
      <c r="H500" s="221"/>
    </row>
    <row r="501" spans="1:12" ht="18" customHeight="1" x14ac:dyDescent="0.25">
      <c r="A501" s="33" t="s">
        <v>184</v>
      </c>
      <c r="B501" s="17">
        <v>906</v>
      </c>
      <c r="C501" s="21" t="s">
        <v>181</v>
      </c>
      <c r="D501" s="21" t="s">
        <v>203</v>
      </c>
      <c r="E501" s="21" t="s">
        <v>185</v>
      </c>
      <c r="F501" s="21"/>
      <c r="G501" s="27">
        <f>G502</f>
        <v>5</v>
      </c>
      <c r="H501" s="221"/>
    </row>
    <row r="502" spans="1:12" ht="15.75" x14ac:dyDescent="0.25">
      <c r="A502" s="33" t="s">
        <v>204</v>
      </c>
      <c r="B502" s="17">
        <v>906</v>
      </c>
      <c r="C502" s="21" t="s">
        <v>181</v>
      </c>
      <c r="D502" s="21" t="s">
        <v>203</v>
      </c>
      <c r="E502" s="21" t="s">
        <v>205</v>
      </c>
      <c r="F502" s="21"/>
      <c r="G502" s="27">
        <f t="shared" si="83"/>
        <v>5</v>
      </c>
      <c r="H502" s="221"/>
    </row>
    <row r="503" spans="1:12" ht="15.75" x14ac:dyDescent="0.25">
      <c r="A503" s="26" t="s">
        <v>242</v>
      </c>
      <c r="B503" s="17">
        <v>906</v>
      </c>
      <c r="C503" s="21" t="s">
        <v>181</v>
      </c>
      <c r="D503" s="21" t="s">
        <v>203</v>
      </c>
      <c r="E503" s="21" t="s">
        <v>268</v>
      </c>
      <c r="F503" s="21"/>
      <c r="G503" s="27">
        <f>G504</f>
        <v>5</v>
      </c>
      <c r="H503" s="221"/>
    </row>
    <row r="504" spans="1:12" ht="31.5" x14ac:dyDescent="0.25">
      <c r="A504" s="26" t="s">
        <v>194</v>
      </c>
      <c r="B504" s="17">
        <v>906</v>
      </c>
      <c r="C504" s="21" t="s">
        <v>181</v>
      </c>
      <c r="D504" s="21" t="s">
        <v>203</v>
      </c>
      <c r="E504" s="21" t="s">
        <v>268</v>
      </c>
      <c r="F504" s="21" t="s">
        <v>195</v>
      </c>
      <c r="G504" s="27">
        <f t="shared" si="83"/>
        <v>5</v>
      </c>
      <c r="H504" s="221"/>
    </row>
    <row r="505" spans="1:12" ht="47.25" x14ac:dyDescent="0.25">
      <c r="A505" s="26" t="s">
        <v>196</v>
      </c>
      <c r="B505" s="17">
        <v>906</v>
      </c>
      <c r="C505" s="21" t="s">
        <v>181</v>
      </c>
      <c r="D505" s="21" t="s">
        <v>203</v>
      </c>
      <c r="E505" s="21" t="s">
        <v>268</v>
      </c>
      <c r="F505" s="21" t="s">
        <v>197</v>
      </c>
      <c r="G505" s="27">
        <v>5</v>
      </c>
      <c r="H505" s="221"/>
    </row>
    <row r="506" spans="1:12" ht="15.75" x14ac:dyDescent="0.25">
      <c r="A506" s="24" t="s">
        <v>326</v>
      </c>
      <c r="B506" s="20">
        <v>906</v>
      </c>
      <c r="C506" s="25" t="s">
        <v>327</v>
      </c>
      <c r="D506" s="25"/>
      <c r="E506" s="25"/>
      <c r="F506" s="25"/>
      <c r="G506" s="22">
        <f>G507+G546+G633+G645+G612</f>
        <v>261516.80000000002</v>
      </c>
      <c r="H506" s="221"/>
    </row>
    <row r="507" spans="1:12" ht="15.75" x14ac:dyDescent="0.25">
      <c r="A507" s="24" t="s">
        <v>468</v>
      </c>
      <c r="B507" s="20">
        <v>906</v>
      </c>
      <c r="C507" s="25" t="s">
        <v>327</v>
      </c>
      <c r="D507" s="25" t="s">
        <v>181</v>
      </c>
      <c r="E507" s="25"/>
      <c r="F507" s="25"/>
      <c r="G507" s="22">
        <f>G508+G526</f>
        <v>84659.4</v>
      </c>
      <c r="H507" s="221"/>
    </row>
    <row r="508" spans="1:12" ht="47.25" x14ac:dyDescent="0.25">
      <c r="A508" s="26" t="s">
        <v>469</v>
      </c>
      <c r="B508" s="17">
        <v>906</v>
      </c>
      <c r="C508" s="21" t="s">
        <v>327</v>
      </c>
      <c r="D508" s="21" t="s">
        <v>181</v>
      </c>
      <c r="E508" s="21" t="s">
        <v>470</v>
      </c>
      <c r="F508" s="21"/>
      <c r="G508" s="27">
        <f t="shared" ref="G508" si="84">G509+G513</f>
        <v>23453.4</v>
      </c>
      <c r="H508" s="221"/>
    </row>
    <row r="509" spans="1:12" ht="47.25" x14ac:dyDescent="0.25">
      <c r="A509" s="26" t="s">
        <v>471</v>
      </c>
      <c r="B509" s="17">
        <v>906</v>
      </c>
      <c r="C509" s="21" t="s">
        <v>327</v>
      </c>
      <c r="D509" s="21" t="s">
        <v>181</v>
      </c>
      <c r="E509" s="21" t="s">
        <v>472</v>
      </c>
      <c r="F509" s="21"/>
      <c r="G509" s="27">
        <f>G510</f>
        <v>15578.400000000001</v>
      </c>
      <c r="H509" s="221"/>
    </row>
    <row r="510" spans="1:12" ht="47.25" x14ac:dyDescent="0.25">
      <c r="A510" s="26" t="s">
        <v>473</v>
      </c>
      <c r="B510" s="17">
        <v>906</v>
      </c>
      <c r="C510" s="21" t="s">
        <v>327</v>
      </c>
      <c r="D510" s="21" t="s">
        <v>181</v>
      </c>
      <c r="E510" s="21" t="s">
        <v>474</v>
      </c>
      <c r="F510" s="21"/>
      <c r="G510" s="27">
        <f t="shared" ref="G510" si="85">G511</f>
        <v>15578.400000000001</v>
      </c>
      <c r="H510" s="221"/>
    </row>
    <row r="511" spans="1:12" ht="47.25" x14ac:dyDescent="0.25">
      <c r="A511" s="26" t="s">
        <v>335</v>
      </c>
      <c r="B511" s="17">
        <v>906</v>
      </c>
      <c r="C511" s="21" t="s">
        <v>327</v>
      </c>
      <c r="D511" s="21" t="s">
        <v>181</v>
      </c>
      <c r="E511" s="21" t="s">
        <v>474</v>
      </c>
      <c r="F511" s="21" t="s">
        <v>336</v>
      </c>
      <c r="G511" s="27">
        <f>G512</f>
        <v>15578.400000000001</v>
      </c>
      <c r="H511" s="221"/>
    </row>
    <row r="512" spans="1:12" ht="15.75" x14ac:dyDescent="0.25">
      <c r="A512" s="26" t="s">
        <v>337</v>
      </c>
      <c r="B512" s="17">
        <v>906</v>
      </c>
      <c r="C512" s="21" t="s">
        <v>327</v>
      </c>
      <c r="D512" s="21" t="s">
        <v>181</v>
      </c>
      <c r="E512" s="21" t="s">
        <v>474</v>
      </c>
      <c r="F512" s="21" t="s">
        <v>338</v>
      </c>
      <c r="G512" s="28">
        <f>17368.2+6858.7-6314-1360.2-974.3</f>
        <v>15578.400000000001</v>
      </c>
      <c r="H512" s="223"/>
      <c r="I512" s="153"/>
    </row>
    <row r="513" spans="1:8" ht="47.25" x14ac:dyDescent="0.25">
      <c r="A513" s="26" t="s">
        <v>475</v>
      </c>
      <c r="B513" s="17">
        <v>906</v>
      </c>
      <c r="C513" s="21" t="s">
        <v>327</v>
      </c>
      <c r="D513" s="21" t="s">
        <v>181</v>
      </c>
      <c r="E513" s="21" t="s">
        <v>476</v>
      </c>
      <c r="F513" s="21"/>
      <c r="G513" s="27">
        <f>G514+G517+G520+G523</f>
        <v>7875</v>
      </c>
      <c r="H513" s="221"/>
    </row>
    <row r="514" spans="1:8" ht="47.25" hidden="1" x14ac:dyDescent="0.25">
      <c r="A514" s="26" t="s">
        <v>341</v>
      </c>
      <c r="B514" s="17">
        <v>906</v>
      </c>
      <c r="C514" s="21" t="s">
        <v>327</v>
      </c>
      <c r="D514" s="21" t="s">
        <v>181</v>
      </c>
      <c r="E514" s="21" t="s">
        <v>477</v>
      </c>
      <c r="F514" s="21"/>
      <c r="G514" s="27">
        <f t="shared" ref="G514:G515" si="86">G515</f>
        <v>0</v>
      </c>
      <c r="H514" s="221"/>
    </row>
    <row r="515" spans="1:8" ht="47.25" hidden="1" x14ac:dyDescent="0.25">
      <c r="A515" s="26" t="s">
        <v>335</v>
      </c>
      <c r="B515" s="17">
        <v>906</v>
      </c>
      <c r="C515" s="21" t="s">
        <v>327</v>
      </c>
      <c r="D515" s="21" t="s">
        <v>181</v>
      </c>
      <c r="E515" s="21" t="s">
        <v>477</v>
      </c>
      <c r="F515" s="21" t="s">
        <v>336</v>
      </c>
      <c r="G515" s="27">
        <f t="shared" si="86"/>
        <v>0</v>
      </c>
      <c r="H515" s="221"/>
    </row>
    <row r="516" spans="1:8" ht="15.75" hidden="1" x14ac:dyDescent="0.25">
      <c r="A516" s="26" t="s">
        <v>337</v>
      </c>
      <c r="B516" s="17">
        <v>906</v>
      </c>
      <c r="C516" s="21" t="s">
        <v>327</v>
      </c>
      <c r="D516" s="21" t="s">
        <v>181</v>
      </c>
      <c r="E516" s="21" t="s">
        <v>477</v>
      </c>
      <c r="F516" s="21" t="s">
        <v>338</v>
      </c>
      <c r="G516" s="27">
        <v>0</v>
      </c>
      <c r="H516" s="221"/>
    </row>
    <row r="517" spans="1:8" ht="31.5" x14ac:dyDescent="0.25">
      <c r="A517" s="26" t="s">
        <v>343</v>
      </c>
      <c r="B517" s="17">
        <v>906</v>
      </c>
      <c r="C517" s="21" t="s">
        <v>327</v>
      </c>
      <c r="D517" s="21" t="s">
        <v>181</v>
      </c>
      <c r="E517" s="21" t="s">
        <v>478</v>
      </c>
      <c r="F517" s="21"/>
      <c r="G517" s="27">
        <f t="shared" ref="G517:G518" si="87">G518</f>
        <v>1145</v>
      </c>
      <c r="H517" s="221"/>
    </row>
    <row r="518" spans="1:8" ht="47.25" x14ac:dyDescent="0.25">
      <c r="A518" s="26" t="s">
        <v>335</v>
      </c>
      <c r="B518" s="17">
        <v>906</v>
      </c>
      <c r="C518" s="21" t="s">
        <v>327</v>
      </c>
      <c r="D518" s="21" t="s">
        <v>181</v>
      </c>
      <c r="E518" s="21" t="s">
        <v>478</v>
      </c>
      <c r="F518" s="21" t="s">
        <v>336</v>
      </c>
      <c r="G518" s="27">
        <f t="shared" si="87"/>
        <v>1145</v>
      </c>
      <c r="H518" s="221"/>
    </row>
    <row r="519" spans="1:8" ht="15.75" x14ac:dyDescent="0.25">
      <c r="A519" s="26" t="s">
        <v>337</v>
      </c>
      <c r="B519" s="17">
        <v>906</v>
      </c>
      <c r="C519" s="21" t="s">
        <v>327</v>
      </c>
      <c r="D519" s="21" t="s">
        <v>181</v>
      </c>
      <c r="E519" s="21" t="s">
        <v>478</v>
      </c>
      <c r="F519" s="21" t="s">
        <v>338</v>
      </c>
      <c r="G519" s="194">
        <f>800+300+45</f>
        <v>1145</v>
      </c>
      <c r="H519" s="207" t="s">
        <v>887</v>
      </c>
    </row>
    <row r="520" spans="1:8" ht="47.25" x14ac:dyDescent="0.25">
      <c r="A520" s="26" t="s">
        <v>479</v>
      </c>
      <c r="B520" s="17">
        <v>906</v>
      </c>
      <c r="C520" s="21" t="s">
        <v>327</v>
      </c>
      <c r="D520" s="21" t="s">
        <v>181</v>
      </c>
      <c r="E520" s="21" t="s">
        <v>480</v>
      </c>
      <c r="F520" s="21"/>
      <c r="G520" s="27">
        <f t="shared" ref="G520" si="88">G521</f>
        <v>6730</v>
      </c>
      <c r="H520" s="221"/>
    </row>
    <row r="521" spans="1:8" ht="47.25" x14ac:dyDescent="0.25">
      <c r="A521" s="26" t="s">
        <v>335</v>
      </c>
      <c r="B521" s="17">
        <v>906</v>
      </c>
      <c r="C521" s="21" t="s">
        <v>327</v>
      </c>
      <c r="D521" s="21" t="s">
        <v>181</v>
      </c>
      <c r="E521" s="21" t="s">
        <v>480</v>
      </c>
      <c r="F521" s="21" t="s">
        <v>336</v>
      </c>
      <c r="G521" s="27">
        <f>G522</f>
        <v>6730</v>
      </c>
      <c r="H521" s="221"/>
    </row>
    <row r="522" spans="1:8" ht="15.75" x14ac:dyDescent="0.25">
      <c r="A522" s="26" t="s">
        <v>337</v>
      </c>
      <c r="B522" s="17">
        <v>906</v>
      </c>
      <c r="C522" s="21" t="s">
        <v>327</v>
      </c>
      <c r="D522" s="21" t="s">
        <v>181</v>
      </c>
      <c r="E522" s="21" t="s">
        <v>480</v>
      </c>
      <c r="F522" s="21" t="s">
        <v>338</v>
      </c>
      <c r="G522" s="28">
        <v>6730</v>
      </c>
      <c r="H522" s="221"/>
    </row>
    <row r="523" spans="1:8" ht="31.5" hidden="1" x14ac:dyDescent="0.25">
      <c r="A523" s="26" t="s">
        <v>347</v>
      </c>
      <c r="B523" s="17">
        <v>906</v>
      </c>
      <c r="C523" s="21" t="s">
        <v>327</v>
      </c>
      <c r="D523" s="21" t="s">
        <v>181</v>
      </c>
      <c r="E523" s="21" t="s">
        <v>481</v>
      </c>
      <c r="F523" s="21"/>
      <c r="G523" s="27">
        <f t="shared" ref="G523:G524" si="89">G524</f>
        <v>0</v>
      </c>
      <c r="H523" s="221"/>
    </row>
    <row r="524" spans="1:8" ht="47.25" hidden="1" x14ac:dyDescent="0.25">
      <c r="A524" s="26" t="s">
        <v>335</v>
      </c>
      <c r="B524" s="17">
        <v>906</v>
      </c>
      <c r="C524" s="21" t="s">
        <v>327</v>
      </c>
      <c r="D524" s="21" t="s">
        <v>181</v>
      </c>
      <c r="E524" s="21" t="s">
        <v>481</v>
      </c>
      <c r="F524" s="21" t="s">
        <v>336</v>
      </c>
      <c r="G524" s="27">
        <f t="shared" si="89"/>
        <v>0</v>
      </c>
      <c r="H524" s="221"/>
    </row>
    <row r="525" spans="1:8" ht="15.75" hidden="1" x14ac:dyDescent="0.25">
      <c r="A525" s="26" t="s">
        <v>337</v>
      </c>
      <c r="B525" s="17">
        <v>906</v>
      </c>
      <c r="C525" s="21" t="s">
        <v>327</v>
      </c>
      <c r="D525" s="21" t="s">
        <v>181</v>
      </c>
      <c r="E525" s="21" t="s">
        <v>481</v>
      </c>
      <c r="F525" s="21" t="s">
        <v>338</v>
      </c>
      <c r="G525" s="27">
        <v>0</v>
      </c>
      <c r="H525" s="221"/>
    </row>
    <row r="526" spans="1:8" ht="15.75" x14ac:dyDescent="0.25">
      <c r="A526" s="26" t="s">
        <v>184</v>
      </c>
      <c r="B526" s="17">
        <v>906</v>
      </c>
      <c r="C526" s="21" t="s">
        <v>327</v>
      </c>
      <c r="D526" s="21" t="s">
        <v>181</v>
      </c>
      <c r="E526" s="21" t="s">
        <v>185</v>
      </c>
      <c r="F526" s="21"/>
      <c r="G526" s="27">
        <f>G527</f>
        <v>61206</v>
      </c>
      <c r="H526" s="221"/>
    </row>
    <row r="527" spans="1:8" ht="31.5" x14ac:dyDescent="0.25">
      <c r="A527" s="26" t="s">
        <v>248</v>
      </c>
      <c r="B527" s="17">
        <v>906</v>
      </c>
      <c r="C527" s="21" t="s">
        <v>327</v>
      </c>
      <c r="D527" s="21" t="s">
        <v>181</v>
      </c>
      <c r="E527" s="21" t="s">
        <v>249</v>
      </c>
      <c r="F527" s="21"/>
      <c r="G527" s="27">
        <f t="shared" ref="G527" si="90">G528+G531+G534+G537+G540+G543</f>
        <v>61206</v>
      </c>
      <c r="H527" s="221"/>
    </row>
    <row r="528" spans="1:8" ht="31.5" hidden="1" x14ac:dyDescent="0.25">
      <c r="A528" s="26" t="s">
        <v>482</v>
      </c>
      <c r="B528" s="17">
        <v>906</v>
      </c>
      <c r="C528" s="21" t="s">
        <v>327</v>
      </c>
      <c r="D528" s="21" t="s">
        <v>181</v>
      </c>
      <c r="E528" s="21" t="s">
        <v>483</v>
      </c>
      <c r="F528" s="21"/>
      <c r="G528" s="27">
        <f t="shared" ref="G528:G529" si="91">G529</f>
        <v>0</v>
      </c>
      <c r="H528" s="221"/>
    </row>
    <row r="529" spans="1:9" ht="47.25" hidden="1" x14ac:dyDescent="0.25">
      <c r="A529" s="26" t="s">
        <v>335</v>
      </c>
      <c r="B529" s="17">
        <v>906</v>
      </c>
      <c r="C529" s="21" t="s">
        <v>327</v>
      </c>
      <c r="D529" s="21" t="s">
        <v>181</v>
      </c>
      <c r="E529" s="21" t="s">
        <v>483</v>
      </c>
      <c r="F529" s="21" t="s">
        <v>336</v>
      </c>
      <c r="G529" s="27">
        <f t="shared" si="91"/>
        <v>0</v>
      </c>
      <c r="H529" s="221"/>
    </row>
    <row r="530" spans="1:9" ht="15.75" hidden="1" x14ac:dyDescent="0.25">
      <c r="A530" s="26" t="s">
        <v>337</v>
      </c>
      <c r="B530" s="17">
        <v>906</v>
      </c>
      <c r="C530" s="21" t="s">
        <v>327</v>
      </c>
      <c r="D530" s="21" t="s">
        <v>181</v>
      </c>
      <c r="E530" s="21" t="s">
        <v>483</v>
      </c>
      <c r="F530" s="21" t="s">
        <v>338</v>
      </c>
      <c r="G530" s="27"/>
      <c r="H530" s="221"/>
    </row>
    <row r="531" spans="1:9" ht="63" x14ac:dyDescent="0.25">
      <c r="A531" s="33" t="s">
        <v>352</v>
      </c>
      <c r="B531" s="17">
        <v>906</v>
      </c>
      <c r="C531" s="21" t="s">
        <v>327</v>
      </c>
      <c r="D531" s="21" t="s">
        <v>181</v>
      </c>
      <c r="E531" s="21" t="s">
        <v>353</v>
      </c>
      <c r="F531" s="21"/>
      <c r="G531" s="27">
        <f>G532</f>
        <v>310.2</v>
      </c>
      <c r="H531" s="221"/>
    </row>
    <row r="532" spans="1:9" ht="47.25" x14ac:dyDescent="0.25">
      <c r="A532" s="26" t="s">
        <v>335</v>
      </c>
      <c r="B532" s="17">
        <v>906</v>
      </c>
      <c r="C532" s="21" t="s">
        <v>327</v>
      </c>
      <c r="D532" s="21" t="s">
        <v>181</v>
      </c>
      <c r="E532" s="21" t="s">
        <v>353</v>
      </c>
      <c r="F532" s="21" t="s">
        <v>336</v>
      </c>
      <c r="G532" s="27">
        <f t="shared" ref="G532" si="92">G533</f>
        <v>310.2</v>
      </c>
      <c r="H532" s="221"/>
    </row>
    <row r="533" spans="1:9" ht="15.75" x14ac:dyDescent="0.25">
      <c r="A533" s="26" t="s">
        <v>337</v>
      </c>
      <c r="B533" s="17">
        <v>906</v>
      </c>
      <c r="C533" s="21" t="s">
        <v>327</v>
      </c>
      <c r="D533" s="21" t="s">
        <v>181</v>
      </c>
      <c r="E533" s="21" t="s">
        <v>353</v>
      </c>
      <c r="F533" s="21" t="s">
        <v>338</v>
      </c>
      <c r="G533" s="27">
        <f>416.2-106</f>
        <v>310.2</v>
      </c>
      <c r="H533" s="221"/>
      <c r="I533" s="141"/>
    </row>
    <row r="534" spans="1:9" ht="78.75" x14ac:dyDescent="0.25">
      <c r="A534" s="33" t="s">
        <v>484</v>
      </c>
      <c r="B534" s="17">
        <v>906</v>
      </c>
      <c r="C534" s="21" t="s">
        <v>327</v>
      </c>
      <c r="D534" s="21" t="s">
        <v>181</v>
      </c>
      <c r="E534" s="21" t="s">
        <v>355</v>
      </c>
      <c r="F534" s="21"/>
      <c r="G534" s="27">
        <f t="shared" ref="G534" si="93">G535</f>
        <v>1696.8</v>
      </c>
      <c r="H534" s="221"/>
    </row>
    <row r="535" spans="1:9" ht="47.25" x14ac:dyDescent="0.25">
      <c r="A535" s="26" t="s">
        <v>335</v>
      </c>
      <c r="B535" s="17">
        <v>906</v>
      </c>
      <c r="C535" s="21" t="s">
        <v>327</v>
      </c>
      <c r="D535" s="21" t="s">
        <v>181</v>
      </c>
      <c r="E535" s="21" t="s">
        <v>355</v>
      </c>
      <c r="F535" s="21" t="s">
        <v>336</v>
      </c>
      <c r="G535" s="27">
        <f>G536</f>
        <v>1696.8</v>
      </c>
      <c r="H535" s="221"/>
    </row>
    <row r="536" spans="1:9" ht="15.75" x14ac:dyDescent="0.25">
      <c r="A536" s="26" t="s">
        <v>337</v>
      </c>
      <c r="B536" s="17">
        <v>906</v>
      </c>
      <c r="C536" s="21" t="s">
        <v>327</v>
      </c>
      <c r="D536" s="21" t="s">
        <v>181</v>
      </c>
      <c r="E536" s="21" t="s">
        <v>355</v>
      </c>
      <c r="F536" s="21" t="s">
        <v>338</v>
      </c>
      <c r="G536" s="27">
        <f>1900-203.2</f>
        <v>1696.8</v>
      </c>
      <c r="H536" s="221"/>
      <c r="I536" s="141"/>
    </row>
    <row r="537" spans="1:9" ht="94.5" x14ac:dyDescent="0.25">
      <c r="A537" s="33" t="s">
        <v>485</v>
      </c>
      <c r="B537" s="17">
        <v>906</v>
      </c>
      <c r="C537" s="21" t="s">
        <v>327</v>
      </c>
      <c r="D537" s="21" t="s">
        <v>181</v>
      </c>
      <c r="E537" s="21" t="s">
        <v>486</v>
      </c>
      <c r="F537" s="21"/>
      <c r="G537" s="27">
        <f>G538</f>
        <v>56320</v>
      </c>
      <c r="H537" s="221"/>
    </row>
    <row r="538" spans="1:9" ht="47.25" x14ac:dyDescent="0.25">
      <c r="A538" s="26" t="s">
        <v>335</v>
      </c>
      <c r="B538" s="17">
        <v>906</v>
      </c>
      <c r="C538" s="21" t="s">
        <v>327</v>
      </c>
      <c r="D538" s="21" t="s">
        <v>181</v>
      </c>
      <c r="E538" s="21" t="s">
        <v>486</v>
      </c>
      <c r="F538" s="21" t="s">
        <v>336</v>
      </c>
      <c r="G538" s="27">
        <f t="shared" ref="G538" si="94">G539</f>
        <v>56320</v>
      </c>
      <c r="H538" s="221"/>
    </row>
    <row r="539" spans="1:9" ht="15.75" x14ac:dyDescent="0.25">
      <c r="A539" s="26" t="s">
        <v>337</v>
      </c>
      <c r="B539" s="17">
        <v>906</v>
      </c>
      <c r="C539" s="21" t="s">
        <v>327</v>
      </c>
      <c r="D539" s="21" t="s">
        <v>181</v>
      </c>
      <c r="E539" s="21" t="s">
        <v>486</v>
      </c>
      <c r="F539" s="21" t="s">
        <v>338</v>
      </c>
      <c r="G539" s="28">
        <f>66162.2-7643.6-2198.6</f>
        <v>56320</v>
      </c>
      <c r="H539" s="132"/>
      <c r="I539" s="141"/>
    </row>
    <row r="540" spans="1:9" ht="110.25" x14ac:dyDescent="0.25">
      <c r="A540" s="33" t="s">
        <v>356</v>
      </c>
      <c r="B540" s="17">
        <v>906</v>
      </c>
      <c r="C540" s="21" t="s">
        <v>327</v>
      </c>
      <c r="D540" s="21" t="s">
        <v>181</v>
      </c>
      <c r="E540" s="21" t="s">
        <v>357</v>
      </c>
      <c r="F540" s="21"/>
      <c r="G540" s="27">
        <f t="shared" ref="G540" si="95">G541</f>
        <v>2879</v>
      </c>
      <c r="H540" s="221"/>
    </row>
    <row r="541" spans="1:9" ht="47.25" x14ac:dyDescent="0.25">
      <c r="A541" s="26" t="s">
        <v>335</v>
      </c>
      <c r="B541" s="17">
        <v>906</v>
      </c>
      <c r="C541" s="21" t="s">
        <v>327</v>
      </c>
      <c r="D541" s="21" t="s">
        <v>181</v>
      </c>
      <c r="E541" s="21" t="s">
        <v>357</v>
      </c>
      <c r="F541" s="21" t="s">
        <v>336</v>
      </c>
      <c r="G541" s="27">
        <f>G542</f>
        <v>2879</v>
      </c>
      <c r="H541" s="221"/>
    </row>
    <row r="542" spans="1:9" ht="15.75" x14ac:dyDescent="0.25">
      <c r="A542" s="26" t="s">
        <v>337</v>
      </c>
      <c r="B542" s="17">
        <v>906</v>
      </c>
      <c r="C542" s="21" t="s">
        <v>327</v>
      </c>
      <c r="D542" s="21" t="s">
        <v>181</v>
      </c>
      <c r="E542" s="21" t="s">
        <v>357</v>
      </c>
      <c r="F542" s="21" t="s">
        <v>338</v>
      </c>
      <c r="G542" s="28">
        <f>2937.2-58.2</f>
        <v>2879</v>
      </c>
      <c r="H542" s="221"/>
      <c r="I542" s="141"/>
    </row>
    <row r="543" spans="1:9" ht="157.5" hidden="1" x14ac:dyDescent="0.25">
      <c r="A543" s="26" t="s">
        <v>487</v>
      </c>
      <c r="B543" s="17">
        <v>906</v>
      </c>
      <c r="C543" s="21" t="s">
        <v>327</v>
      </c>
      <c r="D543" s="21" t="s">
        <v>181</v>
      </c>
      <c r="E543" s="21" t="s">
        <v>488</v>
      </c>
      <c r="F543" s="21"/>
      <c r="G543" s="28">
        <f t="shared" ref="G543:G544" si="96">G544</f>
        <v>0</v>
      </c>
      <c r="H543" s="221"/>
    </row>
    <row r="544" spans="1:9" ht="47.25" hidden="1" x14ac:dyDescent="0.25">
      <c r="A544" s="26" t="s">
        <v>335</v>
      </c>
      <c r="B544" s="17">
        <v>906</v>
      </c>
      <c r="C544" s="21" t="s">
        <v>327</v>
      </c>
      <c r="D544" s="21" t="s">
        <v>181</v>
      </c>
      <c r="E544" s="21" t="s">
        <v>488</v>
      </c>
      <c r="F544" s="21" t="s">
        <v>336</v>
      </c>
      <c r="G544" s="28">
        <f t="shared" si="96"/>
        <v>0</v>
      </c>
      <c r="H544" s="221"/>
    </row>
    <row r="545" spans="1:9" ht="15.75" hidden="1" x14ac:dyDescent="0.25">
      <c r="A545" s="26" t="s">
        <v>337</v>
      </c>
      <c r="B545" s="17">
        <v>906</v>
      </c>
      <c r="C545" s="21" t="s">
        <v>327</v>
      </c>
      <c r="D545" s="21" t="s">
        <v>181</v>
      </c>
      <c r="E545" s="21" t="s">
        <v>488</v>
      </c>
      <c r="F545" s="21" t="s">
        <v>338</v>
      </c>
      <c r="G545" s="28">
        <f>276.5-276.5</f>
        <v>0</v>
      </c>
      <c r="H545" s="221"/>
      <c r="I545" s="141"/>
    </row>
    <row r="546" spans="1:9" ht="15.75" x14ac:dyDescent="0.25">
      <c r="A546" s="24" t="s">
        <v>489</v>
      </c>
      <c r="B546" s="20">
        <v>906</v>
      </c>
      <c r="C546" s="25" t="s">
        <v>327</v>
      </c>
      <c r="D546" s="25" t="s">
        <v>276</v>
      </c>
      <c r="E546" s="25"/>
      <c r="F546" s="25"/>
      <c r="G546" s="22">
        <f>G547+G580</f>
        <v>130684.4</v>
      </c>
      <c r="H546" s="221"/>
    </row>
    <row r="547" spans="1:9" ht="47.25" x14ac:dyDescent="0.25">
      <c r="A547" s="26" t="s">
        <v>490</v>
      </c>
      <c r="B547" s="17">
        <v>906</v>
      </c>
      <c r="C547" s="21" t="s">
        <v>327</v>
      </c>
      <c r="D547" s="21" t="s">
        <v>276</v>
      </c>
      <c r="E547" s="21" t="s">
        <v>470</v>
      </c>
      <c r="F547" s="21"/>
      <c r="G547" s="27">
        <f>G548+G552</f>
        <v>40826.6</v>
      </c>
      <c r="H547" s="221"/>
    </row>
    <row r="548" spans="1:9" ht="47.25" x14ac:dyDescent="0.25">
      <c r="A548" s="26" t="s">
        <v>471</v>
      </c>
      <c r="B548" s="17">
        <v>906</v>
      </c>
      <c r="C548" s="21" t="s">
        <v>327</v>
      </c>
      <c r="D548" s="21" t="s">
        <v>276</v>
      </c>
      <c r="E548" s="21" t="s">
        <v>472</v>
      </c>
      <c r="F548" s="21"/>
      <c r="G548" s="27">
        <f>G549</f>
        <v>34151.199999999997</v>
      </c>
      <c r="H548" s="221"/>
    </row>
    <row r="549" spans="1:9" ht="47.25" x14ac:dyDescent="0.25">
      <c r="A549" s="26" t="s">
        <v>491</v>
      </c>
      <c r="B549" s="17">
        <v>906</v>
      </c>
      <c r="C549" s="21" t="s">
        <v>327</v>
      </c>
      <c r="D549" s="21" t="s">
        <v>276</v>
      </c>
      <c r="E549" s="21" t="s">
        <v>492</v>
      </c>
      <c r="F549" s="21"/>
      <c r="G549" s="27">
        <f t="shared" ref="G549" si="97">G550</f>
        <v>34151.199999999997</v>
      </c>
      <c r="H549" s="221"/>
    </row>
    <row r="550" spans="1:9" ht="47.25" x14ac:dyDescent="0.25">
      <c r="A550" s="26" t="s">
        <v>335</v>
      </c>
      <c r="B550" s="17">
        <v>906</v>
      </c>
      <c r="C550" s="21" t="s">
        <v>327</v>
      </c>
      <c r="D550" s="21" t="s">
        <v>276</v>
      </c>
      <c r="E550" s="21" t="s">
        <v>492</v>
      </c>
      <c r="F550" s="21" t="s">
        <v>336</v>
      </c>
      <c r="G550" s="27">
        <f>G551</f>
        <v>34151.199999999997</v>
      </c>
      <c r="H550" s="221"/>
    </row>
    <row r="551" spans="1:9" ht="15.75" x14ac:dyDescent="0.25">
      <c r="A551" s="26" t="s">
        <v>337</v>
      </c>
      <c r="B551" s="17">
        <v>906</v>
      </c>
      <c r="C551" s="21" t="s">
        <v>327</v>
      </c>
      <c r="D551" s="21" t="s">
        <v>276</v>
      </c>
      <c r="E551" s="21" t="s">
        <v>492</v>
      </c>
      <c r="F551" s="21" t="s">
        <v>338</v>
      </c>
      <c r="G551" s="28">
        <f>21817.5+13206.2-481.7+562.6-953.4</f>
        <v>34151.199999999997</v>
      </c>
      <c r="H551" s="223"/>
      <c r="I551" s="153"/>
    </row>
    <row r="552" spans="1:9" ht="31.5" x14ac:dyDescent="0.25">
      <c r="A552" s="26" t="s">
        <v>494</v>
      </c>
      <c r="B552" s="17">
        <v>906</v>
      </c>
      <c r="C552" s="21" t="s">
        <v>327</v>
      </c>
      <c r="D552" s="21" t="s">
        <v>276</v>
      </c>
      <c r="E552" s="21" t="s">
        <v>495</v>
      </c>
      <c r="F552" s="21"/>
      <c r="G552" s="27">
        <f>G558+G574+G571+G577+G568+G553+G559+G562+G565</f>
        <v>6675.4</v>
      </c>
      <c r="H552" s="221"/>
    </row>
    <row r="553" spans="1:9" ht="63" hidden="1" x14ac:dyDescent="0.25">
      <c r="A553" s="26" t="s">
        <v>496</v>
      </c>
      <c r="B553" s="17">
        <v>906</v>
      </c>
      <c r="C553" s="21" t="s">
        <v>327</v>
      </c>
      <c r="D553" s="21" t="s">
        <v>276</v>
      </c>
      <c r="E553" s="21" t="s">
        <v>497</v>
      </c>
      <c r="F553" s="21"/>
      <c r="G553" s="27">
        <f t="shared" ref="G553:G554" si="98">G554</f>
        <v>0</v>
      </c>
      <c r="H553" s="221"/>
    </row>
    <row r="554" spans="1:9" ht="47.25" hidden="1" x14ac:dyDescent="0.25">
      <c r="A554" s="26" t="s">
        <v>335</v>
      </c>
      <c r="B554" s="17">
        <v>906</v>
      </c>
      <c r="C554" s="21" t="s">
        <v>327</v>
      </c>
      <c r="D554" s="21" t="s">
        <v>276</v>
      </c>
      <c r="E554" s="21" t="s">
        <v>497</v>
      </c>
      <c r="F554" s="21" t="s">
        <v>336</v>
      </c>
      <c r="G554" s="27">
        <f t="shared" si="98"/>
        <v>0</v>
      </c>
      <c r="H554" s="221"/>
    </row>
    <row r="555" spans="1:9" ht="15.75" hidden="1" x14ac:dyDescent="0.25">
      <c r="A555" s="26" t="s">
        <v>337</v>
      </c>
      <c r="B555" s="17">
        <v>906</v>
      </c>
      <c r="C555" s="21" t="s">
        <v>327</v>
      </c>
      <c r="D555" s="21" t="s">
        <v>276</v>
      </c>
      <c r="E555" s="21" t="s">
        <v>497</v>
      </c>
      <c r="F555" s="21" t="s">
        <v>338</v>
      </c>
      <c r="G555" s="27">
        <v>0</v>
      </c>
      <c r="H555" s="221"/>
    </row>
    <row r="556" spans="1:9" ht="48.75" hidden="1" customHeight="1" x14ac:dyDescent="0.25">
      <c r="A556" s="26" t="s">
        <v>498</v>
      </c>
      <c r="B556" s="17">
        <v>906</v>
      </c>
      <c r="C556" s="21" t="s">
        <v>327</v>
      </c>
      <c r="D556" s="21" t="s">
        <v>276</v>
      </c>
      <c r="E556" s="21" t="s">
        <v>499</v>
      </c>
      <c r="F556" s="21"/>
      <c r="G556" s="27">
        <f t="shared" ref="G556:G557" si="99">G557</f>
        <v>0</v>
      </c>
      <c r="H556" s="221"/>
    </row>
    <row r="557" spans="1:9" ht="47.25" hidden="1" x14ac:dyDescent="0.25">
      <c r="A557" s="26" t="s">
        <v>335</v>
      </c>
      <c r="B557" s="17">
        <v>906</v>
      </c>
      <c r="C557" s="21" t="s">
        <v>327</v>
      </c>
      <c r="D557" s="21" t="s">
        <v>276</v>
      </c>
      <c r="E557" s="21" t="s">
        <v>499</v>
      </c>
      <c r="F557" s="21" t="s">
        <v>336</v>
      </c>
      <c r="G557" s="27">
        <f t="shared" si="99"/>
        <v>0</v>
      </c>
      <c r="H557" s="221"/>
    </row>
    <row r="558" spans="1:9" ht="15.75" hidden="1" x14ac:dyDescent="0.25">
      <c r="A558" s="26" t="s">
        <v>337</v>
      </c>
      <c r="B558" s="17">
        <v>906</v>
      </c>
      <c r="C558" s="21" t="s">
        <v>327</v>
      </c>
      <c r="D558" s="21" t="s">
        <v>276</v>
      </c>
      <c r="E558" s="21" t="s">
        <v>499</v>
      </c>
      <c r="F558" s="21" t="s">
        <v>338</v>
      </c>
      <c r="G558" s="27">
        <v>0</v>
      </c>
      <c r="H558" s="221"/>
    </row>
    <row r="559" spans="1:9" ht="63" x14ac:dyDescent="0.25">
      <c r="A559" s="26" t="s">
        <v>500</v>
      </c>
      <c r="B559" s="17">
        <v>906</v>
      </c>
      <c r="C559" s="21" t="s">
        <v>327</v>
      </c>
      <c r="D559" s="21" t="s">
        <v>276</v>
      </c>
      <c r="E559" s="21" t="s">
        <v>501</v>
      </c>
      <c r="F559" s="21"/>
      <c r="G559" s="27">
        <f>G560</f>
        <v>2690</v>
      </c>
      <c r="H559" s="221"/>
    </row>
    <row r="560" spans="1:9" ht="47.25" x14ac:dyDescent="0.25">
      <c r="A560" s="26" t="s">
        <v>335</v>
      </c>
      <c r="B560" s="17">
        <v>906</v>
      </c>
      <c r="C560" s="21" t="s">
        <v>327</v>
      </c>
      <c r="D560" s="21" t="s">
        <v>276</v>
      </c>
      <c r="E560" s="21" t="s">
        <v>501</v>
      </c>
      <c r="F560" s="21" t="s">
        <v>336</v>
      </c>
      <c r="G560" s="27">
        <f t="shared" ref="G560" si="100">G561</f>
        <v>2690</v>
      </c>
      <c r="H560" s="221"/>
    </row>
    <row r="561" spans="1:8" ht="15.75" x14ac:dyDescent="0.25">
      <c r="A561" s="26" t="s">
        <v>337</v>
      </c>
      <c r="B561" s="17">
        <v>906</v>
      </c>
      <c r="C561" s="21" t="s">
        <v>327</v>
      </c>
      <c r="D561" s="21" t="s">
        <v>276</v>
      </c>
      <c r="E561" s="21" t="s">
        <v>501</v>
      </c>
      <c r="F561" s="21" t="s">
        <v>338</v>
      </c>
      <c r="G561" s="28">
        <f>3010-320</f>
        <v>2690</v>
      </c>
      <c r="H561" s="221"/>
    </row>
    <row r="562" spans="1:8" ht="63" x14ac:dyDescent="0.25">
      <c r="A562" s="26" t="s">
        <v>502</v>
      </c>
      <c r="B562" s="17">
        <v>906</v>
      </c>
      <c r="C562" s="21" t="s">
        <v>327</v>
      </c>
      <c r="D562" s="21" t="s">
        <v>276</v>
      </c>
      <c r="E562" s="21" t="s">
        <v>503</v>
      </c>
      <c r="F562" s="21"/>
      <c r="G562" s="27">
        <f t="shared" ref="G562" si="101">G563</f>
        <v>320</v>
      </c>
      <c r="H562" s="221"/>
    </row>
    <row r="563" spans="1:8" ht="47.25" x14ac:dyDescent="0.25">
      <c r="A563" s="26" t="s">
        <v>335</v>
      </c>
      <c r="B563" s="17">
        <v>906</v>
      </c>
      <c r="C563" s="21" t="s">
        <v>327</v>
      </c>
      <c r="D563" s="21" t="s">
        <v>276</v>
      </c>
      <c r="E563" s="21" t="s">
        <v>503</v>
      </c>
      <c r="F563" s="21" t="s">
        <v>336</v>
      </c>
      <c r="G563" s="27">
        <f>G564</f>
        <v>320</v>
      </c>
      <c r="H563" s="221"/>
    </row>
    <row r="564" spans="1:8" ht="15.75" x14ac:dyDescent="0.25">
      <c r="A564" s="26" t="s">
        <v>337</v>
      </c>
      <c r="B564" s="17">
        <v>906</v>
      </c>
      <c r="C564" s="21" t="s">
        <v>327</v>
      </c>
      <c r="D564" s="21" t="s">
        <v>276</v>
      </c>
      <c r="E564" s="21" t="s">
        <v>503</v>
      </c>
      <c r="F564" s="21" t="s">
        <v>338</v>
      </c>
      <c r="G564" s="27">
        <v>320</v>
      </c>
      <c r="H564" s="221"/>
    </row>
    <row r="565" spans="1:8" ht="47.25" hidden="1" x14ac:dyDescent="0.25">
      <c r="A565" s="26" t="s">
        <v>504</v>
      </c>
      <c r="B565" s="17">
        <v>906</v>
      </c>
      <c r="C565" s="21" t="s">
        <v>327</v>
      </c>
      <c r="D565" s="21" t="s">
        <v>276</v>
      </c>
      <c r="E565" s="21" t="s">
        <v>505</v>
      </c>
      <c r="F565" s="21"/>
      <c r="G565" s="27">
        <f t="shared" ref="G565:G566" si="102">G566</f>
        <v>0</v>
      </c>
      <c r="H565" s="221"/>
    </row>
    <row r="566" spans="1:8" ht="47.25" hidden="1" x14ac:dyDescent="0.25">
      <c r="A566" s="26" t="s">
        <v>335</v>
      </c>
      <c r="B566" s="17">
        <v>906</v>
      </c>
      <c r="C566" s="21" t="s">
        <v>327</v>
      </c>
      <c r="D566" s="21" t="s">
        <v>276</v>
      </c>
      <c r="E566" s="21" t="s">
        <v>505</v>
      </c>
      <c r="F566" s="21" t="s">
        <v>336</v>
      </c>
      <c r="G566" s="27">
        <f t="shared" si="102"/>
        <v>0</v>
      </c>
      <c r="H566" s="221"/>
    </row>
    <row r="567" spans="1:8" ht="15.75" hidden="1" x14ac:dyDescent="0.25">
      <c r="A567" s="26" t="s">
        <v>337</v>
      </c>
      <c r="B567" s="17">
        <v>906</v>
      </c>
      <c r="C567" s="21" t="s">
        <v>327</v>
      </c>
      <c r="D567" s="21" t="s">
        <v>276</v>
      </c>
      <c r="E567" s="21" t="s">
        <v>505</v>
      </c>
      <c r="F567" s="21" t="s">
        <v>338</v>
      </c>
      <c r="G567" s="27">
        <v>0</v>
      </c>
      <c r="H567" s="221"/>
    </row>
    <row r="568" spans="1:8" ht="47.25" x14ac:dyDescent="0.25">
      <c r="A568" s="26" t="s">
        <v>341</v>
      </c>
      <c r="B568" s="17">
        <v>906</v>
      </c>
      <c r="C568" s="21" t="s">
        <v>327</v>
      </c>
      <c r="D568" s="21" t="s">
        <v>276</v>
      </c>
      <c r="E568" s="21" t="s">
        <v>506</v>
      </c>
      <c r="F568" s="21"/>
      <c r="G568" s="27">
        <f t="shared" ref="G568:G569" si="103">G569</f>
        <v>3309</v>
      </c>
      <c r="H568" s="221"/>
    </row>
    <row r="569" spans="1:8" ht="47.25" x14ac:dyDescent="0.25">
      <c r="A569" s="26" t="s">
        <v>335</v>
      </c>
      <c r="B569" s="17">
        <v>906</v>
      </c>
      <c r="C569" s="21" t="s">
        <v>327</v>
      </c>
      <c r="D569" s="21" t="s">
        <v>276</v>
      </c>
      <c r="E569" s="21" t="s">
        <v>506</v>
      </c>
      <c r="F569" s="21" t="s">
        <v>336</v>
      </c>
      <c r="G569" s="27">
        <f t="shared" si="103"/>
        <v>3309</v>
      </c>
      <c r="H569" s="221"/>
    </row>
    <row r="570" spans="1:8" ht="15.75" x14ac:dyDescent="0.25">
      <c r="A570" s="26" t="s">
        <v>337</v>
      </c>
      <c r="B570" s="17">
        <v>906</v>
      </c>
      <c r="C570" s="21" t="s">
        <v>327</v>
      </c>
      <c r="D570" s="21" t="s">
        <v>276</v>
      </c>
      <c r="E570" s="21" t="s">
        <v>506</v>
      </c>
      <c r="F570" s="21" t="s">
        <v>338</v>
      </c>
      <c r="G570" s="27">
        <f>341+2968</f>
        <v>3309</v>
      </c>
      <c r="H570" s="146"/>
    </row>
    <row r="571" spans="1:8" ht="31.5" hidden="1" x14ac:dyDescent="0.25">
      <c r="A571" s="26" t="s">
        <v>343</v>
      </c>
      <c r="B571" s="17">
        <v>906</v>
      </c>
      <c r="C571" s="21" t="s">
        <v>327</v>
      </c>
      <c r="D571" s="21" t="s">
        <v>276</v>
      </c>
      <c r="E571" s="21" t="s">
        <v>507</v>
      </c>
      <c r="F571" s="21"/>
      <c r="G571" s="27">
        <f t="shared" ref="G571:G572" si="104">G572</f>
        <v>0</v>
      </c>
      <c r="H571" s="221"/>
    </row>
    <row r="572" spans="1:8" ht="47.25" hidden="1" x14ac:dyDescent="0.25">
      <c r="A572" s="26" t="s">
        <v>335</v>
      </c>
      <c r="B572" s="17">
        <v>906</v>
      </c>
      <c r="C572" s="21" t="s">
        <v>327</v>
      </c>
      <c r="D572" s="21" t="s">
        <v>276</v>
      </c>
      <c r="E572" s="21" t="s">
        <v>507</v>
      </c>
      <c r="F572" s="21" t="s">
        <v>336</v>
      </c>
      <c r="G572" s="27">
        <f t="shared" si="104"/>
        <v>0</v>
      </c>
      <c r="H572" s="221"/>
    </row>
    <row r="573" spans="1:8" ht="15.75" hidden="1" x14ac:dyDescent="0.25">
      <c r="A573" s="26" t="s">
        <v>337</v>
      </c>
      <c r="B573" s="17">
        <v>906</v>
      </c>
      <c r="C573" s="21" t="s">
        <v>327</v>
      </c>
      <c r="D573" s="21" t="s">
        <v>276</v>
      </c>
      <c r="E573" s="21" t="s">
        <v>507</v>
      </c>
      <c r="F573" s="21" t="s">
        <v>338</v>
      </c>
      <c r="G573" s="27">
        <v>0</v>
      </c>
      <c r="H573" s="221"/>
    </row>
    <row r="574" spans="1:8" ht="47.25" x14ac:dyDescent="0.25">
      <c r="A574" s="26" t="s">
        <v>345</v>
      </c>
      <c r="B574" s="17">
        <v>906</v>
      </c>
      <c r="C574" s="21" t="s">
        <v>327</v>
      </c>
      <c r="D574" s="21" t="s">
        <v>276</v>
      </c>
      <c r="E574" s="21" t="s">
        <v>508</v>
      </c>
      <c r="F574" s="21"/>
      <c r="G574" s="27">
        <f>G575</f>
        <v>127</v>
      </c>
      <c r="H574" s="221"/>
    </row>
    <row r="575" spans="1:8" ht="47.25" x14ac:dyDescent="0.25">
      <c r="A575" s="26" t="s">
        <v>335</v>
      </c>
      <c r="B575" s="17">
        <v>906</v>
      </c>
      <c r="C575" s="21" t="s">
        <v>327</v>
      </c>
      <c r="D575" s="21" t="s">
        <v>276</v>
      </c>
      <c r="E575" s="21" t="s">
        <v>508</v>
      </c>
      <c r="F575" s="21" t="s">
        <v>336</v>
      </c>
      <c r="G575" s="27">
        <f t="shared" ref="G575" si="105">G576</f>
        <v>127</v>
      </c>
      <c r="H575" s="221"/>
    </row>
    <row r="576" spans="1:8" ht="15.75" x14ac:dyDescent="0.25">
      <c r="A576" s="26" t="s">
        <v>337</v>
      </c>
      <c r="B576" s="17">
        <v>906</v>
      </c>
      <c r="C576" s="21" t="s">
        <v>327</v>
      </c>
      <c r="D576" s="21" t="s">
        <v>276</v>
      </c>
      <c r="E576" s="21" t="s">
        <v>508</v>
      </c>
      <c r="F576" s="21" t="s">
        <v>338</v>
      </c>
      <c r="G576" s="27">
        <v>127</v>
      </c>
      <c r="H576" s="221"/>
    </row>
    <row r="577" spans="1:12" ht="31.5" x14ac:dyDescent="0.25">
      <c r="A577" s="26" t="s">
        <v>347</v>
      </c>
      <c r="B577" s="17">
        <v>906</v>
      </c>
      <c r="C577" s="21" t="s">
        <v>327</v>
      </c>
      <c r="D577" s="21" t="s">
        <v>276</v>
      </c>
      <c r="E577" s="21" t="s">
        <v>509</v>
      </c>
      <c r="F577" s="21"/>
      <c r="G577" s="27">
        <f t="shared" ref="G577:G578" si="106">G578</f>
        <v>229.4</v>
      </c>
      <c r="H577" s="221"/>
    </row>
    <row r="578" spans="1:12" ht="47.25" x14ac:dyDescent="0.25">
      <c r="A578" s="26" t="s">
        <v>335</v>
      </c>
      <c r="B578" s="17">
        <v>906</v>
      </c>
      <c r="C578" s="21" t="s">
        <v>327</v>
      </c>
      <c r="D578" s="21" t="s">
        <v>276</v>
      </c>
      <c r="E578" s="21" t="s">
        <v>509</v>
      </c>
      <c r="F578" s="21" t="s">
        <v>336</v>
      </c>
      <c r="G578" s="27">
        <f t="shared" si="106"/>
        <v>229.4</v>
      </c>
      <c r="H578" s="221"/>
    </row>
    <row r="579" spans="1:12" ht="15.75" x14ac:dyDescent="0.25">
      <c r="A579" s="26" t="s">
        <v>337</v>
      </c>
      <c r="B579" s="17">
        <v>906</v>
      </c>
      <c r="C579" s="21" t="s">
        <v>327</v>
      </c>
      <c r="D579" s="21" t="s">
        <v>276</v>
      </c>
      <c r="E579" s="21" t="s">
        <v>509</v>
      </c>
      <c r="F579" s="21" t="s">
        <v>338</v>
      </c>
      <c r="G579" s="27">
        <v>229.4</v>
      </c>
      <c r="H579" s="132"/>
      <c r="I579" s="152"/>
    </row>
    <row r="580" spans="1:12" ht="15.75" x14ac:dyDescent="0.25">
      <c r="A580" s="26" t="s">
        <v>184</v>
      </c>
      <c r="B580" s="17">
        <v>906</v>
      </c>
      <c r="C580" s="21" t="s">
        <v>327</v>
      </c>
      <c r="D580" s="21" t="s">
        <v>276</v>
      </c>
      <c r="E580" s="21" t="s">
        <v>185</v>
      </c>
      <c r="F580" s="21"/>
      <c r="G580" s="27">
        <f t="shared" ref="G580" si="107">G581</f>
        <v>89857.8</v>
      </c>
      <c r="H580" s="221"/>
    </row>
    <row r="581" spans="1:12" ht="31.5" x14ac:dyDescent="0.25">
      <c r="A581" s="26" t="s">
        <v>248</v>
      </c>
      <c r="B581" s="17">
        <v>906</v>
      </c>
      <c r="C581" s="21" t="s">
        <v>327</v>
      </c>
      <c r="D581" s="21" t="s">
        <v>276</v>
      </c>
      <c r="E581" s="21" t="s">
        <v>249</v>
      </c>
      <c r="F581" s="21"/>
      <c r="G581" s="27">
        <f>G588+G591+G597+G600+G603+G606+G582+G585+G609+G594</f>
        <v>89857.8</v>
      </c>
      <c r="H581" s="221"/>
    </row>
    <row r="582" spans="1:12" ht="47.25" hidden="1" x14ac:dyDescent="0.25">
      <c r="A582" s="26" t="s">
        <v>514</v>
      </c>
      <c r="B582" s="17">
        <v>906</v>
      </c>
      <c r="C582" s="21" t="s">
        <v>327</v>
      </c>
      <c r="D582" s="21" t="s">
        <v>276</v>
      </c>
      <c r="E582" s="21" t="s">
        <v>515</v>
      </c>
      <c r="F582" s="21"/>
      <c r="G582" s="27">
        <f t="shared" ref="G582:G583" si="108">G583</f>
        <v>0</v>
      </c>
      <c r="H582" s="221"/>
    </row>
    <row r="583" spans="1:12" ht="47.25" hidden="1" x14ac:dyDescent="0.25">
      <c r="A583" s="26" t="s">
        <v>335</v>
      </c>
      <c r="B583" s="17">
        <v>906</v>
      </c>
      <c r="C583" s="21" t="s">
        <v>327</v>
      </c>
      <c r="D583" s="21" t="s">
        <v>276</v>
      </c>
      <c r="E583" s="21" t="s">
        <v>515</v>
      </c>
      <c r="F583" s="21" t="s">
        <v>336</v>
      </c>
      <c r="G583" s="27">
        <f t="shared" si="108"/>
        <v>0</v>
      </c>
      <c r="H583" s="221"/>
    </row>
    <row r="584" spans="1:12" ht="15.75" hidden="1" x14ac:dyDescent="0.25">
      <c r="A584" s="26" t="s">
        <v>337</v>
      </c>
      <c r="B584" s="17">
        <v>906</v>
      </c>
      <c r="C584" s="21" t="s">
        <v>327</v>
      </c>
      <c r="D584" s="21" t="s">
        <v>276</v>
      </c>
      <c r="E584" s="21" t="s">
        <v>515</v>
      </c>
      <c r="F584" s="21" t="s">
        <v>338</v>
      </c>
      <c r="G584" s="27">
        <v>0</v>
      </c>
      <c r="H584" s="221"/>
    </row>
    <row r="585" spans="1:12" ht="15.75" hidden="1" x14ac:dyDescent="0.25">
      <c r="A585" s="26" t="s">
        <v>516</v>
      </c>
      <c r="B585" s="17">
        <v>906</v>
      </c>
      <c r="C585" s="21" t="s">
        <v>327</v>
      </c>
      <c r="D585" s="21" t="s">
        <v>276</v>
      </c>
      <c r="E585" s="21" t="s">
        <v>517</v>
      </c>
      <c r="F585" s="21"/>
      <c r="G585" s="27">
        <f t="shared" ref="G585:G586" si="109">G586</f>
        <v>0</v>
      </c>
      <c r="H585" s="221"/>
    </row>
    <row r="586" spans="1:12" ht="47.25" hidden="1" x14ac:dyDescent="0.25">
      <c r="A586" s="26" t="s">
        <v>335</v>
      </c>
      <c r="B586" s="17">
        <v>906</v>
      </c>
      <c r="C586" s="21" t="s">
        <v>327</v>
      </c>
      <c r="D586" s="21" t="s">
        <v>276</v>
      </c>
      <c r="E586" s="21" t="s">
        <v>517</v>
      </c>
      <c r="F586" s="21" t="s">
        <v>336</v>
      </c>
      <c r="G586" s="27">
        <f t="shared" si="109"/>
        <v>0</v>
      </c>
      <c r="H586" s="221"/>
    </row>
    <row r="587" spans="1:12" ht="15.75" hidden="1" x14ac:dyDescent="0.25">
      <c r="A587" s="26" t="s">
        <v>337</v>
      </c>
      <c r="B587" s="17">
        <v>906</v>
      </c>
      <c r="C587" s="21" t="s">
        <v>327</v>
      </c>
      <c r="D587" s="21" t="s">
        <v>276</v>
      </c>
      <c r="E587" s="21" t="s">
        <v>517</v>
      </c>
      <c r="F587" s="21" t="s">
        <v>338</v>
      </c>
      <c r="G587" s="28">
        <v>0</v>
      </c>
      <c r="H587" s="221"/>
    </row>
    <row r="588" spans="1:12" ht="31.5" hidden="1" x14ac:dyDescent="0.25">
      <c r="A588" s="26" t="s">
        <v>518</v>
      </c>
      <c r="B588" s="17">
        <v>906</v>
      </c>
      <c r="C588" s="21" t="s">
        <v>327</v>
      </c>
      <c r="D588" s="21" t="s">
        <v>276</v>
      </c>
      <c r="E588" s="21" t="s">
        <v>519</v>
      </c>
      <c r="F588" s="21"/>
      <c r="G588" s="27">
        <f t="shared" ref="G588:G589" si="110">G589</f>
        <v>0</v>
      </c>
      <c r="H588" s="221"/>
    </row>
    <row r="589" spans="1:12" ht="47.25" hidden="1" x14ac:dyDescent="0.25">
      <c r="A589" s="26" t="s">
        <v>335</v>
      </c>
      <c r="B589" s="17">
        <v>906</v>
      </c>
      <c r="C589" s="21" t="s">
        <v>327</v>
      </c>
      <c r="D589" s="21" t="s">
        <v>276</v>
      </c>
      <c r="E589" s="21" t="s">
        <v>519</v>
      </c>
      <c r="F589" s="21" t="s">
        <v>336</v>
      </c>
      <c r="G589" s="27">
        <f t="shared" si="110"/>
        <v>0</v>
      </c>
      <c r="H589" s="221"/>
    </row>
    <row r="590" spans="1:12" ht="15.75" hidden="1" x14ac:dyDescent="0.25">
      <c r="A590" s="26" t="s">
        <v>337</v>
      </c>
      <c r="B590" s="17">
        <v>906</v>
      </c>
      <c r="C590" s="21" t="s">
        <v>327</v>
      </c>
      <c r="D590" s="21" t="s">
        <v>276</v>
      </c>
      <c r="E590" s="21" t="s">
        <v>519</v>
      </c>
      <c r="F590" s="21" t="s">
        <v>338</v>
      </c>
      <c r="G590" s="27">
        <f>157.3-157.3</f>
        <v>0</v>
      </c>
      <c r="H590" s="221"/>
      <c r="I590" s="141"/>
    </row>
    <row r="591" spans="1:12" ht="31.5" x14ac:dyDescent="0.25">
      <c r="A591" s="26" t="s">
        <v>520</v>
      </c>
      <c r="B591" s="17">
        <v>906</v>
      </c>
      <c r="C591" s="21" t="s">
        <v>327</v>
      </c>
      <c r="D591" s="21" t="s">
        <v>276</v>
      </c>
      <c r="E591" s="21" t="s">
        <v>521</v>
      </c>
      <c r="F591" s="21"/>
      <c r="G591" s="27">
        <f t="shared" ref="G591" si="111">G592</f>
        <v>1293.5999999999999</v>
      </c>
      <c r="H591" s="221"/>
    </row>
    <row r="592" spans="1:12" ht="47.25" x14ac:dyDescent="0.25">
      <c r="A592" s="26" t="s">
        <v>335</v>
      </c>
      <c r="B592" s="17">
        <v>906</v>
      </c>
      <c r="C592" s="21" t="s">
        <v>327</v>
      </c>
      <c r="D592" s="21" t="s">
        <v>276</v>
      </c>
      <c r="E592" s="21" t="s">
        <v>521</v>
      </c>
      <c r="F592" s="21" t="s">
        <v>336</v>
      </c>
      <c r="G592" s="27">
        <f>G593</f>
        <v>1293.5999999999999</v>
      </c>
      <c r="H592" s="221"/>
      <c r="L592" s="142"/>
    </row>
    <row r="593" spans="1:9" ht="15.75" x14ac:dyDescent="0.25">
      <c r="A593" s="26" t="s">
        <v>337</v>
      </c>
      <c r="B593" s="17">
        <v>906</v>
      </c>
      <c r="C593" s="21" t="s">
        <v>327</v>
      </c>
      <c r="D593" s="21" t="s">
        <v>276</v>
      </c>
      <c r="E593" s="21" t="s">
        <v>521</v>
      </c>
      <c r="F593" s="21" t="s">
        <v>338</v>
      </c>
      <c r="G593" s="28">
        <f>1572.5-278.9</f>
        <v>1293.5999999999999</v>
      </c>
      <c r="H593" s="221"/>
      <c r="I593" s="141"/>
    </row>
    <row r="594" spans="1:9" ht="47.25" x14ac:dyDescent="0.25">
      <c r="A594" s="26" t="s">
        <v>522</v>
      </c>
      <c r="B594" s="17">
        <v>906</v>
      </c>
      <c r="C594" s="21" t="s">
        <v>327</v>
      </c>
      <c r="D594" s="21" t="s">
        <v>276</v>
      </c>
      <c r="E594" s="21" t="s">
        <v>523</v>
      </c>
      <c r="F594" s="21"/>
      <c r="G594" s="28">
        <f>G595</f>
        <v>488.7</v>
      </c>
      <c r="H594" s="221"/>
    </row>
    <row r="595" spans="1:9" ht="47.25" x14ac:dyDescent="0.25">
      <c r="A595" s="26" t="s">
        <v>335</v>
      </c>
      <c r="B595" s="17">
        <v>906</v>
      </c>
      <c r="C595" s="21" t="s">
        <v>327</v>
      </c>
      <c r="D595" s="21" t="s">
        <v>276</v>
      </c>
      <c r="E595" s="21" t="s">
        <v>523</v>
      </c>
      <c r="F595" s="21" t="s">
        <v>336</v>
      </c>
      <c r="G595" s="28">
        <f t="shared" ref="G595" si="112">G596</f>
        <v>488.7</v>
      </c>
      <c r="H595" s="221"/>
    </row>
    <row r="596" spans="1:9" ht="15.75" x14ac:dyDescent="0.25">
      <c r="A596" s="26" t="s">
        <v>337</v>
      </c>
      <c r="B596" s="17">
        <v>906</v>
      </c>
      <c r="C596" s="21" t="s">
        <v>327</v>
      </c>
      <c r="D596" s="21" t="s">
        <v>276</v>
      </c>
      <c r="E596" s="21" t="s">
        <v>523</v>
      </c>
      <c r="F596" s="21" t="s">
        <v>338</v>
      </c>
      <c r="G596" s="28">
        <f>733.5-244.8</f>
        <v>488.7</v>
      </c>
      <c r="H596" s="221"/>
      <c r="I596" s="141"/>
    </row>
    <row r="597" spans="1:9" ht="94.5" x14ac:dyDescent="0.25">
      <c r="A597" s="33" t="s">
        <v>524</v>
      </c>
      <c r="B597" s="17">
        <v>906</v>
      </c>
      <c r="C597" s="21" t="s">
        <v>327</v>
      </c>
      <c r="D597" s="21" t="s">
        <v>276</v>
      </c>
      <c r="E597" s="21" t="s">
        <v>525</v>
      </c>
      <c r="F597" s="21"/>
      <c r="G597" s="27">
        <f t="shared" ref="G597" si="113">G598</f>
        <v>79753.600000000006</v>
      </c>
      <c r="H597" s="221"/>
    </row>
    <row r="598" spans="1:9" ht="47.25" x14ac:dyDescent="0.25">
      <c r="A598" s="26" t="s">
        <v>335</v>
      </c>
      <c r="B598" s="17">
        <v>906</v>
      </c>
      <c r="C598" s="21" t="s">
        <v>327</v>
      </c>
      <c r="D598" s="21" t="s">
        <v>276</v>
      </c>
      <c r="E598" s="21" t="s">
        <v>525</v>
      </c>
      <c r="F598" s="21" t="s">
        <v>336</v>
      </c>
      <c r="G598" s="27">
        <f>G599</f>
        <v>79753.600000000006</v>
      </c>
      <c r="H598" s="221"/>
    </row>
    <row r="599" spans="1:9" ht="15.75" x14ac:dyDescent="0.25">
      <c r="A599" s="26" t="s">
        <v>337</v>
      </c>
      <c r="B599" s="17">
        <v>906</v>
      </c>
      <c r="C599" s="21" t="s">
        <v>327</v>
      </c>
      <c r="D599" s="21" t="s">
        <v>276</v>
      </c>
      <c r="E599" s="21" t="s">
        <v>525</v>
      </c>
      <c r="F599" s="21" t="s">
        <v>338</v>
      </c>
      <c r="G599" s="28">
        <f>93568.6-13815</f>
        <v>79753.600000000006</v>
      </c>
      <c r="H599" s="221"/>
      <c r="I599" s="141"/>
    </row>
    <row r="600" spans="1:9" ht="63" x14ac:dyDescent="0.25">
      <c r="A600" s="33" t="s">
        <v>352</v>
      </c>
      <c r="B600" s="17">
        <v>906</v>
      </c>
      <c r="C600" s="21" t="s">
        <v>327</v>
      </c>
      <c r="D600" s="21" t="s">
        <v>276</v>
      </c>
      <c r="E600" s="21" t="s">
        <v>353</v>
      </c>
      <c r="F600" s="21"/>
      <c r="G600" s="27">
        <f>G601</f>
        <v>910.90000000000009</v>
      </c>
      <c r="H600" s="221"/>
    </row>
    <row r="601" spans="1:9" ht="47.25" x14ac:dyDescent="0.25">
      <c r="A601" s="26" t="s">
        <v>335</v>
      </c>
      <c r="B601" s="17">
        <v>906</v>
      </c>
      <c r="C601" s="21" t="s">
        <v>327</v>
      </c>
      <c r="D601" s="21" t="s">
        <v>276</v>
      </c>
      <c r="E601" s="21" t="s">
        <v>353</v>
      </c>
      <c r="F601" s="21" t="s">
        <v>336</v>
      </c>
      <c r="G601" s="27">
        <f t="shared" ref="G601" si="114">G602</f>
        <v>910.90000000000009</v>
      </c>
      <c r="H601" s="221"/>
    </row>
    <row r="602" spans="1:9" ht="15.75" x14ac:dyDescent="0.25">
      <c r="A602" s="26" t="s">
        <v>337</v>
      </c>
      <c r="B602" s="17">
        <v>906</v>
      </c>
      <c r="C602" s="21" t="s">
        <v>327</v>
      </c>
      <c r="D602" s="21" t="s">
        <v>276</v>
      </c>
      <c r="E602" s="21" t="s">
        <v>353</v>
      </c>
      <c r="F602" s="21" t="s">
        <v>338</v>
      </c>
      <c r="G602" s="28">
        <f>1101.7-190.8</f>
        <v>910.90000000000009</v>
      </c>
      <c r="H602" s="221"/>
      <c r="I602" s="141"/>
    </row>
    <row r="603" spans="1:9" ht="78.75" x14ac:dyDescent="0.25">
      <c r="A603" s="33" t="s">
        <v>354</v>
      </c>
      <c r="B603" s="17">
        <v>906</v>
      </c>
      <c r="C603" s="21" t="s">
        <v>327</v>
      </c>
      <c r="D603" s="21" t="s">
        <v>276</v>
      </c>
      <c r="E603" s="21" t="s">
        <v>355</v>
      </c>
      <c r="F603" s="21"/>
      <c r="G603" s="27">
        <f>G604</f>
        <v>2155.5</v>
      </c>
      <c r="H603" s="221"/>
    </row>
    <row r="604" spans="1:9" ht="47.25" x14ac:dyDescent="0.25">
      <c r="A604" s="26" t="s">
        <v>335</v>
      </c>
      <c r="B604" s="17">
        <v>906</v>
      </c>
      <c r="C604" s="21" t="s">
        <v>327</v>
      </c>
      <c r="D604" s="21" t="s">
        <v>276</v>
      </c>
      <c r="E604" s="21" t="s">
        <v>355</v>
      </c>
      <c r="F604" s="21" t="s">
        <v>336</v>
      </c>
      <c r="G604" s="27">
        <f t="shared" ref="G604" si="115">G605</f>
        <v>2155.5</v>
      </c>
      <c r="H604" s="221"/>
    </row>
    <row r="605" spans="1:9" ht="15.75" x14ac:dyDescent="0.25">
      <c r="A605" s="26" t="s">
        <v>337</v>
      </c>
      <c r="B605" s="17">
        <v>906</v>
      </c>
      <c r="C605" s="21" t="s">
        <v>327</v>
      </c>
      <c r="D605" s="21" t="s">
        <v>276</v>
      </c>
      <c r="E605" s="21" t="s">
        <v>355</v>
      </c>
      <c r="F605" s="21" t="s">
        <v>338</v>
      </c>
      <c r="G605" s="28">
        <f>2823.2-667.7</f>
        <v>2155.5</v>
      </c>
      <c r="H605" s="221"/>
      <c r="I605" s="141"/>
    </row>
    <row r="606" spans="1:9" ht="47.25" x14ac:dyDescent="0.25">
      <c r="A606" s="33" t="s">
        <v>526</v>
      </c>
      <c r="B606" s="17">
        <v>906</v>
      </c>
      <c r="C606" s="21" t="s">
        <v>327</v>
      </c>
      <c r="D606" s="21" t="s">
        <v>276</v>
      </c>
      <c r="E606" s="21" t="s">
        <v>527</v>
      </c>
      <c r="F606" s="21"/>
      <c r="G606" s="27">
        <f t="shared" ref="G606" si="116">G607</f>
        <v>886.5</v>
      </c>
      <c r="H606" s="221"/>
    </row>
    <row r="607" spans="1:9" ht="47.25" x14ac:dyDescent="0.25">
      <c r="A607" s="26" t="s">
        <v>335</v>
      </c>
      <c r="B607" s="17">
        <v>906</v>
      </c>
      <c r="C607" s="21" t="s">
        <v>327</v>
      </c>
      <c r="D607" s="21" t="s">
        <v>276</v>
      </c>
      <c r="E607" s="21" t="s">
        <v>527</v>
      </c>
      <c r="F607" s="21" t="s">
        <v>336</v>
      </c>
      <c r="G607" s="27">
        <f>G608</f>
        <v>886.5</v>
      </c>
      <c r="H607" s="221"/>
    </row>
    <row r="608" spans="1:9" ht="15.75" x14ac:dyDescent="0.25">
      <c r="A608" s="26" t="s">
        <v>337</v>
      </c>
      <c r="B608" s="17">
        <v>906</v>
      </c>
      <c r="C608" s="21" t="s">
        <v>327</v>
      </c>
      <c r="D608" s="21" t="s">
        <v>276</v>
      </c>
      <c r="E608" s="21" t="s">
        <v>527</v>
      </c>
      <c r="F608" s="21" t="s">
        <v>338</v>
      </c>
      <c r="G608" s="28">
        <f>998.4-111.9</f>
        <v>886.5</v>
      </c>
      <c r="H608" s="221"/>
      <c r="I608" s="141"/>
    </row>
    <row r="609" spans="1:9" ht="110.25" x14ac:dyDescent="0.25">
      <c r="A609" s="33" t="s">
        <v>528</v>
      </c>
      <c r="B609" s="17">
        <v>906</v>
      </c>
      <c r="C609" s="21" t="s">
        <v>327</v>
      </c>
      <c r="D609" s="21" t="s">
        <v>276</v>
      </c>
      <c r="E609" s="21" t="s">
        <v>357</v>
      </c>
      <c r="F609" s="21"/>
      <c r="G609" s="27">
        <f>G610</f>
        <v>4369</v>
      </c>
      <c r="H609" s="221"/>
    </row>
    <row r="610" spans="1:9" ht="47.25" x14ac:dyDescent="0.25">
      <c r="A610" s="26" t="s">
        <v>335</v>
      </c>
      <c r="B610" s="17">
        <v>906</v>
      </c>
      <c r="C610" s="21" t="s">
        <v>327</v>
      </c>
      <c r="D610" s="21" t="s">
        <v>276</v>
      </c>
      <c r="E610" s="21" t="s">
        <v>357</v>
      </c>
      <c r="F610" s="21" t="s">
        <v>336</v>
      </c>
      <c r="G610" s="27">
        <f t="shared" ref="G610" si="117">G611</f>
        <v>4369</v>
      </c>
      <c r="H610" s="221"/>
    </row>
    <row r="611" spans="1:9" ht="15.75" x14ac:dyDescent="0.25">
      <c r="A611" s="26" t="s">
        <v>337</v>
      </c>
      <c r="B611" s="17">
        <v>906</v>
      </c>
      <c r="C611" s="21" t="s">
        <v>327</v>
      </c>
      <c r="D611" s="21" t="s">
        <v>276</v>
      </c>
      <c r="E611" s="21" t="s">
        <v>357</v>
      </c>
      <c r="F611" s="21" t="s">
        <v>338</v>
      </c>
      <c r="G611" s="28">
        <f>5441.9-1072.9</f>
        <v>4369</v>
      </c>
      <c r="H611" s="221"/>
      <c r="I611" s="141"/>
    </row>
    <row r="612" spans="1:9" ht="15.75" x14ac:dyDescent="0.25">
      <c r="A612" s="24" t="s">
        <v>328</v>
      </c>
      <c r="B612" s="20">
        <v>906</v>
      </c>
      <c r="C612" s="25" t="s">
        <v>327</v>
      </c>
      <c r="D612" s="25" t="s">
        <v>278</v>
      </c>
      <c r="E612" s="25"/>
      <c r="F612" s="25"/>
      <c r="G612" s="46">
        <f>G613+G622</f>
        <v>23062.100000000002</v>
      </c>
      <c r="H612" s="221"/>
      <c r="I612" s="141"/>
    </row>
    <row r="613" spans="1:9" ht="47.25" x14ac:dyDescent="0.25">
      <c r="A613" s="26" t="s">
        <v>490</v>
      </c>
      <c r="B613" s="17">
        <v>906</v>
      </c>
      <c r="C613" s="21" t="s">
        <v>327</v>
      </c>
      <c r="D613" s="21" t="s">
        <v>278</v>
      </c>
      <c r="E613" s="21" t="s">
        <v>470</v>
      </c>
      <c r="F613" s="21"/>
      <c r="G613" s="28">
        <f>G614+G620</f>
        <v>21479.9</v>
      </c>
      <c r="H613" s="221"/>
      <c r="I613" s="141"/>
    </row>
    <row r="614" spans="1:9" ht="47.25" x14ac:dyDescent="0.25">
      <c r="A614" s="26" t="s">
        <v>471</v>
      </c>
      <c r="B614" s="17">
        <v>906</v>
      </c>
      <c r="C614" s="21" t="s">
        <v>327</v>
      </c>
      <c r="D614" s="21" t="s">
        <v>278</v>
      </c>
      <c r="E614" s="21" t="s">
        <v>472</v>
      </c>
      <c r="F614" s="21"/>
      <c r="G614" s="28">
        <f>G615</f>
        <v>21124</v>
      </c>
      <c r="H614" s="221"/>
      <c r="I614" s="141"/>
    </row>
    <row r="615" spans="1:9" ht="47.25" x14ac:dyDescent="0.25">
      <c r="A615" s="26" t="s">
        <v>333</v>
      </c>
      <c r="B615" s="17">
        <v>906</v>
      </c>
      <c r="C615" s="21" t="s">
        <v>327</v>
      </c>
      <c r="D615" s="21" t="s">
        <v>278</v>
      </c>
      <c r="E615" s="21" t="s">
        <v>493</v>
      </c>
      <c r="F615" s="21"/>
      <c r="G615" s="28">
        <f>G616</f>
        <v>21124</v>
      </c>
      <c r="H615" s="221"/>
      <c r="I615" s="141"/>
    </row>
    <row r="616" spans="1:9" ht="47.25" x14ac:dyDescent="0.25">
      <c r="A616" s="26" t="s">
        <v>335</v>
      </c>
      <c r="B616" s="17">
        <v>906</v>
      </c>
      <c r="C616" s="21" t="s">
        <v>327</v>
      </c>
      <c r="D616" s="21" t="s">
        <v>278</v>
      </c>
      <c r="E616" s="21" t="s">
        <v>493</v>
      </c>
      <c r="F616" s="21" t="s">
        <v>336</v>
      </c>
      <c r="G616" s="28">
        <f>G617</f>
        <v>21124</v>
      </c>
      <c r="H616" s="221"/>
      <c r="I616" s="141"/>
    </row>
    <row r="617" spans="1:9" ht="15.75" x14ac:dyDescent="0.25">
      <c r="A617" s="26" t="s">
        <v>337</v>
      </c>
      <c r="B617" s="17">
        <v>906</v>
      </c>
      <c r="C617" s="21" t="s">
        <v>327</v>
      </c>
      <c r="D617" s="21" t="s">
        <v>278</v>
      </c>
      <c r="E617" s="21" t="s">
        <v>493</v>
      </c>
      <c r="F617" s="21" t="s">
        <v>338</v>
      </c>
      <c r="G617" s="28">
        <f>21044+80</f>
        <v>21124</v>
      </c>
      <c r="H617" s="132"/>
      <c r="I617" s="153"/>
    </row>
    <row r="618" spans="1:9" ht="47.25" x14ac:dyDescent="0.25">
      <c r="A618" s="33" t="s">
        <v>831</v>
      </c>
      <c r="B618" s="17">
        <v>906</v>
      </c>
      <c r="C618" s="21" t="s">
        <v>327</v>
      </c>
      <c r="D618" s="21" t="s">
        <v>278</v>
      </c>
      <c r="E618" s="21" t="s">
        <v>511</v>
      </c>
      <c r="F618" s="21"/>
      <c r="G618" s="28">
        <f>G619</f>
        <v>355.9</v>
      </c>
      <c r="H618" s="221"/>
      <c r="I618" s="141"/>
    </row>
    <row r="619" spans="1:9" ht="31.5" x14ac:dyDescent="0.25">
      <c r="A619" s="47" t="s">
        <v>832</v>
      </c>
      <c r="B619" s="17">
        <v>906</v>
      </c>
      <c r="C619" s="21" t="s">
        <v>327</v>
      </c>
      <c r="D619" s="21" t="s">
        <v>278</v>
      </c>
      <c r="E619" s="21" t="s">
        <v>833</v>
      </c>
      <c r="F619" s="21"/>
      <c r="G619" s="28">
        <f>G620</f>
        <v>355.9</v>
      </c>
      <c r="H619" s="221"/>
      <c r="I619" s="141"/>
    </row>
    <row r="620" spans="1:9" ht="47.25" x14ac:dyDescent="0.25">
      <c r="A620" s="33" t="s">
        <v>335</v>
      </c>
      <c r="B620" s="17">
        <v>906</v>
      </c>
      <c r="C620" s="21" t="s">
        <v>327</v>
      </c>
      <c r="D620" s="21" t="s">
        <v>278</v>
      </c>
      <c r="E620" s="21" t="s">
        <v>833</v>
      </c>
      <c r="F620" s="21" t="s">
        <v>336</v>
      </c>
      <c r="G620" s="28">
        <f>G621</f>
        <v>355.9</v>
      </c>
      <c r="H620" s="132"/>
      <c r="I620" s="141"/>
    </row>
    <row r="621" spans="1:9" ht="15.75" x14ac:dyDescent="0.25">
      <c r="A621" s="33" t="s">
        <v>337</v>
      </c>
      <c r="B621" s="17">
        <v>906</v>
      </c>
      <c r="C621" s="21" t="s">
        <v>327</v>
      </c>
      <c r="D621" s="21" t="s">
        <v>278</v>
      </c>
      <c r="E621" s="21" t="s">
        <v>833</v>
      </c>
      <c r="F621" s="21" t="s">
        <v>338</v>
      </c>
      <c r="G621" s="28">
        <v>355.9</v>
      </c>
      <c r="H621" s="221"/>
      <c r="I621" s="141"/>
    </row>
    <row r="622" spans="1:9" ht="15.75" x14ac:dyDescent="0.25">
      <c r="A622" s="26" t="s">
        <v>529</v>
      </c>
      <c r="B622" s="17">
        <v>906</v>
      </c>
      <c r="C622" s="21" t="s">
        <v>327</v>
      </c>
      <c r="D622" s="21" t="s">
        <v>278</v>
      </c>
      <c r="E622" s="21" t="s">
        <v>185</v>
      </c>
      <c r="F622" s="21"/>
      <c r="G622" s="28">
        <f>G623</f>
        <v>1582.2</v>
      </c>
      <c r="H622" s="221"/>
      <c r="I622" s="141"/>
    </row>
    <row r="623" spans="1:9" ht="31.5" x14ac:dyDescent="0.25">
      <c r="A623" s="26" t="s">
        <v>248</v>
      </c>
      <c r="B623" s="17">
        <v>906</v>
      </c>
      <c r="C623" s="21" t="s">
        <v>327</v>
      </c>
      <c r="D623" s="21" t="s">
        <v>278</v>
      </c>
      <c r="E623" s="21" t="s">
        <v>249</v>
      </c>
      <c r="F623" s="21"/>
      <c r="G623" s="28">
        <f>G624+G627+G630</f>
        <v>1582.2</v>
      </c>
      <c r="H623" s="221"/>
      <c r="I623" s="141"/>
    </row>
    <row r="624" spans="1:9" ht="63" x14ac:dyDescent="0.25">
      <c r="A624" s="33" t="s">
        <v>352</v>
      </c>
      <c r="B624" s="17">
        <v>906</v>
      </c>
      <c r="C624" s="21" t="s">
        <v>327</v>
      </c>
      <c r="D624" s="21" t="s">
        <v>278</v>
      </c>
      <c r="E624" s="21" t="s">
        <v>353</v>
      </c>
      <c r="F624" s="21"/>
      <c r="G624" s="28">
        <f>G625</f>
        <v>110</v>
      </c>
      <c r="H624" s="221"/>
      <c r="I624" s="141"/>
    </row>
    <row r="625" spans="1:9" ht="47.25" x14ac:dyDescent="0.25">
      <c r="A625" s="26" t="s">
        <v>335</v>
      </c>
      <c r="B625" s="17">
        <v>906</v>
      </c>
      <c r="C625" s="21" t="s">
        <v>327</v>
      </c>
      <c r="D625" s="21" t="s">
        <v>278</v>
      </c>
      <c r="E625" s="21" t="s">
        <v>353</v>
      </c>
      <c r="F625" s="21" t="s">
        <v>336</v>
      </c>
      <c r="G625" s="28">
        <f>G626</f>
        <v>110</v>
      </c>
      <c r="H625" s="221"/>
      <c r="I625" s="141"/>
    </row>
    <row r="626" spans="1:9" ht="15.75" x14ac:dyDescent="0.25">
      <c r="A626" s="26" t="s">
        <v>337</v>
      </c>
      <c r="B626" s="17">
        <v>906</v>
      </c>
      <c r="C626" s="21" t="s">
        <v>327</v>
      </c>
      <c r="D626" s="21" t="s">
        <v>278</v>
      </c>
      <c r="E626" s="21" t="s">
        <v>353</v>
      </c>
      <c r="F626" s="21" t="s">
        <v>338</v>
      </c>
      <c r="G626" s="28">
        <v>110</v>
      </c>
      <c r="H626" s="221"/>
      <c r="I626" s="141"/>
    </row>
    <row r="627" spans="1:9" ht="78.75" x14ac:dyDescent="0.25">
      <c r="A627" s="33" t="s">
        <v>354</v>
      </c>
      <c r="B627" s="17">
        <v>906</v>
      </c>
      <c r="C627" s="21" t="s">
        <v>327</v>
      </c>
      <c r="D627" s="21" t="s">
        <v>278</v>
      </c>
      <c r="E627" s="21" t="s">
        <v>355</v>
      </c>
      <c r="F627" s="21"/>
      <c r="G627" s="28">
        <f>G628</f>
        <v>572.20000000000005</v>
      </c>
      <c r="H627" s="221"/>
      <c r="I627" s="141"/>
    </row>
    <row r="628" spans="1:9" ht="47.25" x14ac:dyDescent="0.25">
      <c r="A628" s="26" t="s">
        <v>335</v>
      </c>
      <c r="B628" s="17">
        <v>906</v>
      </c>
      <c r="C628" s="21" t="s">
        <v>327</v>
      </c>
      <c r="D628" s="21" t="s">
        <v>278</v>
      </c>
      <c r="E628" s="21" t="s">
        <v>355</v>
      </c>
      <c r="F628" s="21" t="s">
        <v>336</v>
      </c>
      <c r="G628" s="28">
        <f>G629</f>
        <v>572.20000000000005</v>
      </c>
      <c r="H628" s="221"/>
      <c r="I628" s="141"/>
    </row>
    <row r="629" spans="1:9" ht="15.75" x14ac:dyDescent="0.25">
      <c r="A629" s="26" t="s">
        <v>337</v>
      </c>
      <c r="B629" s="17">
        <v>906</v>
      </c>
      <c r="C629" s="21" t="s">
        <v>327</v>
      </c>
      <c r="D629" s="21" t="s">
        <v>278</v>
      </c>
      <c r="E629" s="21" t="s">
        <v>355</v>
      </c>
      <c r="F629" s="21" t="s">
        <v>338</v>
      </c>
      <c r="G629" s="28">
        <v>572.20000000000005</v>
      </c>
      <c r="H629" s="221"/>
      <c r="I629" s="141"/>
    </row>
    <row r="630" spans="1:9" ht="110.25" x14ac:dyDescent="0.25">
      <c r="A630" s="33" t="s">
        <v>356</v>
      </c>
      <c r="B630" s="17">
        <v>906</v>
      </c>
      <c r="C630" s="21" t="s">
        <v>327</v>
      </c>
      <c r="D630" s="21" t="s">
        <v>278</v>
      </c>
      <c r="E630" s="21" t="s">
        <v>357</v>
      </c>
      <c r="F630" s="21"/>
      <c r="G630" s="28">
        <f>G631</f>
        <v>900</v>
      </c>
      <c r="H630" s="221"/>
      <c r="I630" s="141"/>
    </row>
    <row r="631" spans="1:9" ht="47.25" x14ac:dyDescent="0.25">
      <c r="A631" s="26" t="s">
        <v>335</v>
      </c>
      <c r="B631" s="17">
        <v>906</v>
      </c>
      <c r="C631" s="21" t="s">
        <v>327</v>
      </c>
      <c r="D631" s="21" t="s">
        <v>278</v>
      </c>
      <c r="E631" s="21" t="s">
        <v>357</v>
      </c>
      <c r="F631" s="21" t="s">
        <v>336</v>
      </c>
      <c r="G631" s="28">
        <f>G632</f>
        <v>900</v>
      </c>
      <c r="H631" s="221"/>
      <c r="I631" s="141"/>
    </row>
    <row r="632" spans="1:9" ht="15.75" x14ac:dyDescent="0.25">
      <c r="A632" s="26" t="s">
        <v>337</v>
      </c>
      <c r="B632" s="17">
        <v>906</v>
      </c>
      <c r="C632" s="21" t="s">
        <v>327</v>
      </c>
      <c r="D632" s="21" t="s">
        <v>278</v>
      </c>
      <c r="E632" s="21" t="s">
        <v>357</v>
      </c>
      <c r="F632" s="21" t="s">
        <v>338</v>
      </c>
      <c r="G632" s="28">
        <v>900</v>
      </c>
      <c r="H632" s="221"/>
      <c r="I632" s="141"/>
    </row>
    <row r="633" spans="1:9" ht="31.5" x14ac:dyDescent="0.25">
      <c r="A633" s="24" t="s">
        <v>530</v>
      </c>
      <c r="B633" s="20">
        <v>906</v>
      </c>
      <c r="C633" s="25" t="s">
        <v>327</v>
      </c>
      <c r="D633" s="25" t="s">
        <v>327</v>
      </c>
      <c r="E633" s="25"/>
      <c r="F633" s="25"/>
      <c r="G633" s="22">
        <f>G634+G639</f>
        <v>4788.6000000000004</v>
      </c>
      <c r="H633" s="221"/>
    </row>
    <row r="634" spans="1:9" ht="47.25" x14ac:dyDescent="0.25">
      <c r="A634" s="26" t="s">
        <v>490</v>
      </c>
      <c r="B634" s="17">
        <v>906</v>
      </c>
      <c r="C634" s="21" t="s">
        <v>327</v>
      </c>
      <c r="D634" s="21" t="s">
        <v>327</v>
      </c>
      <c r="E634" s="21" t="s">
        <v>470</v>
      </c>
      <c r="F634" s="21"/>
      <c r="G634" s="27">
        <f>G635</f>
        <v>3484.8</v>
      </c>
      <c r="H634" s="221"/>
    </row>
    <row r="635" spans="1:9" ht="31.5" x14ac:dyDescent="0.25">
      <c r="A635" s="26" t="s">
        <v>531</v>
      </c>
      <c r="B635" s="17">
        <v>906</v>
      </c>
      <c r="C635" s="21" t="s">
        <v>327</v>
      </c>
      <c r="D635" s="21" t="s">
        <v>532</v>
      </c>
      <c r="E635" s="21" t="s">
        <v>533</v>
      </c>
      <c r="F635" s="21"/>
      <c r="G635" s="27">
        <f t="shared" ref="G635" si="118">G636</f>
        <v>3484.8</v>
      </c>
      <c r="H635" s="221"/>
    </row>
    <row r="636" spans="1:9" ht="47.25" x14ac:dyDescent="0.25">
      <c r="A636" s="26" t="s">
        <v>534</v>
      </c>
      <c r="B636" s="17">
        <v>906</v>
      </c>
      <c r="C636" s="21" t="s">
        <v>327</v>
      </c>
      <c r="D636" s="21" t="s">
        <v>327</v>
      </c>
      <c r="E636" s="21" t="s">
        <v>535</v>
      </c>
      <c r="F636" s="21"/>
      <c r="G636" s="27">
        <f>G637</f>
        <v>3484.8</v>
      </c>
      <c r="H636" s="221"/>
    </row>
    <row r="637" spans="1:9" ht="47.25" x14ac:dyDescent="0.25">
      <c r="A637" s="26" t="s">
        <v>335</v>
      </c>
      <c r="B637" s="17">
        <v>906</v>
      </c>
      <c r="C637" s="21" t="s">
        <v>327</v>
      </c>
      <c r="D637" s="21" t="s">
        <v>327</v>
      </c>
      <c r="E637" s="21" t="s">
        <v>535</v>
      </c>
      <c r="F637" s="21" t="s">
        <v>336</v>
      </c>
      <c r="G637" s="27">
        <f t="shared" ref="G637:G642" si="119">G638</f>
        <v>3484.8</v>
      </c>
      <c r="H637" s="221"/>
    </row>
    <row r="638" spans="1:9" ht="15.75" x14ac:dyDescent="0.25">
      <c r="A638" s="26" t="s">
        <v>337</v>
      </c>
      <c r="B638" s="17">
        <v>906</v>
      </c>
      <c r="C638" s="21" t="s">
        <v>327</v>
      </c>
      <c r="D638" s="21" t="s">
        <v>327</v>
      </c>
      <c r="E638" s="21" t="s">
        <v>535</v>
      </c>
      <c r="F638" s="21" t="s">
        <v>338</v>
      </c>
      <c r="G638" s="28">
        <v>3484.8</v>
      </c>
      <c r="H638" s="221"/>
    </row>
    <row r="639" spans="1:9" ht="15.75" x14ac:dyDescent="0.25">
      <c r="A639" s="26" t="s">
        <v>184</v>
      </c>
      <c r="B639" s="17">
        <v>906</v>
      </c>
      <c r="C639" s="21" t="s">
        <v>327</v>
      </c>
      <c r="D639" s="21" t="s">
        <v>327</v>
      </c>
      <c r="E639" s="21" t="s">
        <v>185</v>
      </c>
      <c r="F639" s="21"/>
      <c r="G639" s="27">
        <f t="shared" ref="G639" si="120">G640</f>
        <v>1303.8000000000002</v>
      </c>
      <c r="H639" s="221"/>
    </row>
    <row r="640" spans="1:9" ht="31.5" x14ac:dyDescent="0.25">
      <c r="A640" s="26" t="s">
        <v>248</v>
      </c>
      <c r="B640" s="17">
        <v>906</v>
      </c>
      <c r="C640" s="21" t="s">
        <v>327</v>
      </c>
      <c r="D640" s="21" t="s">
        <v>327</v>
      </c>
      <c r="E640" s="21" t="s">
        <v>249</v>
      </c>
      <c r="F640" s="21"/>
      <c r="G640" s="27">
        <f>G642</f>
        <v>1303.8000000000002</v>
      </c>
      <c r="H640" s="221"/>
    </row>
    <row r="641" spans="1:9" ht="63" hidden="1" x14ac:dyDescent="0.25">
      <c r="A641" s="26" t="s">
        <v>536</v>
      </c>
      <c r="B641" s="17">
        <v>906</v>
      </c>
      <c r="C641" s="21" t="s">
        <v>327</v>
      </c>
      <c r="D641" s="21" t="s">
        <v>327</v>
      </c>
      <c r="E641" s="21" t="s">
        <v>537</v>
      </c>
      <c r="F641" s="21"/>
      <c r="G641" s="27">
        <f t="shared" si="119"/>
        <v>1303.8000000000002</v>
      </c>
      <c r="H641" s="221"/>
    </row>
    <row r="642" spans="1:9" ht="31.5" x14ac:dyDescent="0.25">
      <c r="A642" s="33" t="s">
        <v>538</v>
      </c>
      <c r="B642" s="17">
        <v>906</v>
      </c>
      <c r="C642" s="21" t="s">
        <v>327</v>
      </c>
      <c r="D642" s="21" t="s">
        <v>327</v>
      </c>
      <c r="E642" s="21" t="s">
        <v>539</v>
      </c>
      <c r="F642" s="21"/>
      <c r="G642" s="27">
        <f t="shared" si="119"/>
        <v>1303.8000000000002</v>
      </c>
      <c r="H642" s="221"/>
    </row>
    <row r="643" spans="1:9" ht="47.25" x14ac:dyDescent="0.25">
      <c r="A643" s="26" t="s">
        <v>335</v>
      </c>
      <c r="B643" s="17">
        <v>906</v>
      </c>
      <c r="C643" s="21" t="s">
        <v>327</v>
      </c>
      <c r="D643" s="21" t="s">
        <v>327</v>
      </c>
      <c r="E643" s="21" t="s">
        <v>539</v>
      </c>
      <c r="F643" s="21" t="s">
        <v>336</v>
      </c>
      <c r="G643" s="27">
        <f>G644</f>
        <v>1303.8000000000002</v>
      </c>
      <c r="H643" s="221"/>
    </row>
    <row r="644" spans="1:9" ht="15.75" x14ac:dyDescent="0.25">
      <c r="A644" s="26" t="s">
        <v>337</v>
      </c>
      <c r="B644" s="17">
        <v>906</v>
      </c>
      <c r="C644" s="21" t="s">
        <v>327</v>
      </c>
      <c r="D644" s="21" t="s">
        <v>327</v>
      </c>
      <c r="E644" s="21" t="s">
        <v>539</v>
      </c>
      <c r="F644" s="21" t="s">
        <v>338</v>
      </c>
      <c r="G644" s="28">
        <f>1660.4-356.6</f>
        <v>1303.8000000000002</v>
      </c>
      <c r="H644" s="221"/>
      <c r="I644" s="141"/>
    </row>
    <row r="645" spans="1:9" ht="15.75" x14ac:dyDescent="0.25">
      <c r="A645" s="24" t="s">
        <v>358</v>
      </c>
      <c r="B645" s="20">
        <v>906</v>
      </c>
      <c r="C645" s="25" t="s">
        <v>327</v>
      </c>
      <c r="D645" s="25" t="s">
        <v>282</v>
      </c>
      <c r="E645" s="25"/>
      <c r="F645" s="25"/>
      <c r="G645" s="22">
        <f>G646+G655</f>
        <v>18322.300000000003</v>
      </c>
      <c r="H645" s="221"/>
    </row>
    <row r="646" spans="1:9" ht="47.25" x14ac:dyDescent="0.25">
      <c r="A646" s="26" t="s">
        <v>397</v>
      </c>
      <c r="B646" s="17">
        <v>906</v>
      </c>
      <c r="C646" s="21" t="s">
        <v>327</v>
      </c>
      <c r="D646" s="21" t="s">
        <v>282</v>
      </c>
      <c r="E646" s="21" t="s">
        <v>398</v>
      </c>
      <c r="F646" s="21"/>
      <c r="G646" s="27">
        <f>G647+G650</f>
        <v>20</v>
      </c>
      <c r="H646" s="221"/>
      <c r="I646" s="141"/>
    </row>
    <row r="647" spans="1:9" ht="31.5" hidden="1" x14ac:dyDescent="0.25">
      <c r="A647" s="26" t="s">
        <v>399</v>
      </c>
      <c r="B647" s="17">
        <v>906</v>
      </c>
      <c r="C647" s="21" t="s">
        <v>327</v>
      </c>
      <c r="D647" s="21" t="s">
        <v>282</v>
      </c>
      <c r="E647" s="21" t="s">
        <v>400</v>
      </c>
      <c r="F647" s="21"/>
      <c r="G647" s="27">
        <f>G648</f>
        <v>0</v>
      </c>
      <c r="H647" s="221"/>
    </row>
    <row r="648" spans="1:9" ht="31.5" hidden="1" x14ac:dyDescent="0.25">
      <c r="A648" s="26" t="s">
        <v>194</v>
      </c>
      <c r="B648" s="17">
        <v>906</v>
      </c>
      <c r="C648" s="21" t="s">
        <v>327</v>
      </c>
      <c r="D648" s="21" t="s">
        <v>282</v>
      </c>
      <c r="E648" s="21" t="s">
        <v>400</v>
      </c>
      <c r="F648" s="21" t="s">
        <v>195</v>
      </c>
      <c r="G648" s="27">
        <f>G649</f>
        <v>0</v>
      </c>
      <c r="H648" s="221"/>
    </row>
    <row r="649" spans="1:9" ht="47.25" hidden="1" x14ac:dyDescent="0.25">
      <c r="A649" s="26" t="s">
        <v>196</v>
      </c>
      <c r="B649" s="17">
        <v>906</v>
      </c>
      <c r="C649" s="21" t="s">
        <v>327</v>
      </c>
      <c r="D649" s="21" t="s">
        <v>282</v>
      </c>
      <c r="E649" s="21" t="s">
        <v>400</v>
      </c>
      <c r="F649" s="21" t="s">
        <v>197</v>
      </c>
      <c r="G649" s="27">
        <f>50-50</f>
        <v>0</v>
      </c>
      <c r="H649" s="132"/>
      <c r="I649" s="152"/>
    </row>
    <row r="650" spans="1:9" ht="63" x14ac:dyDescent="0.25">
      <c r="A650" s="26" t="s">
        <v>540</v>
      </c>
      <c r="B650" s="17">
        <v>906</v>
      </c>
      <c r="C650" s="21" t="s">
        <v>327</v>
      </c>
      <c r="D650" s="21" t="s">
        <v>282</v>
      </c>
      <c r="E650" s="21" t="s">
        <v>541</v>
      </c>
      <c r="F650" s="21"/>
      <c r="G650" s="27">
        <f>G651+G653</f>
        <v>20</v>
      </c>
      <c r="H650" s="221"/>
    </row>
    <row r="651" spans="1:9" ht="94.5" x14ac:dyDescent="0.25">
      <c r="A651" s="26" t="s">
        <v>190</v>
      </c>
      <c r="B651" s="17">
        <v>906</v>
      </c>
      <c r="C651" s="21" t="s">
        <v>327</v>
      </c>
      <c r="D651" s="21" t="s">
        <v>282</v>
      </c>
      <c r="E651" s="21" t="s">
        <v>541</v>
      </c>
      <c r="F651" s="21" t="s">
        <v>191</v>
      </c>
      <c r="G651" s="27">
        <f>G652</f>
        <v>5</v>
      </c>
      <c r="H651" s="221"/>
    </row>
    <row r="652" spans="1:9" ht="31.5" x14ac:dyDescent="0.25">
      <c r="A652" s="26" t="s">
        <v>405</v>
      </c>
      <c r="B652" s="17">
        <v>906</v>
      </c>
      <c r="C652" s="21" t="s">
        <v>327</v>
      </c>
      <c r="D652" s="21" t="s">
        <v>282</v>
      </c>
      <c r="E652" s="21" t="s">
        <v>541</v>
      </c>
      <c r="F652" s="21" t="s">
        <v>272</v>
      </c>
      <c r="G652" s="27">
        <v>5</v>
      </c>
      <c r="H652" s="221"/>
    </row>
    <row r="653" spans="1:9" ht="31.5" x14ac:dyDescent="0.25">
      <c r="A653" s="26" t="s">
        <v>194</v>
      </c>
      <c r="B653" s="17">
        <v>906</v>
      </c>
      <c r="C653" s="21" t="s">
        <v>327</v>
      </c>
      <c r="D653" s="21" t="s">
        <v>282</v>
      </c>
      <c r="E653" s="21" t="s">
        <v>541</v>
      </c>
      <c r="F653" s="21" t="s">
        <v>195</v>
      </c>
      <c r="G653" s="27">
        <f>G654</f>
        <v>15</v>
      </c>
      <c r="H653" s="221"/>
    </row>
    <row r="654" spans="1:9" ht="47.25" x14ac:dyDescent="0.25">
      <c r="A654" s="26" t="s">
        <v>196</v>
      </c>
      <c r="B654" s="17">
        <v>906</v>
      </c>
      <c r="C654" s="21" t="s">
        <v>327</v>
      </c>
      <c r="D654" s="21" t="s">
        <v>282</v>
      </c>
      <c r="E654" s="21" t="s">
        <v>541</v>
      </c>
      <c r="F654" s="21" t="s">
        <v>197</v>
      </c>
      <c r="G654" s="27">
        <v>15</v>
      </c>
      <c r="H654" s="221"/>
    </row>
    <row r="655" spans="1:9" ht="15.75" x14ac:dyDescent="0.25">
      <c r="A655" s="26" t="s">
        <v>184</v>
      </c>
      <c r="B655" s="17">
        <v>906</v>
      </c>
      <c r="C655" s="21" t="s">
        <v>327</v>
      </c>
      <c r="D655" s="21" t="s">
        <v>282</v>
      </c>
      <c r="E655" s="21" t="s">
        <v>185</v>
      </c>
      <c r="F655" s="21"/>
      <c r="G655" s="27">
        <f>G656+G662</f>
        <v>18302.300000000003</v>
      </c>
      <c r="H655" s="221"/>
    </row>
    <row r="656" spans="1:9" ht="31.5" x14ac:dyDescent="0.25">
      <c r="A656" s="26" t="s">
        <v>186</v>
      </c>
      <c r="B656" s="17">
        <v>906</v>
      </c>
      <c r="C656" s="21" t="s">
        <v>327</v>
      </c>
      <c r="D656" s="21" t="s">
        <v>282</v>
      </c>
      <c r="E656" s="21" t="s">
        <v>187</v>
      </c>
      <c r="F656" s="21"/>
      <c r="G656" s="27">
        <f t="shared" ref="G656" si="121">G657</f>
        <v>5138.7</v>
      </c>
      <c r="H656" s="221"/>
    </row>
    <row r="657" spans="1:11" ht="47.25" x14ac:dyDescent="0.25">
      <c r="A657" s="26" t="s">
        <v>188</v>
      </c>
      <c r="B657" s="17">
        <v>906</v>
      </c>
      <c r="C657" s="21" t="s">
        <v>327</v>
      </c>
      <c r="D657" s="21" t="s">
        <v>282</v>
      </c>
      <c r="E657" s="21" t="s">
        <v>189</v>
      </c>
      <c r="F657" s="21"/>
      <c r="G657" s="27">
        <f>G658+G660</f>
        <v>5138.7</v>
      </c>
      <c r="H657" s="221"/>
    </row>
    <row r="658" spans="1:11" ht="94.5" x14ac:dyDescent="0.25">
      <c r="A658" s="26" t="s">
        <v>190</v>
      </c>
      <c r="B658" s="17">
        <v>906</v>
      </c>
      <c r="C658" s="21" t="s">
        <v>327</v>
      </c>
      <c r="D658" s="21" t="s">
        <v>282</v>
      </c>
      <c r="E658" s="21" t="s">
        <v>189</v>
      </c>
      <c r="F658" s="21" t="s">
        <v>191</v>
      </c>
      <c r="G658" s="27">
        <f t="shared" ref="G658" si="122">G659</f>
        <v>4981.5</v>
      </c>
      <c r="H658" s="221"/>
    </row>
    <row r="659" spans="1:11" ht="31.5" x14ac:dyDescent="0.25">
      <c r="A659" s="26" t="s">
        <v>192</v>
      </c>
      <c r="B659" s="17">
        <v>906</v>
      </c>
      <c r="C659" s="21" t="s">
        <v>327</v>
      </c>
      <c r="D659" s="21" t="s">
        <v>282</v>
      </c>
      <c r="E659" s="21" t="s">
        <v>189</v>
      </c>
      <c r="F659" s="21" t="s">
        <v>193</v>
      </c>
      <c r="G659" s="192">
        <f>4975.7+5.8</f>
        <v>4981.5</v>
      </c>
      <c r="H659" s="193" t="s">
        <v>864</v>
      </c>
    </row>
    <row r="660" spans="1:11" ht="31.5" x14ac:dyDescent="0.25">
      <c r="A660" s="26" t="s">
        <v>194</v>
      </c>
      <c r="B660" s="17">
        <v>906</v>
      </c>
      <c r="C660" s="21" t="s">
        <v>327</v>
      </c>
      <c r="D660" s="21" t="s">
        <v>282</v>
      </c>
      <c r="E660" s="21" t="s">
        <v>189</v>
      </c>
      <c r="F660" s="21" t="s">
        <v>195</v>
      </c>
      <c r="G660" s="27">
        <f t="shared" ref="G660" si="123">G661</f>
        <v>157.19999999999999</v>
      </c>
      <c r="H660" s="221"/>
    </row>
    <row r="661" spans="1:11" ht="47.25" x14ac:dyDescent="0.25">
      <c r="A661" s="26" t="s">
        <v>196</v>
      </c>
      <c r="B661" s="17">
        <v>906</v>
      </c>
      <c r="C661" s="21" t="s">
        <v>327</v>
      </c>
      <c r="D661" s="21" t="s">
        <v>282</v>
      </c>
      <c r="E661" s="21" t="s">
        <v>189</v>
      </c>
      <c r="F661" s="21" t="s">
        <v>197</v>
      </c>
      <c r="G661" s="194">
        <f>163-5.8</f>
        <v>157.19999999999999</v>
      </c>
      <c r="H661" s="193" t="s">
        <v>863</v>
      </c>
    </row>
    <row r="662" spans="1:11" ht="15.75" x14ac:dyDescent="0.25">
      <c r="A662" s="26" t="s">
        <v>204</v>
      </c>
      <c r="B662" s="17">
        <v>906</v>
      </c>
      <c r="C662" s="21" t="s">
        <v>327</v>
      </c>
      <c r="D662" s="21" t="s">
        <v>282</v>
      </c>
      <c r="E662" s="21" t="s">
        <v>205</v>
      </c>
      <c r="F662" s="21"/>
      <c r="G662" s="27">
        <f>G666+G663</f>
        <v>13163.600000000002</v>
      </c>
      <c r="H662" s="221"/>
    </row>
    <row r="663" spans="1:11" ht="15.75" x14ac:dyDescent="0.25">
      <c r="A663" s="26" t="s">
        <v>542</v>
      </c>
      <c r="B663" s="17">
        <v>906</v>
      </c>
      <c r="C663" s="21" t="s">
        <v>327</v>
      </c>
      <c r="D663" s="21" t="s">
        <v>282</v>
      </c>
      <c r="E663" s="21" t="s">
        <v>543</v>
      </c>
      <c r="F663" s="21"/>
      <c r="G663" s="27">
        <f>G664</f>
        <v>375</v>
      </c>
      <c r="H663" s="221"/>
    </row>
    <row r="664" spans="1:11" ht="31.5" x14ac:dyDescent="0.25">
      <c r="A664" s="26" t="s">
        <v>194</v>
      </c>
      <c r="B664" s="17">
        <v>906</v>
      </c>
      <c r="C664" s="21" t="s">
        <v>327</v>
      </c>
      <c r="D664" s="21" t="s">
        <v>282</v>
      </c>
      <c r="E664" s="21" t="s">
        <v>543</v>
      </c>
      <c r="F664" s="21" t="s">
        <v>195</v>
      </c>
      <c r="G664" s="27">
        <f>G665</f>
        <v>375</v>
      </c>
      <c r="H664" s="221"/>
    </row>
    <row r="665" spans="1:11" ht="47.25" x14ac:dyDescent="0.25">
      <c r="A665" s="26" t="s">
        <v>196</v>
      </c>
      <c r="B665" s="17">
        <v>906</v>
      </c>
      <c r="C665" s="21" t="s">
        <v>327</v>
      </c>
      <c r="D665" s="21" t="s">
        <v>282</v>
      </c>
      <c r="E665" s="21" t="s">
        <v>543</v>
      </c>
      <c r="F665" s="21" t="s">
        <v>197</v>
      </c>
      <c r="G665" s="204">
        <f>206.3+143.7+25</f>
        <v>375</v>
      </c>
      <c r="H665" s="193" t="s">
        <v>886</v>
      </c>
      <c r="I665" s="141"/>
    </row>
    <row r="666" spans="1:11" ht="31.5" x14ac:dyDescent="0.25">
      <c r="A666" s="26" t="s">
        <v>403</v>
      </c>
      <c r="B666" s="17">
        <v>906</v>
      </c>
      <c r="C666" s="21" t="s">
        <v>327</v>
      </c>
      <c r="D666" s="21" t="s">
        <v>282</v>
      </c>
      <c r="E666" s="21" t="s">
        <v>404</v>
      </c>
      <c r="F666" s="21"/>
      <c r="G666" s="27">
        <f>G667+G669+G671</f>
        <v>12788.600000000002</v>
      </c>
      <c r="H666" s="221"/>
      <c r="J666" s="278"/>
      <c r="K666" s="278"/>
    </row>
    <row r="667" spans="1:11" ht="94.5" x14ac:dyDescent="0.25">
      <c r="A667" s="26" t="s">
        <v>190</v>
      </c>
      <c r="B667" s="17">
        <v>906</v>
      </c>
      <c r="C667" s="21" t="s">
        <v>327</v>
      </c>
      <c r="D667" s="21" t="s">
        <v>282</v>
      </c>
      <c r="E667" s="21" t="s">
        <v>404</v>
      </c>
      <c r="F667" s="21" t="s">
        <v>191</v>
      </c>
      <c r="G667" s="27">
        <f>G668</f>
        <v>11519.300000000001</v>
      </c>
      <c r="H667" s="221"/>
      <c r="J667" s="278"/>
      <c r="K667" s="278"/>
    </row>
    <row r="668" spans="1:11" ht="31.5" x14ac:dyDescent="0.25">
      <c r="A668" s="26" t="s">
        <v>405</v>
      </c>
      <c r="B668" s="17">
        <v>906</v>
      </c>
      <c r="C668" s="21" t="s">
        <v>327</v>
      </c>
      <c r="D668" s="21" t="s">
        <v>282</v>
      </c>
      <c r="E668" s="21" t="s">
        <v>404</v>
      </c>
      <c r="F668" s="21" t="s">
        <v>272</v>
      </c>
      <c r="G668" s="28">
        <f>11988.7-469.4</f>
        <v>11519.300000000001</v>
      </c>
      <c r="H668" s="132"/>
      <c r="I668" s="152"/>
      <c r="J668" s="278"/>
      <c r="K668" s="278"/>
    </row>
    <row r="669" spans="1:11" ht="31.5" x14ac:dyDescent="0.25">
      <c r="A669" s="26" t="s">
        <v>194</v>
      </c>
      <c r="B669" s="17">
        <v>906</v>
      </c>
      <c r="C669" s="21" t="s">
        <v>327</v>
      </c>
      <c r="D669" s="21" t="s">
        <v>282</v>
      </c>
      <c r="E669" s="21" t="s">
        <v>404</v>
      </c>
      <c r="F669" s="21" t="s">
        <v>195</v>
      </c>
      <c r="G669" s="27">
        <f>G670</f>
        <v>1264.0999999999999</v>
      </c>
      <c r="H669" s="221"/>
      <c r="J669" s="278"/>
      <c r="K669" s="278"/>
    </row>
    <row r="670" spans="1:11" ht="47.25" x14ac:dyDescent="0.25">
      <c r="A670" s="26" t="s">
        <v>196</v>
      </c>
      <c r="B670" s="17">
        <v>906</v>
      </c>
      <c r="C670" s="21" t="s">
        <v>327</v>
      </c>
      <c r="D670" s="21" t="s">
        <v>282</v>
      </c>
      <c r="E670" s="21" t="s">
        <v>404</v>
      </c>
      <c r="F670" s="21" t="s">
        <v>197</v>
      </c>
      <c r="G670" s="27">
        <f>1416.8-152.7</f>
        <v>1264.0999999999999</v>
      </c>
      <c r="H670" s="132"/>
      <c r="I670" s="152"/>
      <c r="J670" s="278"/>
      <c r="K670" s="278"/>
    </row>
    <row r="671" spans="1:11" ht="15.75" x14ac:dyDescent="0.25">
      <c r="A671" s="26" t="s">
        <v>198</v>
      </c>
      <c r="B671" s="17">
        <v>906</v>
      </c>
      <c r="C671" s="21" t="s">
        <v>327</v>
      </c>
      <c r="D671" s="21" t="s">
        <v>282</v>
      </c>
      <c r="E671" s="21" t="s">
        <v>404</v>
      </c>
      <c r="F671" s="21" t="s">
        <v>208</v>
      </c>
      <c r="G671" s="27">
        <f>G672</f>
        <v>5.2</v>
      </c>
      <c r="H671" s="221"/>
      <c r="J671" s="278"/>
      <c r="K671" s="278"/>
    </row>
    <row r="672" spans="1:11" ht="15.75" x14ac:dyDescent="0.25">
      <c r="A672" s="26" t="s">
        <v>633</v>
      </c>
      <c r="B672" s="17">
        <v>906</v>
      </c>
      <c r="C672" s="21" t="s">
        <v>327</v>
      </c>
      <c r="D672" s="21" t="s">
        <v>282</v>
      </c>
      <c r="E672" s="21" t="s">
        <v>404</v>
      </c>
      <c r="F672" s="21" t="s">
        <v>201</v>
      </c>
      <c r="G672" s="27">
        <f>7-1.8</f>
        <v>5.2</v>
      </c>
      <c r="H672" s="132"/>
      <c r="I672" s="152"/>
      <c r="J672" s="278"/>
      <c r="K672" s="278"/>
    </row>
    <row r="673" spans="1:10" ht="47.25" x14ac:dyDescent="0.25">
      <c r="A673" s="20" t="s">
        <v>544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21"/>
    </row>
    <row r="674" spans="1:10" ht="15.75" x14ac:dyDescent="0.25">
      <c r="A674" s="24" t="s">
        <v>326</v>
      </c>
      <c r="B674" s="20">
        <v>907</v>
      </c>
      <c r="C674" s="25" t="s">
        <v>532</v>
      </c>
      <c r="D674" s="25"/>
      <c r="E674" s="25"/>
      <c r="F674" s="25"/>
      <c r="G674" s="22">
        <f>G675</f>
        <v>11485.1</v>
      </c>
      <c r="H674" s="221"/>
    </row>
    <row r="675" spans="1:10" ht="15.75" x14ac:dyDescent="0.25">
      <c r="A675" s="24" t="s">
        <v>328</v>
      </c>
      <c r="B675" s="20">
        <v>907</v>
      </c>
      <c r="C675" s="25" t="s">
        <v>327</v>
      </c>
      <c r="D675" s="25" t="s">
        <v>278</v>
      </c>
      <c r="E675" s="25"/>
      <c r="F675" s="25"/>
      <c r="G675" s="22">
        <f t="shared" ref="G675" si="125">G676+G693</f>
        <v>11485.1</v>
      </c>
      <c r="H675" s="221"/>
      <c r="J675" s="142"/>
    </row>
    <row r="676" spans="1:10" ht="47.25" x14ac:dyDescent="0.25">
      <c r="A676" s="26" t="s">
        <v>545</v>
      </c>
      <c r="B676" s="17">
        <v>907</v>
      </c>
      <c r="C676" s="21" t="s">
        <v>327</v>
      </c>
      <c r="D676" s="21" t="s">
        <v>278</v>
      </c>
      <c r="E676" s="21" t="s">
        <v>546</v>
      </c>
      <c r="F676" s="21"/>
      <c r="G676" s="27">
        <f>G677</f>
        <v>10758</v>
      </c>
      <c r="H676" s="221"/>
    </row>
    <row r="677" spans="1:10" ht="47.25" x14ac:dyDescent="0.25">
      <c r="A677" s="26" t="s">
        <v>547</v>
      </c>
      <c r="B677" s="17">
        <v>907</v>
      </c>
      <c r="C677" s="21" t="s">
        <v>327</v>
      </c>
      <c r="D677" s="21" t="s">
        <v>278</v>
      </c>
      <c r="E677" s="21" t="s">
        <v>548</v>
      </c>
      <c r="F677" s="21"/>
      <c r="G677" s="27">
        <f t="shared" ref="G677" si="126">G678+G681+G684+G690+G687</f>
        <v>10758</v>
      </c>
      <c r="H677" s="221"/>
    </row>
    <row r="678" spans="1:10" ht="47.25" x14ac:dyDescent="0.25">
      <c r="A678" s="26" t="s">
        <v>333</v>
      </c>
      <c r="B678" s="17">
        <v>907</v>
      </c>
      <c r="C678" s="21" t="s">
        <v>327</v>
      </c>
      <c r="D678" s="21" t="s">
        <v>278</v>
      </c>
      <c r="E678" s="21" t="s">
        <v>549</v>
      </c>
      <c r="F678" s="21"/>
      <c r="G678" s="27">
        <f>G679</f>
        <v>10722</v>
      </c>
      <c r="H678" s="221"/>
    </row>
    <row r="679" spans="1:10" ht="47.25" x14ac:dyDescent="0.25">
      <c r="A679" s="26" t="s">
        <v>335</v>
      </c>
      <c r="B679" s="17">
        <v>907</v>
      </c>
      <c r="C679" s="21" t="s">
        <v>327</v>
      </c>
      <c r="D679" s="21" t="s">
        <v>278</v>
      </c>
      <c r="E679" s="21" t="s">
        <v>549</v>
      </c>
      <c r="F679" s="21" t="s">
        <v>336</v>
      </c>
      <c r="G679" s="27">
        <f t="shared" ref="G679" si="127">G680</f>
        <v>10722</v>
      </c>
      <c r="H679" s="221"/>
    </row>
    <row r="680" spans="1:10" ht="15.75" x14ac:dyDescent="0.25">
      <c r="A680" s="26" t="s">
        <v>337</v>
      </c>
      <c r="B680" s="17">
        <v>907</v>
      </c>
      <c r="C680" s="21" t="s">
        <v>327</v>
      </c>
      <c r="D680" s="21" t="s">
        <v>278</v>
      </c>
      <c r="E680" s="21" t="s">
        <v>549</v>
      </c>
      <c r="F680" s="21" t="s">
        <v>338</v>
      </c>
      <c r="G680" s="28">
        <f>10500+753.9-531.9</f>
        <v>10722</v>
      </c>
      <c r="H680" s="132"/>
      <c r="I680" s="153"/>
    </row>
    <row r="681" spans="1:10" ht="47.25" hidden="1" x14ac:dyDescent="0.25">
      <c r="A681" s="26" t="s">
        <v>341</v>
      </c>
      <c r="B681" s="17">
        <v>907</v>
      </c>
      <c r="C681" s="21" t="s">
        <v>327</v>
      </c>
      <c r="D681" s="21" t="s">
        <v>276</v>
      </c>
      <c r="E681" s="21" t="s">
        <v>550</v>
      </c>
      <c r="F681" s="21"/>
      <c r="G681" s="27">
        <f t="shared" ref="G681:G682" si="128">G682</f>
        <v>0</v>
      </c>
      <c r="H681" s="221"/>
    </row>
    <row r="682" spans="1:10" ht="47.25" hidden="1" x14ac:dyDescent="0.25">
      <c r="A682" s="26" t="s">
        <v>335</v>
      </c>
      <c r="B682" s="17">
        <v>907</v>
      </c>
      <c r="C682" s="21" t="s">
        <v>327</v>
      </c>
      <c r="D682" s="21" t="s">
        <v>276</v>
      </c>
      <c r="E682" s="21" t="s">
        <v>550</v>
      </c>
      <c r="F682" s="21" t="s">
        <v>336</v>
      </c>
      <c r="G682" s="27">
        <f t="shared" si="128"/>
        <v>0</v>
      </c>
      <c r="H682" s="221"/>
    </row>
    <row r="683" spans="1:10" ht="15.75" hidden="1" x14ac:dyDescent="0.25">
      <c r="A683" s="26" t="s">
        <v>337</v>
      </c>
      <c r="B683" s="17">
        <v>907</v>
      </c>
      <c r="C683" s="21" t="s">
        <v>327</v>
      </c>
      <c r="D683" s="21" t="s">
        <v>276</v>
      </c>
      <c r="E683" s="21" t="s">
        <v>550</v>
      </c>
      <c r="F683" s="21" t="s">
        <v>338</v>
      </c>
      <c r="G683" s="27">
        <v>0</v>
      </c>
      <c r="H683" s="221"/>
    </row>
    <row r="684" spans="1:10" ht="31.5" hidden="1" x14ac:dyDescent="0.25">
      <c r="A684" s="26" t="s">
        <v>343</v>
      </c>
      <c r="B684" s="17">
        <v>907</v>
      </c>
      <c r="C684" s="21" t="s">
        <v>327</v>
      </c>
      <c r="D684" s="21" t="s">
        <v>276</v>
      </c>
      <c r="E684" s="21" t="s">
        <v>551</v>
      </c>
      <c r="F684" s="21"/>
      <c r="G684" s="27">
        <f t="shared" ref="G684:G685" si="129">G685</f>
        <v>0</v>
      </c>
      <c r="H684" s="221"/>
    </row>
    <row r="685" spans="1:10" ht="47.25" hidden="1" x14ac:dyDescent="0.25">
      <c r="A685" s="26" t="s">
        <v>335</v>
      </c>
      <c r="B685" s="17">
        <v>907</v>
      </c>
      <c r="C685" s="21" t="s">
        <v>327</v>
      </c>
      <c r="D685" s="21" t="s">
        <v>276</v>
      </c>
      <c r="E685" s="21" t="s">
        <v>551</v>
      </c>
      <c r="F685" s="21" t="s">
        <v>336</v>
      </c>
      <c r="G685" s="27">
        <f t="shared" si="129"/>
        <v>0</v>
      </c>
      <c r="H685" s="221"/>
    </row>
    <row r="686" spans="1:10" ht="15.75" hidden="1" x14ac:dyDescent="0.25">
      <c r="A686" s="26" t="s">
        <v>337</v>
      </c>
      <c r="B686" s="17">
        <v>907</v>
      </c>
      <c r="C686" s="21" t="s">
        <v>327</v>
      </c>
      <c r="D686" s="21" t="s">
        <v>276</v>
      </c>
      <c r="E686" s="21" t="s">
        <v>551</v>
      </c>
      <c r="F686" s="21" t="s">
        <v>338</v>
      </c>
      <c r="G686" s="27">
        <v>0</v>
      </c>
      <c r="H686" s="221"/>
    </row>
    <row r="687" spans="1:10" ht="47.25" x14ac:dyDescent="0.25">
      <c r="A687" s="26" t="s">
        <v>345</v>
      </c>
      <c r="B687" s="17">
        <v>907</v>
      </c>
      <c r="C687" s="21" t="s">
        <v>327</v>
      </c>
      <c r="D687" s="21" t="s">
        <v>278</v>
      </c>
      <c r="E687" s="21" t="s">
        <v>552</v>
      </c>
      <c r="F687" s="21"/>
      <c r="G687" s="27">
        <f t="shared" ref="G687" si="130">G688</f>
        <v>36</v>
      </c>
      <c r="H687" s="221"/>
    </row>
    <row r="688" spans="1:10" ht="47.25" x14ac:dyDescent="0.25">
      <c r="A688" s="26" t="s">
        <v>335</v>
      </c>
      <c r="B688" s="17">
        <v>907</v>
      </c>
      <c r="C688" s="21" t="s">
        <v>327</v>
      </c>
      <c r="D688" s="21" t="s">
        <v>278</v>
      </c>
      <c r="E688" s="21" t="s">
        <v>552</v>
      </c>
      <c r="F688" s="21" t="s">
        <v>336</v>
      </c>
      <c r="G688" s="27">
        <f>G689</f>
        <v>36</v>
      </c>
      <c r="H688" s="221"/>
    </row>
    <row r="689" spans="1:10" ht="15.75" x14ac:dyDescent="0.25">
      <c r="A689" s="26" t="s">
        <v>337</v>
      </c>
      <c r="B689" s="17">
        <v>907</v>
      </c>
      <c r="C689" s="21" t="s">
        <v>327</v>
      </c>
      <c r="D689" s="21" t="s">
        <v>278</v>
      </c>
      <c r="E689" s="21" t="s">
        <v>552</v>
      </c>
      <c r="F689" s="21" t="s">
        <v>338</v>
      </c>
      <c r="G689" s="27">
        <v>36</v>
      </c>
      <c r="H689" s="221"/>
    </row>
    <row r="690" spans="1:10" ht="31.5" hidden="1" x14ac:dyDescent="0.25">
      <c r="A690" s="26" t="s">
        <v>347</v>
      </c>
      <c r="B690" s="17">
        <v>907</v>
      </c>
      <c r="C690" s="21" t="s">
        <v>327</v>
      </c>
      <c r="D690" s="21" t="s">
        <v>276</v>
      </c>
      <c r="E690" s="21" t="s">
        <v>553</v>
      </c>
      <c r="F690" s="21"/>
      <c r="G690" s="27">
        <f t="shared" ref="G690:G691" si="131">G691</f>
        <v>0</v>
      </c>
      <c r="H690" s="221"/>
    </row>
    <row r="691" spans="1:10" ht="47.25" hidden="1" x14ac:dyDescent="0.25">
      <c r="A691" s="26" t="s">
        <v>335</v>
      </c>
      <c r="B691" s="17">
        <v>907</v>
      </c>
      <c r="C691" s="21" t="s">
        <v>327</v>
      </c>
      <c r="D691" s="21" t="s">
        <v>276</v>
      </c>
      <c r="E691" s="21" t="s">
        <v>553</v>
      </c>
      <c r="F691" s="21" t="s">
        <v>336</v>
      </c>
      <c r="G691" s="27">
        <f t="shared" si="131"/>
        <v>0</v>
      </c>
      <c r="H691" s="221"/>
    </row>
    <row r="692" spans="1:10" ht="15.75" hidden="1" x14ac:dyDescent="0.25">
      <c r="A692" s="26" t="s">
        <v>337</v>
      </c>
      <c r="B692" s="17">
        <v>907</v>
      </c>
      <c r="C692" s="21" t="s">
        <v>327</v>
      </c>
      <c r="D692" s="21" t="s">
        <v>276</v>
      </c>
      <c r="E692" s="21" t="s">
        <v>553</v>
      </c>
      <c r="F692" s="21" t="s">
        <v>338</v>
      </c>
      <c r="G692" s="27">
        <v>0</v>
      </c>
      <c r="H692" s="221"/>
    </row>
    <row r="693" spans="1:10" ht="15.75" x14ac:dyDescent="0.25">
      <c r="A693" s="26" t="s">
        <v>184</v>
      </c>
      <c r="B693" s="17">
        <v>907</v>
      </c>
      <c r="C693" s="21" t="s">
        <v>327</v>
      </c>
      <c r="D693" s="21" t="s">
        <v>278</v>
      </c>
      <c r="E693" s="21" t="s">
        <v>185</v>
      </c>
      <c r="F693" s="21"/>
      <c r="G693" s="27">
        <f>G694</f>
        <v>727.1</v>
      </c>
      <c r="H693" s="221"/>
    </row>
    <row r="694" spans="1:10" ht="31.5" x14ac:dyDescent="0.25">
      <c r="A694" s="26" t="s">
        <v>248</v>
      </c>
      <c r="B694" s="17">
        <v>907</v>
      </c>
      <c r="C694" s="21" t="s">
        <v>327</v>
      </c>
      <c r="D694" s="21" t="s">
        <v>278</v>
      </c>
      <c r="E694" s="21" t="s">
        <v>249</v>
      </c>
      <c r="F694" s="21"/>
      <c r="G694" s="27">
        <f>G695+G698+G701</f>
        <v>727.1</v>
      </c>
      <c r="H694" s="221"/>
    </row>
    <row r="695" spans="1:10" ht="63" x14ac:dyDescent="0.25">
      <c r="A695" s="33" t="s">
        <v>352</v>
      </c>
      <c r="B695" s="17">
        <v>907</v>
      </c>
      <c r="C695" s="21" t="s">
        <v>327</v>
      </c>
      <c r="D695" s="21" t="s">
        <v>278</v>
      </c>
      <c r="E695" s="21" t="s">
        <v>353</v>
      </c>
      <c r="F695" s="21"/>
      <c r="G695" s="27">
        <f>G696</f>
        <v>50</v>
      </c>
      <c r="H695" s="221"/>
    </row>
    <row r="696" spans="1:10" ht="47.25" x14ac:dyDescent="0.25">
      <c r="A696" s="26" t="s">
        <v>335</v>
      </c>
      <c r="B696" s="17">
        <v>907</v>
      </c>
      <c r="C696" s="21" t="s">
        <v>327</v>
      </c>
      <c r="D696" s="21" t="s">
        <v>278</v>
      </c>
      <c r="E696" s="21" t="s">
        <v>353</v>
      </c>
      <c r="F696" s="21" t="s">
        <v>336</v>
      </c>
      <c r="G696" s="27">
        <f t="shared" ref="G696" si="132">G697</f>
        <v>50</v>
      </c>
      <c r="H696" s="221"/>
    </row>
    <row r="697" spans="1:10" ht="15.75" x14ac:dyDescent="0.25">
      <c r="A697" s="26" t="s">
        <v>337</v>
      </c>
      <c r="B697" s="17">
        <v>907</v>
      </c>
      <c r="C697" s="21" t="s">
        <v>327</v>
      </c>
      <c r="D697" s="21" t="s">
        <v>278</v>
      </c>
      <c r="E697" s="21" t="s">
        <v>353</v>
      </c>
      <c r="F697" s="21" t="s">
        <v>338</v>
      </c>
      <c r="G697" s="27">
        <v>50</v>
      </c>
      <c r="H697" s="221"/>
    </row>
    <row r="698" spans="1:10" ht="78.75" x14ac:dyDescent="0.25">
      <c r="A698" s="33" t="s">
        <v>354</v>
      </c>
      <c r="B698" s="17">
        <v>907</v>
      </c>
      <c r="C698" s="21" t="s">
        <v>327</v>
      </c>
      <c r="D698" s="21" t="s">
        <v>278</v>
      </c>
      <c r="E698" s="21" t="s">
        <v>355</v>
      </c>
      <c r="F698" s="21"/>
      <c r="G698" s="27">
        <f t="shared" ref="G698:G702" si="133">G699</f>
        <v>197.3</v>
      </c>
      <c r="H698" s="221"/>
    </row>
    <row r="699" spans="1:10" ht="47.25" x14ac:dyDescent="0.25">
      <c r="A699" s="26" t="s">
        <v>335</v>
      </c>
      <c r="B699" s="17">
        <v>907</v>
      </c>
      <c r="C699" s="21" t="s">
        <v>327</v>
      </c>
      <c r="D699" s="21" t="s">
        <v>278</v>
      </c>
      <c r="E699" s="21" t="s">
        <v>355</v>
      </c>
      <c r="F699" s="21" t="s">
        <v>336</v>
      </c>
      <c r="G699" s="27">
        <f>G700</f>
        <v>197.3</v>
      </c>
      <c r="H699" s="221"/>
    </row>
    <row r="700" spans="1:10" ht="15.75" x14ac:dyDescent="0.25">
      <c r="A700" s="26" t="s">
        <v>337</v>
      </c>
      <c r="B700" s="17">
        <v>907</v>
      </c>
      <c r="C700" s="21" t="s">
        <v>327</v>
      </c>
      <c r="D700" s="21" t="s">
        <v>278</v>
      </c>
      <c r="E700" s="21" t="s">
        <v>355</v>
      </c>
      <c r="F700" s="21" t="s">
        <v>338</v>
      </c>
      <c r="G700" s="27">
        <f>200-2.7</f>
        <v>197.3</v>
      </c>
      <c r="H700" s="221"/>
      <c r="I700" s="141"/>
      <c r="J700" s="142"/>
    </row>
    <row r="701" spans="1:10" ht="110.25" x14ac:dyDescent="0.25">
      <c r="A701" s="33" t="s">
        <v>528</v>
      </c>
      <c r="B701" s="17">
        <v>907</v>
      </c>
      <c r="C701" s="21" t="s">
        <v>327</v>
      </c>
      <c r="D701" s="21" t="s">
        <v>278</v>
      </c>
      <c r="E701" s="21" t="s">
        <v>357</v>
      </c>
      <c r="F701" s="21"/>
      <c r="G701" s="27">
        <f>G702</f>
        <v>479.8</v>
      </c>
      <c r="H701" s="221"/>
    </row>
    <row r="702" spans="1:10" ht="47.25" x14ac:dyDescent="0.25">
      <c r="A702" s="26" t="s">
        <v>335</v>
      </c>
      <c r="B702" s="17">
        <v>907</v>
      </c>
      <c r="C702" s="21" t="s">
        <v>327</v>
      </c>
      <c r="D702" s="21" t="s">
        <v>278</v>
      </c>
      <c r="E702" s="21" t="s">
        <v>357</v>
      </c>
      <c r="F702" s="21" t="s">
        <v>336</v>
      </c>
      <c r="G702" s="27">
        <f t="shared" si="133"/>
        <v>479.8</v>
      </c>
      <c r="H702" s="221"/>
    </row>
    <row r="703" spans="1:10" ht="15.75" x14ac:dyDescent="0.25">
      <c r="A703" s="26" t="s">
        <v>337</v>
      </c>
      <c r="B703" s="17">
        <v>907</v>
      </c>
      <c r="C703" s="21" t="s">
        <v>327</v>
      </c>
      <c r="D703" s="21" t="s">
        <v>278</v>
      </c>
      <c r="E703" s="21" t="s">
        <v>357</v>
      </c>
      <c r="F703" s="21" t="s">
        <v>338</v>
      </c>
      <c r="G703" s="27">
        <f>500-20.2</f>
        <v>479.8</v>
      </c>
      <c r="H703" s="221"/>
      <c r="I703" s="141"/>
    </row>
    <row r="704" spans="1:10" ht="15.75" x14ac:dyDescent="0.25">
      <c r="A704" s="24" t="s">
        <v>554</v>
      </c>
      <c r="B704" s="20">
        <v>907</v>
      </c>
      <c r="C704" s="25" t="s">
        <v>555</v>
      </c>
      <c r="D704" s="21"/>
      <c r="E704" s="21"/>
      <c r="F704" s="21"/>
      <c r="G704" s="22">
        <f t="shared" ref="G704" si="134">G705+G725</f>
        <v>34702.699999999997</v>
      </c>
      <c r="H704" s="221"/>
    </row>
    <row r="705" spans="1:9" ht="15.75" x14ac:dyDescent="0.25">
      <c r="A705" s="24" t="s">
        <v>556</v>
      </c>
      <c r="B705" s="20">
        <v>907</v>
      </c>
      <c r="C705" s="25" t="s">
        <v>555</v>
      </c>
      <c r="D705" s="25" t="s">
        <v>181</v>
      </c>
      <c r="E705" s="21"/>
      <c r="F705" s="21"/>
      <c r="G705" s="22">
        <f>G706+G721</f>
        <v>23173.9</v>
      </c>
      <c r="H705" s="221"/>
    </row>
    <row r="706" spans="1:9" ht="47.25" x14ac:dyDescent="0.25">
      <c r="A706" s="26" t="s">
        <v>545</v>
      </c>
      <c r="B706" s="17">
        <v>907</v>
      </c>
      <c r="C706" s="21" t="s">
        <v>555</v>
      </c>
      <c r="D706" s="21" t="s">
        <v>181</v>
      </c>
      <c r="E706" s="21" t="s">
        <v>546</v>
      </c>
      <c r="F706" s="21"/>
      <c r="G706" s="27">
        <f>G707</f>
        <v>22673.9</v>
      </c>
      <c r="H706" s="221"/>
    </row>
    <row r="707" spans="1:9" ht="47.25" x14ac:dyDescent="0.25">
      <c r="A707" s="26" t="s">
        <v>557</v>
      </c>
      <c r="B707" s="17">
        <v>907</v>
      </c>
      <c r="C707" s="21" t="s">
        <v>555</v>
      </c>
      <c r="D707" s="21" t="s">
        <v>181</v>
      </c>
      <c r="E707" s="21" t="s">
        <v>558</v>
      </c>
      <c r="F707" s="21"/>
      <c r="G707" s="27">
        <f>G708+G711+G714+G717</f>
        <v>22673.9</v>
      </c>
      <c r="H707" s="221"/>
    </row>
    <row r="708" spans="1:9" ht="47.25" x14ac:dyDescent="0.25">
      <c r="A708" s="26" t="s">
        <v>559</v>
      </c>
      <c r="B708" s="17">
        <v>907</v>
      </c>
      <c r="C708" s="21" t="s">
        <v>555</v>
      </c>
      <c r="D708" s="21" t="s">
        <v>181</v>
      </c>
      <c r="E708" s="21" t="s">
        <v>560</v>
      </c>
      <c r="F708" s="21"/>
      <c r="G708" s="27">
        <f>G709</f>
        <v>22376.400000000001</v>
      </c>
      <c r="H708" s="221"/>
    </row>
    <row r="709" spans="1:9" ht="47.25" x14ac:dyDescent="0.25">
      <c r="A709" s="26" t="s">
        <v>335</v>
      </c>
      <c r="B709" s="17">
        <v>907</v>
      </c>
      <c r="C709" s="21" t="s">
        <v>555</v>
      </c>
      <c r="D709" s="21" t="s">
        <v>181</v>
      </c>
      <c r="E709" s="21" t="s">
        <v>560</v>
      </c>
      <c r="F709" s="21" t="s">
        <v>336</v>
      </c>
      <c r="G709" s="27">
        <f t="shared" ref="G709" si="135">G710</f>
        <v>22376.400000000001</v>
      </c>
      <c r="H709" s="221"/>
    </row>
    <row r="710" spans="1:9" ht="15.75" x14ac:dyDescent="0.25">
      <c r="A710" s="26" t="s">
        <v>337</v>
      </c>
      <c r="B710" s="17">
        <v>907</v>
      </c>
      <c r="C710" s="21" t="s">
        <v>555</v>
      </c>
      <c r="D710" s="21" t="s">
        <v>181</v>
      </c>
      <c r="E710" s="21" t="s">
        <v>560</v>
      </c>
      <c r="F710" s="21" t="s">
        <v>338</v>
      </c>
      <c r="G710" s="205">
        <f>10890+1490.1+9887.3-199+308</f>
        <v>22376.400000000001</v>
      </c>
      <c r="H710" s="132" t="s">
        <v>879</v>
      </c>
      <c r="I710" s="153"/>
    </row>
    <row r="711" spans="1:9" ht="47.25" x14ac:dyDescent="0.25">
      <c r="A711" s="26" t="s">
        <v>341</v>
      </c>
      <c r="B711" s="17">
        <v>907</v>
      </c>
      <c r="C711" s="21" t="s">
        <v>555</v>
      </c>
      <c r="D711" s="21" t="s">
        <v>181</v>
      </c>
      <c r="E711" s="21" t="s">
        <v>561</v>
      </c>
      <c r="F711" s="21"/>
      <c r="G711" s="27">
        <f t="shared" ref="G711:G712" si="136">G712</f>
        <v>297.5</v>
      </c>
      <c r="H711" s="221"/>
    </row>
    <row r="712" spans="1:9" ht="47.25" x14ac:dyDescent="0.25">
      <c r="A712" s="26" t="s">
        <v>335</v>
      </c>
      <c r="B712" s="17">
        <v>907</v>
      </c>
      <c r="C712" s="21" t="s">
        <v>555</v>
      </c>
      <c r="D712" s="21" t="s">
        <v>181</v>
      </c>
      <c r="E712" s="21" t="s">
        <v>561</v>
      </c>
      <c r="F712" s="21" t="s">
        <v>336</v>
      </c>
      <c r="G712" s="27">
        <f t="shared" si="136"/>
        <v>297.5</v>
      </c>
      <c r="H712" s="221"/>
    </row>
    <row r="713" spans="1:9" ht="15.75" x14ac:dyDescent="0.25">
      <c r="A713" s="26" t="s">
        <v>337</v>
      </c>
      <c r="B713" s="17">
        <v>907</v>
      </c>
      <c r="C713" s="21" t="s">
        <v>555</v>
      </c>
      <c r="D713" s="21" t="s">
        <v>181</v>
      </c>
      <c r="E713" s="21" t="s">
        <v>561</v>
      </c>
      <c r="F713" s="21" t="s">
        <v>338</v>
      </c>
      <c r="G713" s="194">
        <f>797.5-500</f>
        <v>297.5</v>
      </c>
      <c r="H713" s="193" t="s">
        <v>877</v>
      </c>
    </row>
    <row r="714" spans="1:9" ht="31.5" hidden="1" x14ac:dyDescent="0.25">
      <c r="A714" s="26" t="s">
        <v>343</v>
      </c>
      <c r="B714" s="17">
        <v>907</v>
      </c>
      <c r="C714" s="21" t="s">
        <v>555</v>
      </c>
      <c r="D714" s="21" t="s">
        <v>181</v>
      </c>
      <c r="E714" s="21" t="s">
        <v>562</v>
      </c>
      <c r="F714" s="21"/>
      <c r="G714" s="27">
        <f t="shared" ref="G714:G715" si="137">G715</f>
        <v>0</v>
      </c>
      <c r="H714" s="221"/>
    </row>
    <row r="715" spans="1:9" ht="47.25" hidden="1" x14ac:dyDescent="0.25">
      <c r="A715" s="26" t="s">
        <v>335</v>
      </c>
      <c r="B715" s="17">
        <v>907</v>
      </c>
      <c r="C715" s="21" t="s">
        <v>555</v>
      </c>
      <c r="D715" s="21" t="s">
        <v>181</v>
      </c>
      <c r="E715" s="21" t="s">
        <v>562</v>
      </c>
      <c r="F715" s="21" t="s">
        <v>336</v>
      </c>
      <c r="G715" s="27">
        <f t="shared" si="137"/>
        <v>0</v>
      </c>
      <c r="H715" s="221"/>
    </row>
    <row r="716" spans="1:9" ht="15.75" hidden="1" x14ac:dyDescent="0.25">
      <c r="A716" s="26" t="s">
        <v>337</v>
      </c>
      <c r="B716" s="17">
        <v>907</v>
      </c>
      <c r="C716" s="21" t="s">
        <v>555</v>
      </c>
      <c r="D716" s="21" t="s">
        <v>181</v>
      </c>
      <c r="E716" s="21" t="s">
        <v>562</v>
      </c>
      <c r="F716" s="21" t="s">
        <v>338</v>
      </c>
      <c r="G716" s="27">
        <v>0</v>
      </c>
      <c r="H716" s="221"/>
    </row>
    <row r="717" spans="1:9" ht="31.5" hidden="1" x14ac:dyDescent="0.25">
      <c r="A717" s="26" t="s">
        <v>347</v>
      </c>
      <c r="B717" s="17">
        <v>907</v>
      </c>
      <c r="C717" s="21" t="s">
        <v>555</v>
      </c>
      <c r="D717" s="21" t="s">
        <v>181</v>
      </c>
      <c r="E717" s="21" t="s">
        <v>563</v>
      </c>
      <c r="F717" s="21"/>
      <c r="G717" s="27">
        <f t="shared" ref="G717:G718" si="138">G718</f>
        <v>0</v>
      </c>
      <c r="H717" s="221"/>
    </row>
    <row r="718" spans="1:9" ht="47.25" hidden="1" x14ac:dyDescent="0.25">
      <c r="A718" s="26" t="s">
        <v>335</v>
      </c>
      <c r="B718" s="17">
        <v>907</v>
      </c>
      <c r="C718" s="21" t="s">
        <v>555</v>
      </c>
      <c r="D718" s="21" t="s">
        <v>181</v>
      </c>
      <c r="E718" s="21" t="s">
        <v>563</v>
      </c>
      <c r="F718" s="21" t="s">
        <v>336</v>
      </c>
      <c r="G718" s="27">
        <f t="shared" si="138"/>
        <v>0</v>
      </c>
      <c r="H718" s="221"/>
    </row>
    <row r="719" spans="1:9" ht="15.75" hidden="1" x14ac:dyDescent="0.25">
      <c r="A719" s="26" t="s">
        <v>337</v>
      </c>
      <c r="B719" s="17">
        <v>907</v>
      </c>
      <c r="C719" s="21" t="s">
        <v>555</v>
      </c>
      <c r="D719" s="21" t="s">
        <v>181</v>
      </c>
      <c r="E719" s="21" t="s">
        <v>563</v>
      </c>
      <c r="F719" s="21" t="s">
        <v>338</v>
      </c>
      <c r="G719" s="27">
        <v>0</v>
      </c>
      <c r="H719" s="221"/>
    </row>
    <row r="720" spans="1:9" ht="15.75" x14ac:dyDescent="0.25">
      <c r="A720" s="26" t="s">
        <v>184</v>
      </c>
      <c r="B720" s="17">
        <v>907</v>
      </c>
      <c r="C720" s="21" t="s">
        <v>555</v>
      </c>
      <c r="D720" s="21" t="s">
        <v>181</v>
      </c>
      <c r="E720" s="21" t="s">
        <v>185</v>
      </c>
      <c r="F720" s="21"/>
      <c r="G720" s="27">
        <f>G721</f>
        <v>500</v>
      </c>
      <c r="H720" s="221"/>
    </row>
    <row r="721" spans="1:9" ht="31.5" x14ac:dyDescent="0.25">
      <c r="A721" s="26" t="s">
        <v>248</v>
      </c>
      <c r="B721" s="17">
        <v>907</v>
      </c>
      <c r="C721" s="21" t="s">
        <v>555</v>
      </c>
      <c r="D721" s="21" t="s">
        <v>181</v>
      </c>
      <c r="E721" s="21" t="s">
        <v>249</v>
      </c>
      <c r="F721" s="21"/>
      <c r="G721" s="27">
        <f>G722</f>
        <v>500</v>
      </c>
      <c r="H721" s="221"/>
    </row>
    <row r="722" spans="1:9" ht="31.5" x14ac:dyDescent="0.25">
      <c r="A722" s="26" t="s">
        <v>876</v>
      </c>
      <c r="B722" s="17">
        <v>907</v>
      </c>
      <c r="C722" s="21" t="s">
        <v>555</v>
      </c>
      <c r="D722" s="21" t="s">
        <v>181</v>
      </c>
      <c r="E722" s="21" t="s">
        <v>873</v>
      </c>
      <c r="F722" s="21"/>
      <c r="G722" s="27">
        <f>G724</f>
        <v>500</v>
      </c>
      <c r="H722" s="221"/>
    </row>
    <row r="723" spans="1:9" ht="47.25" x14ac:dyDescent="0.25">
      <c r="A723" s="26" t="s">
        <v>335</v>
      </c>
      <c r="B723" s="17">
        <v>907</v>
      </c>
      <c r="C723" s="21" t="s">
        <v>555</v>
      </c>
      <c r="D723" s="21" t="s">
        <v>181</v>
      </c>
      <c r="E723" s="21" t="s">
        <v>873</v>
      </c>
      <c r="F723" s="21" t="s">
        <v>336</v>
      </c>
      <c r="G723" s="27">
        <f>G724</f>
        <v>500</v>
      </c>
      <c r="H723" s="221"/>
    </row>
    <row r="724" spans="1:9" ht="15.75" x14ac:dyDescent="0.25">
      <c r="A724" s="26" t="s">
        <v>337</v>
      </c>
      <c r="B724" s="17">
        <v>907</v>
      </c>
      <c r="C724" s="21" t="s">
        <v>555</v>
      </c>
      <c r="D724" s="21" t="s">
        <v>181</v>
      </c>
      <c r="E724" s="21" t="s">
        <v>873</v>
      </c>
      <c r="F724" s="21" t="s">
        <v>338</v>
      </c>
      <c r="G724" s="194">
        <v>500</v>
      </c>
      <c r="H724" s="193" t="s">
        <v>878</v>
      </c>
    </row>
    <row r="725" spans="1:9" ht="31.5" x14ac:dyDescent="0.25">
      <c r="A725" s="24" t="s">
        <v>564</v>
      </c>
      <c r="B725" s="20">
        <v>907</v>
      </c>
      <c r="C725" s="25" t="s">
        <v>555</v>
      </c>
      <c r="D725" s="25" t="s">
        <v>297</v>
      </c>
      <c r="E725" s="25"/>
      <c r="F725" s="25"/>
      <c r="G725" s="22">
        <f t="shared" ref="G725" si="139">G733+G726</f>
        <v>11528.8</v>
      </c>
      <c r="H725" s="221"/>
    </row>
    <row r="726" spans="1:9" ht="47.25" x14ac:dyDescent="0.25">
      <c r="A726" s="31" t="s">
        <v>545</v>
      </c>
      <c r="B726" s="17">
        <v>907</v>
      </c>
      <c r="C726" s="21" t="s">
        <v>555</v>
      </c>
      <c r="D726" s="21" t="s">
        <v>297</v>
      </c>
      <c r="E726" s="42" t="s">
        <v>546</v>
      </c>
      <c r="F726" s="21"/>
      <c r="G726" s="27">
        <f t="shared" ref="G726:G727" si="140">G727</f>
        <v>3047</v>
      </c>
      <c r="H726" s="221"/>
    </row>
    <row r="727" spans="1:9" ht="47.25" x14ac:dyDescent="0.25">
      <c r="A727" s="47" t="s">
        <v>565</v>
      </c>
      <c r="B727" s="17">
        <v>907</v>
      </c>
      <c r="C727" s="21" t="s">
        <v>555</v>
      </c>
      <c r="D727" s="21" t="s">
        <v>297</v>
      </c>
      <c r="E727" s="42" t="s">
        <v>566</v>
      </c>
      <c r="F727" s="21"/>
      <c r="G727" s="27">
        <f t="shared" si="140"/>
        <v>3047</v>
      </c>
      <c r="H727" s="221"/>
    </row>
    <row r="728" spans="1:9" ht="31.5" x14ac:dyDescent="0.25">
      <c r="A728" s="31" t="s">
        <v>220</v>
      </c>
      <c r="B728" s="17">
        <v>907</v>
      </c>
      <c r="C728" s="21" t="s">
        <v>555</v>
      </c>
      <c r="D728" s="21" t="s">
        <v>297</v>
      </c>
      <c r="E728" s="42" t="s">
        <v>567</v>
      </c>
      <c r="F728" s="21"/>
      <c r="G728" s="27">
        <f>G731+G729</f>
        <v>3047</v>
      </c>
      <c r="H728" s="221"/>
    </row>
    <row r="729" spans="1:9" ht="94.5" x14ac:dyDescent="0.25">
      <c r="A729" s="26" t="s">
        <v>190</v>
      </c>
      <c r="B729" s="17">
        <v>907</v>
      </c>
      <c r="C729" s="21" t="s">
        <v>555</v>
      </c>
      <c r="D729" s="21" t="s">
        <v>297</v>
      </c>
      <c r="E729" s="42" t="s">
        <v>567</v>
      </c>
      <c r="F729" s="21" t="s">
        <v>191</v>
      </c>
      <c r="G729" s="27">
        <f>G730</f>
        <v>2111</v>
      </c>
      <c r="H729" s="221"/>
    </row>
    <row r="730" spans="1:9" ht="31.5" x14ac:dyDescent="0.25">
      <c r="A730" s="26" t="s">
        <v>192</v>
      </c>
      <c r="B730" s="17">
        <v>907</v>
      </c>
      <c r="C730" s="21" t="s">
        <v>555</v>
      </c>
      <c r="D730" s="21" t="s">
        <v>297</v>
      </c>
      <c r="E730" s="42" t="s">
        <v>567</v>
      </c>
      <c r="F730" s="21" t="s">
        <v>193</v>
      </c>
      <c r="G730" s="27">
        <v>2111</v>
      </c>
      <c r="H730" s="221"/>
      <c r="I730" s="141"/>
    </row>
    <row r="731" spans="1:9" ht="31.5" x14ac:dyDescent="0.25">
      <c r="A731" s="31" t="s">
        <v>194</v>
      </c>
      <c r="B731" s="17">
        <v>907</v>
      </c>
      <c r="C731" s="21" t="s">
        <v>555</v>
      </c>
      <c r="D731" s="21" t="s">
        <v>297</v>
      </c>
      <c r="E731" s="42" t="s">
        <v>567</v>
      </c>
      <c r="F731" s="21" t="s">
        <v>195</v>
      </c>
      <c r="G731" s="27">
        <f t="shared" ref="G731" si="141">G732</f>
        <v>936</v>
      </c>
      <c r="H731" s="221"/>
    </row>
    <row r="732" spans="1:9" ht="47.25" x14ac:dyDescent="0.25">
      <c r="A732" s="31" t="s">
        <v>196</v>
      </c>
      <c r="B732" s="17">
        <v>907</v>
      </c>
      <c r="C732" s="21" t="s">
        <v>555</v>
      </c>
      <c r="D732" s="21" t="s">
        <v>297</v>
      </c>
      <c r="E732" s="42" t="s">
        <v>567</v>
      </c>
      <c r="F732" s="21" t="s">
        <v>197</v>
      </c>
      <c r="G732" s="27">
        <f>3047-2111</f>
        <v>936</v>
      </c>
      <c r="H732" s="221"/>
      <c r="I732" s="141"/>
    </row>
    <row r="733" spans="1:9" ht="15.75" x14ac:dyDescent="0.25">
      <c r="A733" s="26" t="s">
        <v>184</v>
      </c>
      <c r="B733" s="17">
        <v>907</v>
      </c>
      <c r="C733" s="21" t="s">
        <v>555</v>
      </c>
      <c r="D733" s="21" t="s">
        <v>297</v>
      </c>
      <c r="E733" s="21" t="s">
        <v>185</v>
      </c>
      <c r="F733" s="21"/>
      <c r="G733" s="27">
        <f>G734+G740</f>
        <v>8481.7999999999993</v>
      </c>
      <c r="H733" s="221"/>
    </row>
    <row r="734" spans="1:9" ht="31.5" x14ac:dyDescent="0.25">
      <c r="A734" s="26" t="s">
        <v>186</v>
      </c>
      <c r="B734" s="17">
        <v>907</v>
      </c>
      <c r="C734" s="21" t="s">
        <v>555</v>
      </c>
      <c r="D734" s="21" t="s">
        <v>297</v>
      </c>
      <c r="E734" s="21" t="s">
        <v>187</v>
      </c>
      <c r="F734" s="21"/>
      <c r="G734" s="27">
        <f>G735</f>
        <v>3599.8</v>
      </c>
      <c r="H734" s="221"/>
    </row>
    <row r="735" spans="1:9" ht="47.25" x14ac:dyDescent="0.25">
      <c r="A735" s="26" t="s">
        <v>188</v>
      </c>
      <c r="B735" s="17">
        <v>907</v>
      </c>
      <c r="C735" s="21" t="s">
        <v>555</v>
      </c>
      <c r="D735" s="21" t="s">
        <v>297</v>
      </c>
      <c r="E735" s="21" t="s">
        <v>189</v>
      </c>
      <c r="F735" s="21"/>
      <c r="G735" s="27">
        <f t="shared" ref="G735" si="142">G736+G738</f>
        <v>3599.8</v>
      </c>
      <c r="H735" s="221"/>
    </row>
    <row r="736" spans="1:9" ht="94.5" x14ac:dyDescent="0.25">
      <c r="A736" s="26" t="s">
        <v>190</v>
      </c>
      <c r="B736" s="17">
        <v>907</v>
      </c>
      <c r="C736" s="21" t="s">
        <v>555</v>
      </c>
      <c r="D736" s="21" t="s">
        <v>297</v>
      </c>
      <c r="E736" s="21" t="s">
        <v>189</v>
      </c>
      <c r="F736" s="21" t="s">
        <v>191</v>
      </c>
      <c r="G736" s="27">
        <f>G737</f>
        <v>3599.8</v>
      </c>
      <c r="H736" s="221"/>
    </row>
    <row r="737" spans="1:12" ht="31.5" x14ac:dyDescent="0.25">
      <c r="A737" s="26" t="s">
        <v>192</v>
      </c>
      <c r="B737" s="17">
        <v>907</v>
      </c>
      <c r="C737" s="21" t="s">
        <v>555</v>
      </c>
      <c r="D737" s="21" t="s">
        <v>297</v>
      </c>
      <c r="E737" s="21" t="s">
        <v>189</v>
      </c>
      <c r="F737" s="21" t="s">
        <v>193</v>
      </c>
      <c r="G737" s="28">
        <v>3599.8</v>
      </c>
      <c r="H737" s="221"/>
    </row>
    <row r="738" spans="1:12" ht="31.5" hidden="1" x14ac:dyDescent="0.25">
      <c r="A738" s="26" t="s">
        <v>194</v>
      </c>
      <c r="B738" s="17">
        <v>907</v>
      </c>
      <c r="C738" s="21" t="s">
        <v>555</v>
      </c>
      <c r="D738" s="21" t="s">
        <v>297</v>
      </c>
      <c r="E738" s="21" t="s">
        <v>189</v>
      </c>
      <c r="F738" s="21" t="s">
        <v>195</v>
      </c>
      <c r="G738" s="27">
        <f t="shared" ref="G738" si="143">G739</f>
        <v>0</v>
      </c>
      <c r="H738" s="221"/>
    </row>
    <row r="739" spans="1:12" ht="47.25" hidden="1" x14ac:dyDescent="0.25">
      <c r="A739" s="26" t="s">
        <v>196</v>
      </c>
      <c r="B739" s="17">
        <v>907</v>
      </c>
      <c r="C739" s="21" t="s">
        <v>555</v>
      </c>
      <c r="D739" s="21" t="s">
        <v>297</v>
      </c>
      <c r="E739" s="21" t="s">
        <v>189</v>
      </c>
      <c r="F739" s="21" t="s">
        <v>197</v>
      </c>
      <c r="G739" s="27"/>
      <c r="H739" s="221"/>
    </row>
    <row r="740" spans="1:12" ht="15.75" x14ac:dyDescent="0.25">
      <c r="A740" s="26" t="s">
        <v>204</v>
      </c>
      <c r="B740" s="17">
        <v>907</v>
      </c>
      <c r="C740" s="21" t="s">
        <v>555</v>
      </c>
      <c r="D740" s="21" t="s">
        <v>297</v>
      </c>
      <c r="E740" s="21" t="s">
        <v>205</v>
      </c>
      <c r="F740" s="21"/>
      <c r="G740" s="27">
        <f>G741</f>
        <v>4882</v>
      </c>
      <c r="H740" s="221"/>
    </row>
    <row r="741" spans="1:12" ht="31.5" x14ac:dyDescent="0.25">
      <c r="A741" s="26" t="s">
        <v>403</v>
      </c>
      <c r="B741" s="17">
        <v>907</v>
      </c>
      <c r="C741" s="21" t="s">
        <v>555</v>
      </c>
      <c r="D741" s="21" t="s">
        <v>297</v>
      </c>
      <c r="E741" s="21" t="s">
        <v>404</v>
      </c>
      <c r="F741" s="21"/>
      <c r="G741" s="27">
        <f>G742+G744+G746</f>
        <v>4882</v>
      </c>
      <c r="H741" s="221"/>
      <c r="J741" s="278"/>
      <c r="K741" s="278"/>
    </row>
    <row r="742" spans="1:12" ht="94.5" x14ac:dyDescent="0.25">
      <c r="A742" s="26" t="s">
        <v>190</v>
      </c>
      <c r="B742" s="17">
        <v>907</v>
      </c>
      <c r="C742" s="21" t="s">
        <v>555</v>
      </c>
      <c r="D742" s="21" t="s">
        <v>297</v>
      </c>
      <c r="E742" s="21" t="s">
        <v>404</v>
      </c>
      <c r="F742" s="21" t="s">
        <v>191</v>
      </c>
      <c r="G742" s="27">
        <f>G743</f>
        <v>3660.7</v>
      </c>
      <c r="H742" s="221"/>
      <c r="J742" s="278"/>
      <c r="K742" s="278"/>
    </row>
    <row r="743" spans="1:12" ht="31.5" x14ac:dyDescent="0.25">
      <c r="A743" s="26" t="s">
        <v>405</v>
      </c>
      <c r="B743" s="17">
        <v>907</v>
      </c>
      <c r="C743" s="21" t="s">
        <v>555</v>
      </c>
      <c r="D743" s="21" t="s">
        <v>297</v>
      </c>
      <c r="E743" s="21" t="s">
        <v>404</v>
      </c>
      <c r="F743" s="21" t="s">
        <v>272</v>
      </c>
      <c r="G743" s="28">
        <f>4240.2-579.5</f>
        <v>3660.7</v>
      </c>
      <c r="H743" s="132"/>
      <c r="I743" s="152"/>
      <c r="J743" s="278"/>
      <c r="K743" s="278"/>
    </row>
    <row r="744" spans="1:12" ht="31.5" x14ac:dyDescent="0.25">
      <c r="A744" s="26" t="s">
        <v>194</v>
      </c>
      <c r="B744" s="17">
        <v>907</v>
      </c>
      <c r="C744" s="21" t="s">
        <v>555</v>
      </c>
      <c r="D744" s="21" t="s">
        <v>297</v>
      </c>
      <c r="E744" s="21" t="s">
        <v>404</v>
      </c>
      <c r="F744" s="21" t="s">
        <v>195</v>
      </c>
      <c r="G744" s="27">
        <f>G745</f>
        <v>1194.1999999999998</v>
      </c>
      <c r="H744" s="221"/>
      <c r="J744" s="278"/>
      <c r="K744" s="278"/>
    </row>
    <row r="745" spans="1:12" ht="47.25" x14ac:dyDescent="0.25">
      <c r="A745" s="26" t="s">
        <v>196</v>
      </c>
      <c r="B745" s="17">
        <v>907</v>
      </c>
      <c r="C745" s="21" t="s">
        <v>555</v>
      </c>
      <c r="D745" s="21" t="s">
        <v>297</v>
      </c>
      <c r="E745" s="21" t="s">
        <v>404</v>
      </c>
      <c r="F745" s="21" t="s">
        <v>197</v>
      </c>
      <c r="G745" s="28">
        <f>1339.6-145.4</f>
        <v>1194.1999999999998</v>
      </c>
      <c r="H745" s="132"/>
      <c r="I745" s="152"/>
      <c r="J745" s="278"/>
      <c r="K745" s="278"/>
    </row>
    <row r="746" spans="1:12" ht="15.75" x14ac:dyDescent="0.25">
      <c r="A746" s="26" t="s">
        <v>198</v>
      </c>
      <c r="B746" s="17">
        <v>907</v>
      </c>
      <c r="C746" s="21" t="s">
        <v>555</v>
      </c>
      <c r="D746" s="21" t="s">
        <v>297</v>
      </c>
      <c r="E746" s="21" t="s">
        <v>404</v>
      </c>
      <c r="F746" s="21" t="s">
        <v>208</v>
      </c>
      <c r="G746" s="27">
        <f>G747</f>
        <v>27.1</v>
      </c>
      <c r="H746" s="221"/>
      <c r="J746" s="278"/>
      <c r="K746" s="278"/>
    </row>
    <row r="747" spans="1:12" ht="15.75" x14ac:dyDescent="0.25">
      <c r="A747" s="26" t="s">
        <v>633</v>
      </c>
      <c r="B747" s="17">
        <v>907</v>
      </c>
      <c r="C747" s="21" t="s">
        <v>555</v>
      </c>
      <c r="D747" s="21" t="s">
        <v>297</v>
      </c>
      <c r="E747" s="21" t="s">
        <v>404</v>
      </c>
      <c r="F747" s="21" t="s">
        <v>201</v>
      </c>
      <c r="G747" s="27">
        <f>27.1</f>
        <v>27.1</v>
      </c>
      <c r="H747" s="132"/>
      <c r="I747" s="152"/>
      <c r="J747" s="278"/>
      <c r="K747" s="278"/>
    </row>
    <row r="748" spans="1:12" ht="47.25" x14ac:dyDescent="0.25">
      <c r="A748" s="20" t="s">
        <v>568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21"/>
      <c r="L748" s="142"/>
    </row>
    <row r="749" spans="1:12" ht="15.75" x14ac:dyDescent="0.25">
      <c r="A749" s="36" t="s">
        <v>180</v>
      </c>
      <c r="B749" s="20">
        <v>908</v>
      </c>
      <c r="C749" s="25" t="s">
        <v>181</v>
      </c>
      <c r="D749" s="21"/>
      <c r="E749" s="21"/>
      <c r="F749" s="21"/>
      <c r="G749" s="22">
        <f>G750</f>
        <v>16714.8</v>
      </c>
      <c r="H749" s="221"/>
      <c r="L749" s="142"/>
    </row>
    <row r="750" spans="1:12" ht="15.75" x14ac:dyDescent="0.25">
      <c r="A750" s="36" t="s">
        <v>202</v>
      </c>
      <c r="B750" s="20">
        <v>908</v>
      </c>
      <c r="C750" s="25" t="s">
        <v>181</v>
      </c>
      <c r="D750" s="25" t="s">
        <v>203</v>
      </c>
      <c r="E750" s="21"/>
      <c r="F750" s="21"/>
      <c r="G750" s="22">
        <f>G752+G755</f>
        <v>16714.8</v>
      </c>
      <c r="H750" s="221"/>
      <c r="L750" s="142"/>
    </row>
    <row r="751" spans="1:12" ht="15.75" x14ac:dyDescent="0.25">
      <c r="A751" s="26" t="s">
        <v>204</v>
      </c>
      <c r="B751" s="17">
        <v>908</v>
      </c>
      <c r="C751" s="21" t="s">
        <v>181</v>
      </c>
      <c r="D751" s="21" t="s">
        <v>203</v>
      </c>
      <c r="E751" s="21" t="s">
        <v>205</v>
      </c>
      <c r="F751" s="21"/>
      <c r="G751" s="27">
        <f>G752</f>
        <v>262.5</v>
      </c>
      <c r="H751" s="221"/>
      <c r="L751" s="142"/>
    </row>
    <row r="752" spans="1:12" ht="15.75" x14ac:dyDescent="0.25">
      <c r="A752" s="26" t="s">
        <v>206</v>
      </c>
      <c r="B752" s="17">
        <v>908</v>
      </c>
      <c r="C752" s="21" t="s">
        <v>181</v>
      </c>
      <c r="D752" s="21" t="s">
        <v>203</v>
      </c>
      <c r="E752" s="21" t="s">
        <v>207</v>
      </c>
      <c r="F752" s="21"/>
      <c r="G752" s="27">
        <f>G753</f>
        <v>262.5</v>
      </c>
      <c r="H752" s="221"/>
      <c r="L752" s="142"/>
    </row>
    <row r="753" spans="1:12" ht="15.75" x14ac:dyDescent="0.25">
      <c r="A753" s="26" t="s">
        <v>198</v>
      </c>
      <c r="B753" s="17">
        <v>908</v>
      </c>
      <c r="C753" s="21" t="s">
        <v>181</v>
      </c>
      <c r="D753" s="21" t="s">
        <v>203</v>
      </c>
      <c r="E753" s="21" t="s">
        <v>207</v>
      </c>
      <c r="F753" s="21" t="s">
        <v>208</v>
      </c>
      <c r="G753" s="27">
        <f>G754</f>
        <v>262.5</v>
      </c>
      <c r="H753" s="221"/>
      <c r="L753" s="142"/>
    </row>
    <row r="754" spans="1:12" ht="15.75" x14ac:dyDescent="0.25">
      <c r="A754" s="26" t="s">
        <v>633</v>
      </c>
      <c r="B754" s="17">
        <v>908</v>
      </c>
      <c r="C754" s="21" t="s">
        <v>181</v>
      </c>
      <c r="D754" s="21" t="s">
        <v>203</v>
      </c>
      <c r="E754" s="21" t="s">
        <v>207</v>
      </c>
      <c r="F754" s="21" t="s">
        <v>201</v>
      </c>
      <c r="G754" s="27">
        <v>262.5</v>
      </c>
      <c r="H754" s="132"/>
      <c r="I754" s="152"/>
      <c r="L754" s="142"/>
    </row>
    <row r="755" spans="1:12" ht="31.5" x14ac:dyDescent="0.25">
      <c r="A755" s="26" t="s">
        <v>649</v>
      </c>
      <c r="B755" s="17">
        <v>908</v>
      </c>
      <c r="C755" s="21" t="s">
        <v>181</v>
      </c>
      <c r="D755" s="21" t="s">
        <v>203</v>
      </c>
      <c r="E755" s="21" t="s">
        <v>650</v>
      </c>
      <c r="F755" s="21"/>
      <c r="G755" s="28">
        <f>G756</f>
        <v>16452.3</v>
      </c>
      <c r="H755" s="221"/>
    </row>
    <row r="756" spans="1:12" ht="31.5" x14ac:dyDescent="0.25">
      <c r="A756" s="26" t="s">
        <v>373</v>
      </c>
      <c r="B756" s="17">
        <v>908</v>
      </c>
      <c r="C756" s="21" t="s">
        <v>181</v>
      </c>
      <c r="D756" s="21" t="s">
        <v>203</v>
      </c>
      <c r="E756" s="21" t="s">
        <v>651</v>
      </c>
      <c r="F756" s="21"/>
      <c r="G756" s="28">
        <f>G757+G759+G761</f>
        <v>16452.3</v>
      </c>
      <c r="H756" s="221"/>
    </row>
    <row r="757" spans="1:12" ht="94.5" x14ac:dyDescent="0.25">
      <c r="A757" s="26" t="s">
        <v>190</v>
      </c>
      <c r="B757" s="17">
        <v>908</v>
      </c>
      <c r="C757" s="21" t="s">
        <v>181</v>
      </c>
      <c r="D757" s="21" t="s">
        <v>203</v>
      </c>
      <c r="E757" s="21" t="s">
        <v>651</v>
      </c>
      <c r="F757" s="21" t="s">
        <v>191</v>
      </c>
      <c r="G757" s="28">
        <f>G758</f>
        <v>13760</v>
      </c>
      <c r="H757" s="221"/>
    </row>
    <row r="758" spans="1:12" ht="31.5" x14ac:dyDescent="0.25">
      <c r="A758" s="48" t="s">
        <v>405</v>
      </c>
      <c r="B758" s="17">
        <v>908</v>
      </c>
      <c r="C758" s="21" t="s">
        <v>181</v>
      </c>
      <c r="D758" s="21" t="s">
        <v>203</v>
      </c>
      <c r="E758" s="21" t="s">
        <v>651</v>
      </c>
      <c r="F758" s="21" t="s">
        <v>272</v>
      </c>
      <c r="G758" s="208">
        <f>13403.8+356.2</f>
        <v>13760</v>
      </c>
      <c r="H758" s="132" t="s">
        <v>888</v>
      </c>
      <c r="I758" s="152"/>
      <c r="L758" s="142"/>
    </row>
    <row r="759" spans="1:12" ht="31.5" x14ac:dyDescent="0.25">
      <c r="A759" s="26" t="s">
        <v>194</v>
      </c>
      <c r="B759" s="17">
        <v>908</v>
      </c>
      <c r="C759" s="21" t="s">
        <v>181</v>
      </c>
      <c r="D759" s="21" t="s">
        <v>203</v>
      </c>
      <c r="E759" s="21" t="s">
        <v>651</v>
      </c>
      <c r="F759" s="21" t="s">
        <v>195</v>
      </c>
      <c r="G759" s="28">
        <f>G760</f>
        <v>2678</v>
      </c>
      <c r="H759" s="221"/>
      <c r="L759" s="142"/>
    </row>
    <row r="760" spans="1:12" ht="47.25" x14ac:dyDescent="0.25">
      <c r="A760" s="26" t="s">
        <v>196</v>
      </c>
      <c r="B760" s="17">
        <v>908</v>
      </c>
      <c r="C760" s="21" t="s">
        <v>181</v>
      </c>
      <c r="D760" s="21" t="s">
        <v>203</v>
      </c>
      <c r="E760" s="21" t="s">
        <v>651</v>
      </c>
      <c r="F760" s="21" t="s">
        <v>197</v>
      </c>
      <c r="G760" s="208">
        <f>3034.2-356.2</f>
        <v>2678</v>
      </c>
      <c r="H760" s="132" t="s">
        <v>889</v>
      </c>
      <c r="I760" s="152"/>
      <c r="L760" s="142"/>
    </row>
    <row r="761" spans="1:12" ht="15.75" x14ac:dyDescent="0.25">
      <c r="A761" s="26" t="s">
        <v>198</v>
      </c>
      <c r="B761" s="17">
        <v>908</v>
      </c>
      <c r="C761" s="21" t="s">
        <v>181</v>
      </c>
      <c r="D761" s="21" t="s">
        <v>203</v>
      </c>
      <c r="E761" s="21" t="s">
        <v>651</v>
      </c>
      <c r="F761" s="21" t="s">
        <v>208</v>
      </c>
      <c r="G761" s="28">
        <f>G762</f>
        <v>14.3</v>
      </c>
      <c r="H761" s="221"/>
      <c r="L761" s="142"/>
    </row>
    <row r="762" spans="1:12" ht="15.75" x14ac:dyDescent="0.25">
      <c r="A762" s="26" t="s">
        <v>839</v>
      </c>
      <c r="B762" s="17">
        <v>908</v>
      </c>
      <c r="C762" s="21" t="s">
        <v>181</v>
      </c>
      <c r="D762" s="21" t="s">
        <v>203</v>
      </c>
      <c r="E762" s="21" t="s">
        <v>651</v>
      </c>
      <c r="F762" s="21" t="s">
        <v>201</v>
      </c>
      <c r="G762" s="28">
        <v>14.3</v>
      </c>
      <c r="H762" s="132"/>
      <c r="I762" s="152"/>
      <c r="L762" s="142"/>
    </row>
    <row r="763" spans="1:12" ht="31.5" x14ac:dyDescent="0.25">
      <c r="A763" s="24" t="s">
        <v>285</v>
      </c>
      <c r="B763" s="20">
        <v>908</v>
      </c>
      <c r="C763" s="25" t="s">
        <v>278</v>
      </c>
      <c r="D763" s="25"/>
      <c r="E763" s="25"/>
      <c r="F763" s="25"/>
      <c r="G763" s="22">
        <f t="shared" ref="G763:G768" si="144">G764</f>
        <v>50</v>
      </c>
      <c r="H763" s="221"/>
    </row>
    <row r="764" spans="1:12" ht="63" x14ac:dyDescent="0.25">
      <c r="A764" s="24" t="s">
        <v>286</v>
      </c>
      <c r="B764" s="20">
        <v>908</v>
      </c>
      <c r="C764" s="25" t="s">
        <v>278</v>
      </c>
      <c r="D764" s="25" t="s">
        <v>282</v>
      </c>
      <c r="E764" s="25"/>
      <c r="F764" s="25"/>
      <c r="G764" s="22">
        <f t="shared" si="144"/>
        <v>50</v>
      </c>
      <c r="H764" s="221"/>
    </row>
    <row r="765" spans="1:12" ht="21.75" customHeight="1" x14ac:dyDescent="0.25">
      <c r="A765" s="26" t="s">
        <v>184</v>
      </c>
      <c r="B765" s="17">
        <v>908</v>
      </c>
      <c r="C765" s="21" t="s">
        <v>278</v>
      </c>
      <c r="D765" s="21" t="s">
        <v>282</v>
      </c>
      <c r="E765" s="21" t="s">
        <v>185</v>
      </c>
      <c r="F765" s="21"/>
      <c r="G765" s="27">
        <f t="shared" si="144"/>
        <v>50</v>
      </c>
      <c r="H765" s="221"/>
    </row>
    <row r="766" spans="1:12" ht="15.75" x14ac:dyDescent="0.25">
      <c r="A766" s="26" t="s">
        <v>204</v>
      </c>
      <c r="B766" s="17">
        <v>908</v>
      </c>
      <c r="C766" s="21" t="s">
        <v>278</v>
      </c>
      <c r="D766" s="21" t="s">
        <v>282</v>
      </c>
      <c r="E766" s="21" t="s">
        <v>205</v>
      </c>
      <c r="F766" s="21"/>
      <c r="G766" s="27">
        <f t="shared" si="144"/>
        <v>50</v>
      </c>
      <c r="H766" s="221"/>
    </row>
    <row r="767" spans="1:12" ht="15.75" x14ac:dyDescent="0.25">
      <c r="A767" s="26" t="s">
        <v>293</v>
      </c>
      <c r="B767" s="17">
        <v>908</v>
      </c>
      <c r="C767" s="21" t="s">
        <v>278</v>
      </c>
      <c r="D767" s="21" t="s">
        <v>282</v>
      </c>
      <c r="E767" s="21" t="s">
        <v>294</v>
      </c>
      <c r="F767" s="21"/>
      <c r="G767" s="27">
        <f t="shared" si="144"/>
        <v>50</v>
      </c>
      <c r="H767" s="221"/>
    </row>
    <row r="768" spans="1:12" ht="31.5" x14ac:dyDescent="0.25">
      <c r="A768" s="26" t="s">
        <v>194</v>
      </c>
      <c r="B768" s="17">
        <v>908</v>
      </c>
      <c r="C768" s="21" t="s">
        <v>278</v>
      </c>
      <c r="D768" s="21" t="s">
        <v>282</v>
      </c>
      <c r="E768" s="21" t="s">
        <v>294</v>
      </c>
      <c r="F768" s="21" t="s">
        <v>195</v>
      </c>
      <c r="G768" s="27">
        <f t="shared" si="144"/>
        <v>50</v>
      </c>
      <c r="H768" s="221"/>
    </row>
    <row r="769" spans="1:9" ht="47.25" x14ac:dyDescent="0.25">
      <c r="A769" s="26" t="s">
        <v>196</v>
      </c>
      <c r="B769" s="17">
        <v>908</v>
      </c>
      <c r="C769" s="21" t="s">
        <v>278</v>
      </c>
      <c r="D769" s="21" t="s">
        <v>282</v>
      </c>
      <c r="E769" s="21" t="s">
        <v>294</v>
      </c>
      <c r="F769" s="21" t="s">
        <v>197</v>
      </c>
      <c r="G769" s="27">
        <v>50</v>
      </c>
      <c r="H769" s="221"/>
    </row>
    <row r="770" spans="1:9" ht="15.75" x14ac:dyDescent="0.25">
      <c r="A770" s="24" t="s">
        <v>295</v>
      </c>
      <c r="B770" s="20">
        <v>908</v>
      </c>
      <c r="C770" s="25" t="s">
        <v>213</v>
      </c>
      <c r="D770" s="25"/>
      <c r="E770" s="25"/>
      <c r="F770" s="25"/>
      <c r="G770" s="22">
        <f>G771+G777</f>
        <v>18331.8</v>
      </c>
      <c r="H770" s="221"/>
    </row>
    <row r="771" spans="1:9" ht="15.75" x14ac:dyDescent="0.25">
      <c r="A771" s="24" t="s">
        <v>569</v>
      </c>
      <c r="B771" s="20">
        <v>908</v>
      </c>
      <c r="C771" s="25" t="s">
        <v>213</v>
      </c>
      <c r="D771" s="25" t="s">
        <v>362</v>
      </c>
      <c r="E771" s="25"/>
      <c r="F771" s="25"/>
      <c r="G771" s="22">
        <f>G772</f>
        <v>3207.7</v>
      </c>
      <c r="H771" s="221"/>
    </row>
    <row r="772" spans="1:9" ht="15.75" x14ac:dyDescent="0.25">
      <c r="A772" s="26" t="s">
        <v>184</v>
      </c>
      <c r="B772" s="17">
        <v>908</v>
      </c>
      <c r="C772" s="21" t="s">
        <v>213</v>
      </c>
      <c r="D772" s="21" t="s">
        <v>362</v>
      </c>
      <c r="E772" s="21" t="s">
        <v>185</v>
      </c>
      <c r="F772" s="25"/>
      <c r="G772" s="27">
        <f>G773</f>
        <v>3207.7</v>
      </c>
      <c r="H772" s="221"/>
    </row>
    <row r="773" spans="1:9" ht="15.75" x14ac:dyDescent="0.25">
      <c r="A773" s="26" t="s">
        <v>204</v>
      </c>
      <c r="B773" s="17">
        <v>908</v>
      </c>
      <c r="C773" s="21" t="s">
        <v>213</v>
      </c>
      <c r="D773" s="21" t="s">
        <v>362</v>
      </c>
      <c r="E773" s="21" t="s">
        <v>205</v>
      </c>
      <c r="F773" s="25"/>
      <c r="G773" s="27">
        <f>G774</f>
        <v>3207.7</v>
      </c>
      <c r="H773" s="221"/>
    </row>
    <row r="774" spans="1:9" ht="39" customHeight="1" x14ac:dyDescent="0.25">
      <c r="A774" s="26" t="s">
        <v>570</v>
      </c>
      <c r="B774" s="17">
        <v>908</v>
      </c>
      <c r="C774" s="21" t="s">
        <v>213</v>
      </c>
      <c r="D774" s="21" t="s">
        <v>362</v>
      </c>
      <c r="E774" s="21" t="s">
        <v>571</v>
      </c>
      <c r="F774" s="21"/>
      <c r="G774" s="27">
        <f>G775</f>
        <v>3207.7</v>
      </c>
      <c r="H774" s="221"/>
    </row>
    <row r="775" spans="1:9" ht="31.5" x14ac:dyDescent="0.25">
      <c r="A775" s="26" t="s">
        <v>194</v>
      </c>
      <c r="B775" s="17">
        <v>908</v>
      </c>
      <c r="C775" s="21" t="s">
        <v>213</v>
      </c>
      <c r="D775" s="21" t="s">
        <v>362</v>
      </c>
      <c r="E775" s="21" t="s">
        <v>571</v>
      </c>
      <c r="F775" s="21" t="s">
        <v>195</v>
      </c>
      <c r="G775" s="27">
        <f>G776</f>
        <v>3207.7</v>
      </c>
      <c r="H775" s="221"/>
    </row>
    <row r="776" spans="1:9" ht="47.25" x14ac:dyDescent="0.25">
      <c r="A776" s="26" t="s">
        <v>196</v>
      </c>
      <c r="B776" s="17">
        <v>908</v>
      </c>
      <c r="C776" s="21" t="s">
        <v>213</v>
      </c>
      <c r="D776" s="21" t="s">
        <v>362</v>
      </c>
      <c r="E776" s="21" t="s">
        <v>571</v>
      </c>
      <c r="F776" s="21" t="s">
        <v>197</v>
      </c>
      <c r="G776" s="27">
        <v>3207.7</v>
      </c>
      <c r="H776" s="221"/>
    </row>
    <row r="777" spans="1:9" ht="15.75" x14ac:dyDescent="0.25">
      <c r="A777" s="24" t="s">
        <v>572</v>
      </c>
      <c r="B777" s="20">
        <v>908</v>
      </c>
      <c r="C777" s="25" t="s">
        <v>213</v>
      </c>
      <c r="D777" s="25" t="s">
        <v>282</v>
      </c>
      <c r="E777" s="21"/>
      <c r="F777" s="25"/>
      <c r="G777" s="22">
        <f>G778</f>
        <v>15124.1</v>
      </c>
      <c r="H777" s="221"/>
    </row>
    <row r="778" spans="1:9" ht="47.25" x14ac:dyDescent="0.25">
      <c r="A778" s="33" t="s">
        <v>573</v>
      </c>
      <c r="B778" s="17">
        <v>908</v>
      </c>
      <c r="C778" s="21" t="s">
        <v>213</v>
      </c>
      <c r="D778" s="21" t="s">
        <v>282</v>
      </c>
      <c r="E778" s="21" t="s">
        <v>574</v>
      </c>
      <c r="F778" s="21"/>
      <c r="G778" s="27">
        <f>G779</f>
        <v>15124.1</v>
      </c>
      <c r="H778" s="221"/>
    </row>
    <row r="779" spans="1:9" ht="15.75" x14ac:dyDescent="0.25">
      <c r="A779" s="31" t="s">
        <v>575</v>
      </c>
      <c r="B779" s="17">
        <v>908</v>
      </c>
      <c r="C779" s="21" t="s">
        <v>213</v>
      </c>
      <c r="D779" s="21" t="s">
        <v>282</v>
      </c>
      <c r="E779" s="42" t="s">
        <v>576</v>
      </c>
      <c r="F779" s="21"/>
      <c r="G779" s="27">
        <f>G780+G782</f>
        <v>15124.1</v>
      </c>
      <c r="H779" s="221"/>
    </row>
    <row r="780" spans="1:9" ht="31.5" x14ac:dyDescent="0.25">
      <c r="A780" s="26" t="s">
        <v>194</v>
      </c>
      <c r="B780" s="17">
        <v>908</v>
      </c>
      <c r="C780" s="21" t="s">
        <v>213</v>
      </c>
      <c r="D780" s="21" t="s">
        <v>282</v>
      </c>
      <c r="E780" s="42" t="s">
        <v>576</v>
      </c>
      <c r="F780" s="21" t="s">
        <v>195</v>
      </c>
      <c r="G780" s="27">
        <f>G781</f>
        <v>15108.1</v>
      </c>
      <c r="H780" s="221"/>
    </row>
    <row r="781" spans="1:9" ht="47.25" x14ac:dyDescent="0.25">
      <c r="A781" s="26" t="s">
        <v>196</v>
      </c>
      <c r="B781" s="17">
        <v>908</v>
      </c>
      <c r="C781" s="21" t="s">
        <v>213</v>
      </c>
      <c r="D781" s="21" t="s">
        <v>282</v>
      </c>
      <c r="E781" s="42" t="s">
        <v>576</v>
      </c>
      <c r="F781" s="21" t="s">
        <v>197</v>
      </c>
      <c r="G781" s="27">
        <f>15124.1-10-6</f>
        <v>15108.1</v>
      </c>
      <c r="H781" s="146" t="s">
        <v>910</v>
      </c>
    </row>
    <row r="782" spans="1:9" ht="15.75" x14ac:dyDescent="0.25">
      <c r="A782" s="26" t="s">
        <v>198</v>
      </c>
      <c r="B782" s="17">
        <v>908</v>
      </c>
      <c r="C782" s="21" t="s">
        <v>213</v>
      </c>
      <c r="D782" s="21" t="s">
        <v>282</v>
      </c>
      <c r="E782" s="42" t="s">
        <v>576</v>
      </c>
      <c r="F782" s="21" t="s">
        <v>208</v>
      </c>
      <c r="G782" s="27">
        <f>G783</f>
        <v>16</v>
      </c>
      <c r="H782" s="221"/>
    </row>
    <row r="783" spans="1:9" ht="15.75" x14ac:dyDescent="0.25">
      <c r="A783" s="26" t="s">
        <v>633</v>
      </c>
      <c r="B783" s="17">
        <v>908</v>
      </c>
      <c r="C783" s="21" t="s">
        <v>213</v>
      </c>
      <c r="D783" s="21" t="s">
        <v>282</v>
      </c>
      <c r="E783" s="42" t="s">
        <v>576</v>
      </c>
      <c r="F783" s="21" t="s">
        <v>201</v>
      </c>
      <c r="G783" s="27">
        <f>10+6</f>
        <v>16</v>
      </c>
      <c r="H783" s="193" t="s">
        <v>911</v>
      </c>
    </row>
    <row r="784" spans="1:9" ht="15.75" x14ac:dyDescent="0.25">
      <c r="A784" s="24" t="s">
        <v>454</v>
      </c>
      <c r="B784" s="20">
        <v>908</v>
      </c>
      <c r="C784" s="25" t="s">
        <v>297</v>
      </c>
      <c r="D784" s="25"/>
      <c r="E784" s="25"/>
      <c r="F784" s="25"/>
      <c r="G784" s="22">
        <f>G785+G800+G847+G899</f>
        <v>108065.79000000001</v>
      </c>
      <c r="H784" s="221"/>
      <c r="I784" s="140"/>
    </row>
    <row r="785" spans="1:12" ht="15.75" x14ac:dyDescent="0.25">
      <c r="A785" s="24" t="s">
        <v>455</v>
      </c>
      <c r="B785" s="20">
        <v>908</v>
      </c>
      <c r="C785" s="25" t="s">
        <v>297</v>
      </c>
      <c r="D785" s="25" t="s">
        <v>181</v>
      </c>
      <c r="E785" s="25"/>
      <c r="F785" s="25"/>
      <c r="G785" s="22">
        <f>G786</f>
        <v>7765.4000000000005</v>
      </c>
      <c r="H785" s="221"/>
    </row>
    <row r="786" spans="1:12" ht="15.75" x14ac:dyDescent="0.25">
      <c r="A786" s="26" t="s">
        <v>184</v>
      </c>
      <c r="B786" s="17">
        <v>908</v>
      </c>
      <c r="C786" s="21" t="s">
        <v>297</v>
      </c>
      <c r="D786" s="21" t="s">
        <v>181</v>
      </c>
      <c r="E786" s="21" t="s">
        <v>185</v>
      </c>
      <c r="F786" s="21"/>
      <c r="G786" s="27">
        <f>G791</f>
        <v>7765.4000000000005</v>
      </c>
      <c r="H786" s="221"/>
    </row>
    <row r="787" spans="1:12" ht="31.5" hidden="1" x14ac:dyDescent="0.25">
      <c r="A787" s="26" t="s">
        <v>248</v>
      </c>
      <c r="B787" s="17">
        <v>908</v>
      </c>
      <c r="C787" s="21" t="s">
        <v>297</v>
      </c>
      <c r="D787" s="21" t="s">
        <v>181</v>
      </c>
      <c r="E787" s="21" t="s">
        <v>249</v>
      </c>
      <c r="F787" s="21"/>
      <c r="G787" s="27">
        <f t="shared" ref="G787:G789" si="145">G788</f>
        <v>0</v>
      </c>
      <c r="H787" s="221"/>
    </row>
    <row r="788" spans="1:12" ht="15.75" hidden="1" x14ac:dyDescent="0.25">
      <c r="A788" s="26" t="s">
        <v>577</v>
      </c>
      <c r="B788" s="17">
        <v>908</v>
      </c>
      <c r="C788" s="21" t="s">
        <v>297</v>
      </c>
      <c r="D788" s="21" t="s">
        <v>181</v>
      </c>
      <c r="E788" s="21" t="s">
        <v>578</v>
      </c>
      <c r="F788" s="21"/>
      <c r="G788" s="27">
        <f t="shared" si="145"/>
        <v>0</v>
      </c>
      <c r="H788" s="221"/>
    </row>
    <row r="789" spans="1:12" ht="15.75" hidden="1" x14ac:dyDescent="0.25">
      <c r="A789" s="26" t="s">
        <v>198</v>
      </c>
      <c r="B789" s="17">
        <v>908</v>
      </c>
      <c r="C789" s="21" t="s">
        <v>297</v>
      </c>
      <c r="D789" s="21" t="s">
        <v>181</v>
      </c>
      <c r="E789" s="21" t="s">
        <v>578</v>
      </c>
      <c r="F789" s="21" t="s">
        <v>208</v>
      </c>
      <c r="G789" s="27">
        <f t="shared" si="145"/>
        <v>0</v>
      </c>
      <c r="H789" s="221"/>
    </row>
    <row r="790" spans="1:12" ht="63" hidden="1" x14ac:dyDescent="0.25">
      <c r="A790" s="26" t="s">
        <v>247</v>
      </c>
      <c r="B790" s="17">
        <v>908</v>
      </c>
      <c r="C790" s="21" t="s">
        <v>297</v>
      </c>
      <c r="D790" s="21" t="s">
        <v>181</v>
      </c>
      <c r="E790" s="21" t="s">
        <v>578</v>
      </c>
      <c r="F790" s="21" t="s">
        <v>223</v>
      </c>
      <c r="G790" s="27">
        <v>0</v>
      </c>
      <c r="H790" s="221"/>
    </row>
    <row r="791" spans="1:12" ht="15.75" x14ac:dyDescent="0.25">
      <c r="A791" s="26" t="s">
        <v>204</v>
      </c>
      <c r="B791" s="17">
        <v>908</v>
      </c>
      <c r="C791" s="21" t="s">
        <v>297</v>
      </c>
      <c r="D791" s="21" t="s">
        <v>181</v>
      </c>
      <c r="E791" s="21" t="s">
        <v>205</v>
      </c>
      <c r="F791" s="25"/>
      <c r="G791" s="27">
        <f>G792+G797</f>
        <v>7765.4000000000005</v>
      </c>
      <c r="H791" s="221"/>
    </row>
    <row r="792" spans="1:12" ht="15.75" x14ac:dyDescent="0.25">
      <c r="A792" s="26" t="s">
        <v>579</v>
      </c>
      <c r="B792" s="17">
        <v>908</v>
      </c>
      <c r="C792" s="21" t="s">
        <v>297</v>
      </c>
      <c r="D792" s="21" t="s">
        <v>181</v>
      </c>
      <c r="E792" s="21" t="s">
        <v>580</v>
      </c>
      <c r="F792" s="25"/>
      <c r="G792" s="27">
        <f>G795+G793</f>
        <v>3531.3</v>
      </c>
      <c r="H792" s="221"/>
    </row>
    <row r="793" spans="1:12" ht="31.5" x14ac:dyDescent="0.25">
      <c r="A793" s="26" t="s">
        <v>194</v>
      </c>
      <c r="B793" s="17">
        <v>908</v>
      </c>
      <c r="C793" s="21" t="s">
        <v>297</v>
      </c>
      <c r="D793" s="21" t="s">
        <v>181</v>
      </c>
      <c r="E793" s="21" t="s">
        <v>580</v>
      </c>
      <c r="F793" s="21" t="s">
        <v>195</v>
      </c>
      <c r="G793" s="27">
        <f>G794</f>
        <v>1131.3</v>
      </c>
      <c r="H793" s="221"/>
    </row>
    <row r="794" spans="1:12" ht="47.25" x14ac:dyDescent="0.25">
      <c r="A794" s="26" t="s">
        <v>196</v>
      </c>
      <c r="B794" s="17">
        <v>908</v>
      </c>
      <c r="C794" s="21" t="s">
        <v>297</v>
      </c>
      <c r="D794" s="21" t="s">
        <v>181</v>
      </c>
      <c r="E794" s="21" t="s">
        <v>580</v>
      </c>
      <c r="F794" s="21" t="s">
        <v>197</v>
      </c>
      <c r="G794" s="27">
        <v>1131.3</v>
      </c>
      <c r="H794" s="132"/>
      <c r="I794" s="153"/>
    </row>
    <row r="795" spans="1:12" ht="15.75" x14ac:dyDescent="0.25">
      <c r="A795" s="26" t="s">
        <v>198</v>
      </c>
      <c r="B795" s="17">
        <v>908</v>
      </c>
      <c r="C795" s="21" t="s">
        <v>297</v>
      </c>
      <c r="D795" s="21" t="s">
        <v>181</v>
      </c>
      <c r="E795" s="21" t="s">
        <v>580</v>
      </c>
      <c r="F795" s="21" t="s">
        <v>208</v>
      </c>
      <c r="G795" s="27">
        <f>G796</f>
        <v>2400</v>
      </c>
      <c r="H795" s="221"/>
    </row>
    <row r="796" spans="1:12" ht="63" x14ac:dyDescent="0.25">
      <c r="A796" s="26" t="s">
        <v>247</v>
      </c>
      <c r="B796" s="17">
        <v>908</v>
      </c>
      <c r="C796" s="21" t="s">
        <v>297</v>
      </c>
      <c r="D796" s="21" t="s">
        <v>181</v>
      </c>
      <c r="E796" s="21" t="s">
        <v>580</v>
      </c>
      <c r="F796" s="21" t="s">
        <v>223</v>
      </c>
      <c r="G796" s="27">
        <f>1500+900</f>
        <v>2400</v>
      </c>
      <c r="H796" s="221"/>
      <c r="I796" s="141"/>
    </row>
    <row r="797" spans="1:12" ht="31.5" x14ac:dyDescent="0.25">
      <c r="A797" s="31" t="s">
        <v>462</v>
      </c>
      <c r="B797" s="17">
        <v>908</v>
      </c>
      <c r="C797" s="21" t="s">
        <v>297</v>
      </c>
      <c r="D797" s="21" t="s">
        <v>181</v>
      </c>
      <c r="E797" s="21" t="s">
        <v>463</v>
      </c>
      <c r="F797" s="25"/>
      <c r="G797" s="27">
        <f>G798</f>
        <v>4234.1000000000004</v>
      </c>
      <c r="H797" s="221"/>
    </row>
    <row r="798" spans="1:12" ht="31.5" x14ac:dyDescent="0.25">
      <c r="A798" s="26" t="s">
        <v>194</v>
      </c>
      <c r="B798" s="17">
        <v>908</v>
      </c>
      <c r="C798" s="21" t="s">
        <v>297</v>
      </c>
      <c r="D798" s="21" t="s">
        <v>181</v>
      </c>
      <c r="E798" s="21" t="s">
        <v>463</v>
      </c>
      <c r="F798" s="21" t="s">
        <v>195</v>
      </c>
      <c r="G798" s="27">
        <f>G799</f>
        <v>4234.1000000000004</v>
      </c>
      <c r="H798" s="221"/>
    </row>
    <row r="799" spans="1:12" ht="47.25" x14ac:dyDescent="0.25">
      <c r="A799" s="26" t="s">
        <v>196</v>
      </c>
      <c r="B799" s="17">
        <v>908</v>
      </c>
      <c r="C799" s="21" t="s">
        <v>297</v>
      </c>
      <c r="D799" s="21" t="s">
        <v>181</v>
      </c>
      <c r="E799" s="21" t="s">
        <v>463</v>
      </c>
      <c r="F799" s="21" t="s">
        <v>197</v>
      </c>
      <c r="G799" s="28">
        <f>3811.8+422.3</f>
        <v>4234.1000000000004</v>
      </c>
      <c r="H799" s="221"/>
    </row>
    <row r="800" spans="1:12" ht="15.75" x14ac:dyDescent="0.25">
      <c r="A800" s="24" t="s">
        <v>581</v>
      </c>
      <c r="B800" s="20">
        <v>908</v>
      </c>
      <c r="C800" s="25" t="s">
        <v>297</v>
      </c>
      <c r="D800" s="25" t="s">
        <v>276</v>
      </c>
      <c r="E800" s="25"/>
      <c r="F800" s="25"/>
      <c r="G800" s="22">
        <f>G801+G826</f>
        <v>53711.1</v>
      </c>
      <c r="H800" s="221"/>
      <c r="I800" s="141"/>
      <c r="L800" s="142"/>
    </row>
    <row r="801" spans="1:10" ht="82.5" customHeight="1" x14ac:dyDescent="0.25">
      <c r="A801" s="26" t="s">
        <v>671</v>
      </c>
      <c r="B801" s="17">
        <v>908</v>
      </c>
      <c r="C801" s="21" t="s">
        <v>297</v>
      </c>
      <c r="D801" s="21" t="s">
        <v>276</v>
      </c>
      <c r="E801" s="21" t="s">
        <v>582</v>
      </c>
      <c r="F801" s="25"/>
      <c r="G801" s="27">
        <f>G805+G808+G811+G814+G817+G823</f>
        <v>5567.9000000000005</v>
      </c>
      <c r="H801" s="223"/>
      <c r="I801" s="141"/>
    </row>
    <row r="802" spans="1:10" ht="47.25" hidden="1" x14ac:dyDescent="0.25">
      <c r="A802" s="37" t="s">
        <v>583</v>
      </c>
      <c r="B802" s="17">
        <v>908</v>
      </c>
      <c r="C802" s="21" t="s">
        <v>297</v>
      </c>
      <c r="D802" s="21" t="s">
        <v>276</v>
      </c>
      <c r="E802" s="21" t="s">
        <v>584</v>
      </c>
      <c r="F802" s="21"/>
      <c r="G802" s="27">
        <f t="shared" ref="G802:G803" si="146">G803</f>
        <v>0</v>
      </c>
      <c r="H802" s="221"/>
    </row>
    <row r="803" spans="1:10" ht="31.5" hidden="1" x14ac:dyDescent="0.25">
      <c r="A803" s="26" t="s">
        <v>194</v>
      </c>
      <c r="B803" s="17">
        <v>908</v>
      </c>
      <c r="C803" s="21" t="s">
        <v>297</v>
      </c>
      <c r="D803" s="21" t="s">
        <v>276</v>
      </c>
      <c r="E803" s="21" t="s">
        <v>584</v>
      </c>
      <c r="F803" s="21" t="s">
        <v>195</v>
      </c>
      <c r="G803" s="27">
        <f t="shared" si="146"/>
        <v>0</v>
      </c>
      <c r="H803" s="221"/>
    </row>
    <row r="804" spans="1:10" ht="47.25" hidden="1" x14ac:dyDescent="0.25">
      <c r="A804" s="26" t="s">
        <v>196</v>
      </c>
      <c r="B804" s="17">
        <v>908</v>
      </c>
      <c r="C804" s="21" t="s">
        <v>297</v>
      </c>
      <c r="D804" s="21" t="s">
        <v>276</v>
      </c>
      <c r="E804" s="21" t="s">
        <v>584</v>
      </c>
      <c r="F804" s="21" t="s">
        <v>197</v>
      </c>
      <c r="G804" s="27">
        <v>0</v>
      </c>
      <c r="H804" s="221"/>
    </row>
    <row r="805" spans="1:10" ht="15.75" x14ac:dyDescent="0.25">
      <c r="A805" s="47" t="s">
        <v>585</v>
      </c>
      <c r="B805" s="17">
        <v>908</v>
      </c>
      <c r="C805" s="42" t="s">
        <v>297</v>
      </c>
      <c r="D805" s="42" t="s">
        <v>276</v>
      </c>
      <c r="E805" s="21" t="s">
        <v>586</v>
      </c>
      <c r="F805" s="42"/>
      <c r="G805" s="27">
        <f>G806</f>
        <v>450</v>
      </c>
      <c r="H805" s="221"/>
    </row>
    <row r="806" spans="1:10" ht="31.5" x14ac:dyDescent="0.25">
      <c r="A806" s="33" t="s">
        <v>194</v>
      </c>
      <c r="B806" s="17">
        <v>908</v>
      </c>
      <c r="C806" s="42" t="s">
        <v>297</v>
      </c>
      <c r="D806" s="42" t="s">
        <v>276</v>
      </c>
      <c r="E806" s="21" t="s">
        <v>586</v>
      </c>
      <c r="F806" s="42" t="s">
        <v>195</v>
      </c>
      <c r="G806" s="27">
        <f>G807</f>
        <v>450</v>
      </c>
      <c r="H806" s="221"/>
    </row>
    <row r="807" spans="1:10" ht="47.25" x14ac:dyDescent="0.25">
      <c r="A807" s="33" t="s">
        <v>196</v>
      </c>
      <c r="B807" s="17">
        <v>908</v>
      </c>
      <c r="C807" s="42" t="s">
        <v>297</v>
      </c>
      <c r="D807" s="42" t="s">
        <v>276</v>
      </c>
      <c r="E807" s="21" t="s">
        <v>586</v>
      </c>
      <c r="F807" s="42" t="s">
        <v>197</v>
      </c>
      <c r="G807" s="27">
        <v>450</v>
      </c>
      <c r="H807" s="221"/>
    </row>
    <row r="808" spans="1:10" ht="15.75" x14ac:dyDescent="0.25">
      <c r="A808" s="47" t="s">
        <v>587</v>
      </c>
      <c r="B808" s="17">
        <v>908</v>
      </c>
      <c r="C808" s="42" t="s">
        <v>297</v>
      </c>
      <c r="D808" s="42" t="s">
        <v>276</v>
      </c>
      <c r="E808" s="21" t="s">
        <v>588</v>
      </c>
      <c r="F808" s="42"/>
      <c r="G808" s="27">
        <f>G809</f>
        <v>3107</v>
      </c>
      <c r="H808" s="221"/>
    </row>
    <row r="809" spans="1:10" ht="31.5" x14ac:dyDescent="0.25">
      <c r="A809" s="33" t="s">
        <v>194</v>
      </c>
      <c r="B809" s="17">
        <v>908</v>
      </c>
      <c r="C809" s="42" t="s">
        <v>297</v>
      </c>
      <c r="D809" s="42" t="s">
        <v>276</v>
      </c>
      <c r="E809" s="21" t="s">
        <v>588</v>
      </c>
      <c r="F809" s="42" t="s">
        <v>195</v>
      </c>
      <c r="G809" s="27">
        <f>G810</f>
        <v>3107</v>
      </c>
      <c r="H809" s="221"/>
    </row>
    <row r="810" spans="1:10" ht="47.25" x14ac:dyDescent="0.25">
      <c r="A810" s="33" t="s">
        <v>196</v>
      </c>
      <c r="B810" s="17">
        <v>908</v>
      </c>
      <c r="C810" s="42" t="s">
        <v>297</v>
      </c>
      <c r="D810" s="42" t="s">
        <v>276</v>
      </c>
      <c r="E810" s="21" t="s">
        <v>588</v>
      </c>
      <c r="F810" s="42" t="s">
        <v>197</v>
      </c>
      <c r="G810" s="209">
        <f>110+20+2977</f>
        <v>3107</v>
      </c>
      <c r="H810" s="197" t="s">
        <v>890</v>
      </c>
    </row>
    <row r="811" spans="1:10" ht="15.75" x14ac:dyDescent="0.25">
      <c r="A811" s="47" t="s">
        <v>589</v>
      </c>
      <c r="B811" s="17">
        <v>908</v>
      </c>
      <c r="C811" s="42" t="s">
        <v>297</v>
      </c>
      <c r="D811" s="42" t="s">
        <v>276</v>
      </c>
      <c r="E811" s="21" t="s">
        <v>590</v>
      </c>
      <c r="F811" s="42"/>
      <c r="G811" s="27">
        <f>G812</f>
        <v>1374.6</v>
      </c>
      <c r="H811" s="221"/>
    </row>
    <row r="812" spans="1:10" ht="31.5" x14ac:dyDescent="0.25">
      <c r="A812" s="33" t="s">
        <v>194</v>
      </c>
      <c r="B812" s="17">
        <v>908</v>
      </c>
      <c r="C812" s="42" t="s">
        <v>297</v>
      </c>
      <c r="D812" s="42" t="s">
        <v>276</v>
      </c>
      <c r="E812" s="21" t="s">
        <v>590</v>
      </c>
      <c r="F812" s="42" t="s">
        <v>195</v>
      </c>
      <c r="G812" s="27">
        <f>G813</f>
        <v>1374.6</v>
      </c>
      <c r="H812" s="221"/>
    </row>
    <row r="813" spans="1:10" ht="47.25" x14ac:dyDescent="0.25">
      <c r="A813" s="33" t="s">
        <v>196</v>
      </c>
      <c r="B813" s="17">
        <v>908</v>
      </c>
      <c r="C813" s="42" t="s">
        <v>297</v>
      </c>
      <c r="D813" s="42" t="s">
        <v>276</v>
      </c>
      <c r="E813" s="21" t="s">
        <v>590</v>
      </c>
      <c r="F813" s="42" t="s">
        <v>197</v>
      </c>
      <c r="G813" s="209">
        <f>10+30+3534.6-2200</f>
        <v>1374.6</v>
      </c>
      <c r="H813" s="139" t="s">
        <v>898</v>
      </c>
      <c r="J813" s="212" t="s">
        <v>899</v>
      </c>
    </row>
    <row r="814" spans="1:10" ht="15.75" x14ac:dyDescent="0.25">
      <c r="A814" s="47" t="s">
        <v>591</v>
      </c>
      <c r="B814" s="17">
        <v>908</v>
      </c>
      <c r="C814" s="42" t="s">
        <v>297</v>
      </c>
      <c r="D814" s="42" t="s">
        <v>276</v>
      </c>
      <c r="E814" s="21" t="s">
        <v>592</v>
      </c>
      <c r="F814" s="42"/>
      <c r="G814" s="27">
        <f>G815</f>
        <v>159.10000000000002</v>
      </c>
      <c r="H814" s="221"/>
    </row>
    <row r="815" spans="1:10" ht="31.5" x14ac:dyDescent="0.25">
      <c r="A815" s="33" t="s">
        <v>194</v>
      </c>
      <c r="B815" s="17">
        <v>908</v>
      </c>
      <c r="C815" s="42" t="s">
        <v>297</v>
      </c>
      <c r="D815" s="42" t="s">
        <v>276</v>
      </c>
      <c r="E815" s="21" t="s">
        <v>592</v>
      </c>
      <c r="F815" s="42" t="s">
        <v>195</v>
      </c>
      <c r="G815" s="27">
        <f>G816</f>
        <v>159.10000000000002</v>
      </c>
      <c r="H815" s="221"/>
    </row>
    <row r="816" spans="1:10" ht="47.25" x14ac:dyDescent="0.25">
      <c r="A816" s="33" t="s">
        <v>196</v>
      </c>
      <c r="B816" s="17">
        <v>908</v>
      </c>
      <c r="C816" s="42" t="s">
        <v>297</v>
      </c>
      <c r="D816" s="42" t="s">
        <v>276</v>
      </c>
      <c r="E816" s="21" t="s">
        <v>592</v>
      </c>
      <c r="F816" s="42" t="s">
        <v>197</v>
      </c>
      <c r="G816" s="209">
        <f>250+5+681.1-522-255</f>
        <v>159.10000000000002</v>
      </c>
      <c r="H816" s="139" t="s">
        <v>891</v>
      </c>
    </row>
    <row r="817" spans="1:10" ht="15.75" x14ac:dyDescent="0.25">
      <c r="A817" s="47" t="s">
        <v>593</v>
      </c>
      <c r="B817" s="17">
        <v>908</v>
      </c>
      <c r="C817" s="42" t="s">
        <v>297</v>
      </c>
      <c r="D817" s="42" t="s">
        <v>276</v>
      </c>
      <c r="E817" s="21" t="s">
        <v>594</v>
      </c>
      <c r="F817" s="42"/>
      <c r="G817" s="27">
        <f>G818</f>
        <v>288.2</v>
      </c>
      <c r="H817" s="221"/>
    </row>
    <row r="818" spans="1:10" ht="31.5" x14ac:dyDescent="0.25">
      <c r="A818" s="33" t="s">
        <v>194</v>
      </c>
      <c r="B818" s="17">
        <v>908</v>
      </c>
      <c r="C818" s="42" t="s">
        <v>297</v>
      </c>
      <c r="D818" s="42" t="s">
        <v>276</v>
      </c>
      <c r="E818" s="21" t="s">
        <v>594</v>
      </c>
      <c r="F818" s="42" t="s">
        <v>195</v>
      </c>
      <c r="G818" s="27">
        <f>G819</f>
        <v>288.2</v>
      </c>
      <c r="H818" s="221"/>
    </row>
    <row r="819" spans="1:10" ht="47.25" x14ac:dyDescent="0.25">
      <c r="A819" s="33" t="s">
        <v>196</v>
      </c>
      <c r="B819" s="17">
        <v>908</v>
      </c>
      <c r="C819" s="42" t="s">
        <v>297</v>
      </c>
      <c r="D819" s="42" t="s">
        <v>276</v>
      </c>
      <c r="E819" s="21" t="s">
        <v>594</v>
      </c>
      <c r="F819" s="42" t="s">
        <v>197</v>
      </c>
      <c r="G819" s="27">
        <f>2+286.2</f>
        <v>288.2</v>
      </c>
      <c r="H819" s="139"/>
      <c r="J819" s="213" t="s">
        <v>900</v>
      </c>
    </row>
    <row r="820" spans="1:10" ht="31.5" hidden="1" x14ac:dyDescent="0.25">
      <c r="A820" s="222" t="s">
        <v>595</v>
      </c>
      <c r="B820" s="17">
        <v>908</v>
      </c>
      <c r="C820" s="42" t="s">
        <v>297</v>
      </c>
      <c r="D820" s="42" t="s">
        <v>276</v>
      </c>
      <c r="E820" s="21" t="s">
        <v>596</v>
      </c>
      <c r="F820" s="42"/>
      <c r="G820" s="27">
        <f>G821</f>
        <v>0</v>
      </c>
      <c r="H820" s="221"/>
    </row>
    <row r="821" spans="1:10" ht="31.5" hidden="1" x14ac:dyDescent="0.25">
      <c r="A821" s="33" t="s">
        <v>194</v>
      </c>
      <c r="B821" s="17">
        <v>908</v>
      </c>
      <c r="C821" s="42" t="s">
        <v>297</v>
      </c>
      <c r="D821" s="42" t="s">
        <v>276</v>
      </c>
      <c r="E821" s="21" t="s">
        <v>596</v>
      </c>
      <c r="F821" s="42" t="s">
        <v>195</v>
      </c>
      <c r="G821" s="27">
        <f>G822</f>
        <v>0</v>
      </c>
      <c r="H821" s="221"/>
    </row>
    <row r="822" spans="1:10" ht="47.25" hidden="1" x14ac:dyDescent="0.25">
      <c r="A822" s="33" t="s">
        <v>196</v>
      </c>
      <c r="B822" s="17">
        <v>908</v>
      </c>
      <c r="C822" s="42" t="s">
        <v>297</v>
      </c>
      <c r="D822" s="42" t="s">
        <v>276</v>
      </c>
      <c r="E822" s="21" t="s">
        <v>596</v>
      </c>
      <c r="F822" s="42" t="s">
        <v>197</v>
      </c>
      <c r="G822" s="27">
        <v>0</v>
      </c>
      <c r="H822" s="221"/>
    </row>
    <row r="823" spans="1:10" ht="15.75" x14ac:dyDescent="0.25">
      <c r="A823" s="222" t="s">
        <v>597</v>
      </c>
      <c r="B823" s="17">
        <v>908</v>
      </c>
      <c r="C823" s="42" t="s">
        <v>297</v>
      </c>
      <c r="D823" s="42" t="s">
        <v>276</v>
      </c>
      <c r="E823" s="21" t="s">
        <v>598</v>
      </c>
      <c r="F823" s="42"/>
      <c r="G823" s="27">
        <f>G824</f>
        <v>189</v>
      </c>
      <c r="H823" s="221"/>
    </row>
    <row r="824" spans="1:10" ht="31.5" x14ac:dyDescent="0.25">
      <c r="A824" s="26" t="s">
        <v>194</v>
      </c>
      <c r="B824" s="17">
        <v>908</v>
      </c>
      <c r="C824" s="42" t="s">
        <v>297</v>
      </c>
      <c r="D824" s="42" t="s">
        <v>276</v>
      </c>
      <c r="E824" s="21" t="s">
        <v>598</v>
      </c>
      <c r="F824" s="42" t="s">
        <v>195</v>
      </c>
      <c r="G824" s="27">
        <f>G825</f>
        <v>189</v>
      </c>
      <c r="H824" s="221"/>
    </row>
    <row r="825" spans="1:10" ht="47.25" x14ac:dyDescent="0.25">
      <c r="A825" s="26" t="s">
        <v>196</v>
      </c>
      <c r="B825" s="17">
        <v>908</v>
      </c>
      <c r="C825" s="42" t="s">
        <v>297</v>
      </c>
      <c r="D825" s="42" t="s">
        <v>276</v>
      </c>
      <c r="E825" s="21" t="s">
        <v>598</v>
      </c>
      <c r="F825" s="42" t="s">
        <v>197</v>
      </c>
      <c r="G825" s="27">
        <f>15+174</f>
        <v>189</v>
      </c>
      <c r="H825" s="139"/>
      <c r="J825" s="213" t="s">
        <v>901</v>
      </c>
    </row>
    <row r="826" spans="1:10" ht="15.75" x14ac:dyDescent="0.25">
      <c r="A826" s="26" t="s">
        <v>184</v>
      </c>
      <c r="B826" s="17">
        <v>908</v>
      </c>
      <c r="C826" s="21" t="s">
        <v>297</v>
      </c>
      <c r="D826" s="21" t="s">
        <v>276</v>
      </c>
      <c r="E826" s="21" t="s">
        <v>185</v>
      </c>
      <c r="F826" s="21"/>
      <c r="G826" s="27">
        <f>G827+G837</f>
        <v>48143.199999999997</v>
      </c>
      <c r="H826" s="221"/>
    </row>
    <row r="827" spans="1:10" ht="31.5" x14ac:dyDescent="0.25">
      <c r="A827" s="26" t="s">
        <v>248</v>
      </c>
      <c r="B827" s="17">
        <v>908</v>
      </c>
      <c r="C827" s="21" t="s">
        <v>297</v>
      </c>
      <c r="D827" s="21" t="s">
        <v>276</v>
      </c>
      <c r="E827" s="21" t="s">
        <v>249</v>
      </c>
      <c r="F827" s="21"/>
      <c r="G827" s="27">
        <f>G828+G831+G834</f>
        <v>25111.200000000001</v>
      </c>
      <c r="H827" s="221"/>
    </row>
    <row r="828" spans="1:10" ht="47.25" x14ac:dyDescent="0.25">
      <c r="A828" s="126" t="s">
        <v>788</v>
      </c>
      <c r="B828" s="17">
        <v>908</v>
      </c>
      <c r="C828" s="21" t="s">
        <v>297</v>
      </c>
      <c r="D828" s="21" t="s">
        <v>276</v>
      </c>
      <c r="E828" s="21" t="s">
        <v>599</v>
      </c>
      <c r="F828" s="21"/>
      <c r="G828" s="27">
        <f>G829</f>
        <v>5000</v>
      </c>
      <c r="H828" s="221"/>
    </row>
    <row r="829" spans="1:10" ht="31.5" x14ac:dyDescent="0.25">
      <c r="A829" s="26" t="s">
        <v>194</v>
      </c>
      <c r="B829" s="17">
        <v>908</v>
      </c>
      <c r="C829" s="21" t="s">
        <v>297</v>
      </c>
      <c r="D829" s="21" t="s">
        <v>276</v>
      </c>
      <c r="E829" s="21" t="s">
        <v>599</v>
      </c>
      <c r="F829" s="21" t="s">
        <v>195</v>
      </c>
      <c r="G829" s="27">
        <f>G830</f>
        <v>5000</v>
      </c>
      <c r="H829" s="221"/>
    </row>
    <row r="830" spans="1:10" ht="47.25" x14ac:dyDescent="0.25">
      <c r="A830" s="26" t="s">
        <v>196</v>
      </c>
      <c r="B830" s="17">
        <v>908</v>
      </c>
      <c r="C830" s="21" t="s">
        <v>297</v>
      </c>
      <c r="D830" s="21" t="s">
        <v>276</v>
      </c>
      <c r="E830" s="21" t="s">
        <v>599</v>
      </c>
      <c r="F830" s="21" t="s">
        <v>197</v>
      </c>
      <c r="G830" s="27">
        <f>5000</f>
        <v>5000</v>
      </c>
      <c r="H830" s="221"/>
      <c r="I830" s="141"/>
    </row>
    <row r="831" spans="1:10" ht="31.5" x14ac:dyDescent="0.25">
      <c r="A831" s="37" t="s">
        <v>794</v>
      </c>
      <c r="B831" s="17">
        <v>908</v>
      </c>
      <c r="C831" s="21" t="s">
        <v>297</v>
      </c>
      <c r="D831" s="21" t="s">
        <v>276</v>
      </c>
      <c r="E831" s="21" t="s">
        <v>601</v>
      </c>
      <c r="F831" s="21"/>
      <c r="G831" s="27">
        <f t="shared" ref="G831:G832" si="147">G832</f>
        <v>20000</v>
      </c>
      <c r="H831" s="221"/>
    </row>
    <row r="832" spans="1:10" ht="31.5" x14ac:dyDescent="0.25">
      <c r="A832" s="26" t="s">
        <v>194</v>
      </c>
      <c r="B832" s="17">
        <v>908</v>
      </c>
      <c r="C832" s="21" t="s">
        <v>297</v>
      </c>
      <c r="D832" s="21" t="s">
        <v>276</v>
      </c>
      <c r="E832" s="21" t="s">
        <v>601</v>
      </c>
      <c r="F832" s="21" t="s">
        <v>195</v>
      </c>
      <c r="G832" s="27">
        <f t="shared" si="147"/>
        <v>20000</v>
      </c>
      <c r="H832" s="221"/>
    </row>
    <row r="833" spans="1:10" ht="47.25" x14ac:dyDescent="0.25">
      <c r="A833" s="26" t="s">
        <v>196</v>
      </c>
      <c r="B833" s="17">
        <v>908</v>
      </c>
      <c r="C833" s="21" t="s">
        <v>297</v>
      </c>
      <c r="D833" s="21" t="s">
        <v>276</v>
      </c>
      <c r="E833" s="21" t="s">
        <v>601</v>
      </c>
      <c r="F833" s="21" t="s">
        <v>197</v>
      </c>
      <c r="G833" s="27">
        <v>20000</v>
      </c>
      <c r="H833" s="132"/>
    </row>
    <row r="834" spans="1:10" ht="47.25" x14ac:dyDescent="0.25">
      <c r="A834" s="26" t="s">
        <v>795</v>
      </c>
      <c r="B834" s="17">
        <v>908</v>
      </c>
      <c r="C834" s="21" t="s">
        <v>297</v>
      </c>
      <c r="D834" s="21" t="s">
        <v>276</v>
      </c>
      <c r="E834" s="21" t="s">
        <v>796</v>
      </c>
      <c r="F834" s="21"/>
      <c r="G834" s="27">
        <f>G835</f>
        <v>111.2</v>
      </c>
      <c r="H834" s="134"/>
    </row>
    <row r="835" spans="1:10" ht="31.5" x14ac:dyDescent="0.25">
      <c r="A835" s="26" t="s">
        <v>194</v>
      </c>
      <c r="B835" s="17">
        <v>908</v>
      </c>
      <c r="C835" s="21" t="s">
        <v>297</v>
      </c>
      <c r="D835" s="21" t="s">
        <v>276</v>
      </c>
      <c r="E835" s="21" t="s">
        <v>796</v>
      </c>
      <c r="F835" s="21" t="s">
        <v>195</v>
      </c>
      <c r="G835" s="27">
        <f>G836</f>
        <v>111.2</v>
      </c>
      <c r="H835" s="134"/>
    </row>
    <row r="836" spans="1:10" ht="47.25" x14ac:dyDescent="0.25">
      <c r="A836" s="26" t="s">
        <v>196</v>
      </c>
      <c r="B836" s="17">
        <v>908</v>
      </c>
      <c r="C836" s="21" t="s">
        <v>297</v>
      </c>
      <c r="D836" s="21" t="s">
        <v>276</v>
      </c>
      <c r="E836" s="21" t="s">
        <v>796</v>
      </c>
      <c r="F836" s="21" t="s">
        <v>197</v>
      </c>
      <c r="G836" s="27">
        <v>111.2</v>
      </c>
      <c r="H836" s="134"/>
    </row>
    <row r="837" spans="1:10" ht="15.75" x14ac:dyDescent="0.25">
      <c r="A837" s="26" t="s">
        <v>204</v>
      </c>
      <c r="B837" s="17">
        <v>908</v>
      </c>
      <c r="C837" s="21" t="s">
        <v>297</v>
      </c>
      <c r="D837" s="21" t="s">
        <v>276</v>
      </c>
      <c r="E837" s="21" t="s">
        <v>205</v>
      </c>
      <c r="F837" s="21"/>
      <c r="G837" s="27">
        <f>G838+G844</f>
        <v>23031.999999999996</v>
      </c>
      <c r="H837" s="221"/>
    </row>
    <row r="838" spans="1:10" ht="31.5" x14ac:dyDescent="0.25">
      <c r="A838" s="37" t="s">
        <v>602</v>
      </c>
      <c r="B838" s="17">
        <v>908</v>
      </c>
      <c r="C838" s="21" t="s">
        <v>297</v>
      </c>
      <c r="D838" s="21" t="s">
        <v>276</v>
      </c>
      <c r="E838" s="21" t="s">
        <v>603</v>
      </c>
      <c r="F838" s="21"/>
      <c r="G838" s="27">
        <f>G839+G841</f>
        <v>20353.699999999997</v>
      </c>
      <c r="H838" s="221"/>
    </row>
    <row r="839" spans="1:10" ht="31.5" x14ac:dyDescent="0.25">
      <c r="A839" s="26" t="s">
        <v>194</v>
      </c>
      <c r="B839" s="17">
        <v>908</v>
      </c>
      <c r="C839" s="21" t="s">
        <v>297</v>
      </c>
      <c r="D839" s="21" t="s">
        <v>276</v>
      </c>
      <c r="E839" s="21" t="s">
        <v>603</v>
      </c>
      <c r="F839" s="21" t="s">
        <v>195</v>
      </c>
      <c r="G839" s="27">
        <f>G840</f>
        <v>20322.099999999999</v>
      </c>
      <c r="H839" s="221"/>
    </row>
    <row r="840" spans="1:10" ht="47.25" x14ac:dyDescent="0.25">
      <c r="A840" s="26" t="s">
        <v>196</v>
      </c>
      <c r="B840" s="17">
        <v>908</v>
      </c>
      <c r="C840" s="21" t="s">
        <v>297</v>
      </c>
      <c r="D840" s="21" t="s">
        <v>276</v>
      </c>
      <c r="E840" s="21" t="s">
        <v>603</v>
      </c>
      <c r="F840" s="21" t="s">
        <v>197</v>
      </c>
      <c r="G840" s="204">
        <f>10880-5000-2230+172.1+16500</f>
        <v>20322.099999999999</v>
      </c>
      <c r="H840" s="132" t="s">
        <v>897</v>
      </c>
      <c r="I840" s="141"/>
      <c r="J840" s="214" t="s">
        <v>858</v>
      </c>
    </row>
    <row r="841" spans="1:10" ht="15.75" x14ac:dyDescent="0.25">
      <c r="A841" s="26" t="s">
        <v>198</v>
      </c>
      <c r="B841" s="17">
        <v>908</v>
      </c>
      <c r="C841" s="21" t="s">
        <v>297</v>
      </c>
      <c r="D841" s="21" t="s">
        <v>276</v>
      </c>
      <c r="E841" s="21" t="s">
        <v>603</v>
      </c>
      <c r="F841" s="21" t="s">
        <v>208</v>
      </c>
      <c r="G841" s="27">
        <f t="shared" ref="G841" si="148">G842+G843</f>
        <v>31.6</v>
      </c>
      <c r="H841" s="221"/>
    </row>
    <row r="842" spans="1:10" ht="63" hidden="1" x14ac:dyDescent="0.25">
      <c r="A842" s="26" t="s">
        <v>247</v>
      </c>
      <c r="B842" s="17">
        <v>908</v>
      </c>
      <c r="C842" s="21" t="s">
        <v>297</v>
      </c>
      <c r="D842" s="21" t="s">
        <v>276</v>
      </c>
      <c r="E842" s="21" t="s">
        <v>603</v>
      </c>
      <c r="F842" s="21" t="s">
        <v>223</v>
      </c>
      <c r="G842" s="27">
        <v>0</v>
      </c>
      <c r="H842" s="221"/>
    </row>
    <row r="843" spans="1:10" ht="15.75" x14ac:dyDescent="0.25">
      <c r="A843" s="26" t="s">
        <v>633</v>
      </c>
      <c r="B843" s="17">
        <v>908</v>
      </c>
      <c r="C843" s="21" t="s">
        <v>297</v>
      </c>
      <c r="D843" s="21" t="s">
        <v>276</v>
      </c>
      <c r="E843" s="21" t="s">
        <v>603</v>
      </c>
      <c r="F843" s="21" t="s">
        <v>201</v>
      </c>
      <c r="G843" s="27">
        <v>31.6</v>
      </c>
      <c r="H843" s="132"/>
      <c r="I843" s="152"/>
    </row>
    <row r="844" spans="1:10" ht="15.75" x14ac:dyDescent="0.25">
      <c r="A844" s="26" t="s">
        <v>604</v>
      </c>
      <c r="B844" s="17">
        <v>908</v>
      </c>
      <c r="C844" s="21" t="s">
        <v>297</v>
      </c>
      <c r="D844" s="21" t="s">
        <v>276</v>
      </c>
      <c r="E844" s="21" t="s">
        <v>605</v>
      </c>
      <c r="F844" s="21"/>
      <c r="G844" s="27">
        <f>G845</f>
        <v>2678.3</v>
      </c>
      <c r="H844" s="221"/>
    </row>
    <row r="845" spans="1:10" ht="15.75" x14ac:dyDescent="0.25">
      <c r="A845" s="26" t="s">
        <v>198</v>
      </c>
      <c r="B845" s="17">
        <v>908</v>
      </c>
      <c r="C845" s="21" t="s">
        <v>297</v>
      </c>
      <c r="D845" s="21" t="s">
        <v>276</v>
      </c>
      <c r="E845" s="21" t="s">
        <v>605</v>
      </c>
      <c r="F845" s="21" t="s">
        <v>208</v>
      </c>
      <c r="G845" s="27">
        <f>G846</f>
        <v>2678.3</v>
      </c>
      <c r="H845" s="221"/>
    </row>
    <row r="846" spans="1:10" ht="15.75" x14ac:dyDescent="0.25">
      <c r="A846" s="26" t="s">
        <v>209</v>
      </c>
      <c r="B846" s="17">
        <v>908</v>
      </c>
      <c r="C846" s="21" t="s">
        <v>297</v>
      </c>
      <c r="D846" s="21" t="s">
        <v>276</v>
      </c>
      <c r="E846" s="21" t="s">
        <v>605</v>
      </c>
      <c r="F846" s="21" t="s">
        <v>210</v>
      </c>
      <c r="G846" s="27">
        <v>2678.3</v>
      </c>
      <c r="H846" s="221"/>
      <c r="I846" s="141"/>
    </row>
    <row r="847" spans="1:10" ht="15.75" x14ac:dyDescent="0.25">
      <c r="A847" s="24" t="s">
        <v>606</v>
      </c>
      <c r="B847" s="20">
        <v>908</v>
      </c>
      <c r="C847" s="25" t="s">
        <v>297</v>
      </c>
      <c r="D847" s="25" t="s">
        <v>278</v>
      </c>
      <c r="E847" s="25"/>
      <c r="F847" s="25"/>
      <c r="G847" s="22">
        <f>G848++G878+G874</f>
        <v>25464.6</v>
      </c>
      <c r="H847" s="221"/>
    </row>
    <row r="848" spans="1:10" ht="47.25" x14ac:dyDescent="0.25">
      <c r="A848" s="26" t="s">
        <v>607</v>
      </c>
      <c r="B848" s="17">
        <v>908</v>
      </c>
      <c r="C848" s="21" t="s">
        <v>297</v>
      </c>
      <c r="D848" s="21" t="s">
        <v>278</v>
      </c>
      <c r="E848" s="21" t="s">
        <v>608</v>
      </c>
      <c r="F848" s="21"/>
      <c r="G848" s="27">
        <f>G849+G859</f>
        <v>12375.499999999998</v>
      </c>
      <c r="H848" s="221"/>
    </row>
    <row r="849" spans="1:8" ht="47.25" x14ac:dyDescent="0.25">
      <c r="A849" s="26" t="s">
        <v>609</v>
      </c>
      <c r="B849" s="17">
        <v>908</v>
      </c>
      <c r="C849" s="21" t="s">
        <v>297</v>
      </c>
      <c r="D849" s="21" t="s">
        <v>278</v>
      </c>
      <c r="E849" s="21" t="s">
        <v>610</v>
      </c>
      <c r="F849" s="21"/>
      <c r="G849" s="27">
        <f>G850+G853+G856</f>
        <v>8697.2999999999993</v>
      </c>
      <c r="H849" s="221"/>
    </row>
    <row r="850" spans="1:8" ht="31.5" x14ac:dyDescent="0.25">
      <c r="A850" s="26" t="s">
        <v>611</v>
      </c>
      <c r="B850" s="17">
        <v>908</v>
      </c>
      <c r="C850" s="21" t="s">
        <v>297</v>
      </c>
      <c r="D850" s="21" t="s">
        <v>278</v>
      </c>
      <c r="E850" s="21" t="s">
        <v>612</v>
      </c>
      <c r="F850" s="21"/>
      <c r="G850" s="27">
        <f>G851</f>
        <v>253.4</v>
      </c>
      <c r="H850" s="221"/>
    </row>
    <row r="851" spans="1:8" ht="31.5" x14ac:dyDescent="0.25">
      <c r="A851" s="26" t="s">
        <v>194</v>
      </c>
      <c r="B851" s="17">
        <v>908</v>
      </c>
      <c r="C851" s="21" t="s">
        <v>297</v>
      </c>
      <c r="D851" s="21" t="s">
        <v>278</v>
      </c>
      <c r="E851" s="21" t="s">
        <v>612</v>
      </c>
      <c r="F851" s="21" t="s">
        <v>195</v>
      </c>
      <c r="G851" s="27">
        <f>G852</f>
        <v>253.4</v>
      </c>
      <c r="H851" s="221"/>
    </row>
    <row r="852" spans="1:8" ht="47.25" x14ac:dyDescent="0.25">
      <c r="A852" s="26" t="s">
        <v>196</v>
      </c>
      <c r="B852" s="17">
        <v>908</v>
      </c>
      <c r="C852" s="21" t="s">
        <v>297</v>
      </c>
      <c r="D852" s="21" t="s">
        <v>278</v>
      </c>
      <c r="E852" s="21" t="s">
        <v>612</v>
      </c>
      <c r="F852" s="21" t="s">
        <v>197</v>
      </c>
      <c r="G852" s="27">
        <v>253.4</v>
      </c>
      <c r="H852" s="221"/>
    </row>
    <row r="853" spans="1:8" ht="15.75" x14ac:dyDescent="0.25">
      <c r="A853" s="26" t="s">
        <v>613</v>
      </c>
      <c r="B853" s="17">
        <v>908</v>
      </c>
      <c r="C853" s="21" t="s">
        <v>297</v>
      </c>
      <c r="D853" s="21" t="s">
        <v>278</v>
      </c>
      <c r="E853" s="21" t="s">
        <v>614</v>
      </c>
      <c r="F853" s="21"/>
      <c r="G853" s="27">
        <f>G854</f>
        <v>5258.6</v>
      </c>
      <c r="H853" s="221"/>
    </row>
    <row r="854" spans="1:8" ht="31.5" x14ac:dyDescent="0.25">
      <c r="A854" s="26" t="s">
        <v>194</v>
      </c>
      <c r="B854" s="17">
        <v>908</v>
      </c>
      <c r="C854" s="21" t="s">
        <v>297</v>
      </c>
      <c r="D854" s="21" t="s">
        <v>278</v>
      </c>
      <c r="E854" s="21" t="s">
        <v>614</v>
      </c>
      <c r="F854" s="21" t="s">
        <v>195</v>
      </c>
      <c r="G854" s="27">
        <f>G855</f>
        <v>5258.6</v>
      </c>
      <c r="H854" s="221"/>
    </row>
    <row r="855" spans="1:8" ht="47.25" x14ac:dyDescent="0.25">
      <c r="A855" s="26" t="s">
        <v>196</v>
      </c>
      <c r="B855" s="17">
        <v>908</v>
      </c>
      <c r="C855" s="21" t="s">
        <v>297</v>
      </c>
      <c r="D855" s="21" t="s">
        <v>278</v>
      </c>
      <c r="E855" s="21" t="s">
        <v>614</v>
      </c>
      <c r="F855" s="21" t="s">
        <v>197</v>
      </c>
      <c r="G855" s="27">
        <v>5258.6</v>
      </c>
      <c r="H855" s="221"/>
    </row>
    <row r="856" spans="1:8" ht="15.75" x14ac:dyDescent="0.25">
      <c r="A856" s="26" t="s">
        <v>615</v>
      </c>
      <c r="B856" s="17">
        <v>908</v>
      </c>
      <c r="C856" s="21" t="s">
        <v>297</v>
      </c>
      <c r="D856" s="21" t="s">
        <v>278</v>
      </c>
      <c r="E856" s="21" t="s">
        <v>616</v>
      </c>
      <c r="F856" s="21"/>
      <c r="G856" s="27">
        <f>G857</f>
        <v>3185.3</v>
      </c>
      <c r="H856" s="221"/>
    </row>
    <row r="857" spans="1:8" ht="31.5" x14ac:dyDescent="0.25">
      <c r="A857" s="26" t="s">
        <v>194</v>
      </c>
      <c r="B857" s="17">
        <v>908</v>
      </c>
      <c r="C857" s="21" t="s">
        <v>297</v>
      </c>
      <c r="D857" s="21" t="s">
        <v>278</v>
      </c>
      <c r="E857" s="21" t="s">
        <v>616</v>
      </c>
      <c r="F857" s="21" t="s">
        <v>195</v>
      </c>
      <c r="G857" s="27">
        <f>G858</f>
        <v>3185.3</v>
      </c>
      <c r="H857" s="221"/>
    </row>
    <row r="858" spans="1:8" ht="47.25" x14ac:dyDescent="0.25">
      <c r="A858" s="26" t="s">
        <v>196</v>
      </c>
      <c r="B858" s="17">
        <v>908</v>
      </c>
      <c r="C858" s="21" t="s">
        <v>297</v>
      </c>
      <c r="D858" s="21" t="s">
        <v>278</v>
      </c>
      <c r="E858" s="21" t="s">
        <v>616</v>
      </c>
      <c r="F858" s="21" t="s">
        <v>197</v>
      </c>
      <c r="G858" s="27">
        <v>3185.3</v>
      </c>
      <c r="H858" s="221"/>
    </row>
    <row r="859" spans="1:8" ht="47.25" x14ac:dyDescent="0.25">
      <c r="A859" s="26" t="s">
        <v>617</v>
      </c>
      <c r="B859" s="17">
        <v>908</v>
      </c>
      <c r="C859" s="21" t="s">
        <v>297</v>
      </c>
      <c r="D859" s="21" t="s">
        <v>278</v>
      </c>
      <c r="E859" s="21" t="s">
        <v>618</v>
      </c>
      <c r="F859" s="21"/>
      <c r="G859" s="27">
        <f>G860+G865+G868+G871</f>
        <v>3678.1999999999994</v>
      </c>
      <c r="H859" s="221"/>
    </row>
    <row r="860" spans="1:8" ht="15.75" x14ac:dyDescent="0.25">
      <c r="A860" s="26" t="s">
        <v>615</v>
      </c>
      <c r="B860" s="17">
        <v>908</v>
      </c>
      <c r="C860" s="21" t="s">
        <v>297</v>
      </c>
      <c r="D860" s="21" t="s">
        <v>278</v>
      </c>
      <c r="E860" s="21" t="s">
        <v>619</v>
      </c>
      <c r="F860" s="21"/>
      <c r="G860" s="27">
        <f>G861+G863</f>
        <v>1112.3999999999999</v>
      </c>
      <c r="H860" s="221"/>
    </row>
    <row r="861" spans="1:8" ht="94.5" x14ac:dyDescent="0.25">
      <c r="A861" s="26" t="s">
        <v>190</v>
      </c>
      <c r="B861" s="17">
        <v>908</v>
      </c>
      <c r="C861" s="21" t="s">
        <v>297</v>
      </c>
      <c r="D861" s="21" t="s">
        <v>278</v>
      </c>
      <c r="E861" s="21" t="s">
        <v>619</v>
      </c>
      <c r="F861" s="21" t="s">
        <v>191</v>
      </c>
      <c r="G861" s="27">
        <f>G862</f>
        <v>892.8</v>
      </c>
      <c r="H861" s="221"/>
    </row>
    <row r="862" spans="1:8" ht="31.5" x14ac:dyDescent="0.25">
      <c r="A862" s="48" t="s">
        <v>405</v>
      </c>
      <c r="B862" s="17">
        <v>908</v>
      </c>
      <c r="C862" s="21" t="s">
        <v>297</v>
      </c>
      <c r="D862" s="21" t="s">
        <v>278</v>
      </c>
      <c r="E862" s="21" t="s">
        <v>619</v>
      </c>
      <c r="F862" s="21" t="s">
        <v>272</v>
      </c>
      <c r="G862" s="27">
        <f>801.5+91.3</f>
        <v>892.8</v>
      </c>
      <c r="H862" s="132"/>
    </row>
    <row r="863" spans="1:8" ht="31.5" x14ac:dyDescent="0.25">
      <c r="A863" s="26" t="s">
        <v>194</v>
      </c>
      <c r="B863" s="17">
        <v>908</v>
      </c>
      <c r="C863" s="21" t="s">
        <v>297</v>
      </c>
      <c r="D863" s="21" t="s">
        <v>278</v>
      </c>
      <c r="E863" s="21" t="s">
        <v>619</v>
      </c>
      <c r="F863" s="21" t="s">
        <v>195</v>
      </c>
      <c r="G863" s="27">
        <f>G864</f>
        <v>219.6</v>
      </c>
      <c r="H863" s="221"/>
    </row>
    <row r="864" spans="1:8" ht="47.25" x14ac:dyDescent="0.25">
      <c r="A864" s="26" t="s">
        <v>196</v>
      </c>
      <c r="B864" s="17">
        <v>908</v>
      </c>
      <c r="C864" s="21" t="s">
        <v>297</v>
      </c>
      <c r="D864" s="21" t="s">
        <v>278</v>
      </c>
      <c r="E864" s="21" t="s">
        <v>619</v>
      </c>
      <c r="F864" s="21" t="s">
        <v>197</v>
      </c>
      <c r="G864" s="27">
        <v>219.6</v>
      </c>
      <c r="H864" s="221"/>
    </row>
    <row r="865" spans="1:8" ht="15.75" x14ac:dyDescent="0.25">
      <c r="A865" s="26" t="s">
        <v>620</v>
      </c>
      <c r="B865" s="17">
        <v>908</v>
      </c>
      <c r="C865" s="21" t="s">
        <v>297</v>
      </c>
      <c r="D865" s="21" t="s">
        <v>278</v>
      </c>
      <c r="E865" s="21" t="s">
        <v>621</v>
      </c>
      <c r="F865" s="21"/>
      <c r="G865" s="27">
        <f>G866</f>
        <v>86.6</v>
      </c>
      <c r="H865" s="221"/>
    </row>
    <row r="866" spans="1:8" ht="31.5" x14ac:dyDescent="0.25">
      <c r="A866" s="26" t="s">
        <v>194</v>
      </c>
      <c r="B866" s="17">
        <v>908</v>
      </c>
      <c r="C866" s="21" t="s">
        <v>297</v>
      </c>
      <c r="D866" s="21" t="s">
        <v>278</v>
      </c>
      <c r="E866" s="21" t="s">
        <v>621</v>
      </c>
      <c r="F866" s="21" t="s">
        <v>195</v>
      </c>
      <c r="G866" s="27">
        <f>G867</f>
        <v>86.6</v>
      </c>
      <c r="H866" s="221"/>
    </row>
    <row r="867" spans="1:8" ht="47.25" x14ac:dyDescent="0.25">
      <c r="A867" s="26" t="s">
        <v>196</v>
      </c>
      <c r="B867" s="17">
        <v>908</v>
      </c>
      <c r="C867" s="21" t="s">
        <v>297</v>
      </c>
      <c r="D867" s="21" t="s">
        <v>278</v>
      </c>
      <c r="E867" s="21" t="s">
        <v>621</v>
      </c>
      <c r="F867" s="21" t="s">
        <v>197</v>
      </c>
      <c r="G867" s="27">
        <v>86.6</v>
      </c>
      <c r="H867" s="221"/>
    </row>
    <row r="868" spans="1:8" ht="47.25" x14ac:dyDescent="0.25">
      <c r="A868" s="47" t="s">
        <v>622</v>
      </c>
      <c r="B868" s="17">
        <v>908</v>
      </c>
      <c r="C868" s="21" t="s">
        <v>297</v>
      </c>
      <c r="D868" s="21" t="s">
        <v>278</v>
      </c>
      <c r="E868" s="21" t="s">
        <v>623</v>
      </c>
      <c r="F868" s="21"/>
      <c r="G868" s="27">
        <f>G869</f>
        <v>2130.6</v>
      </c>
      <c r="H868" s="221"/>
    </row>
    <row r="869" spans="1:8" ht="31.5" x14ac:dyDescent="0.25">
      <c r="A869" s="26" t="s">
        <v>194</v>
      </c>
      <c r="B869" s="17">
        <v>908</v>
      </c>
      <c r="C869" s="21" t="s">
        <v>297</v>
      </c>
      <c r="D869" s="21" t="s">
        <v>278</v>
      </c>
      <c r="E869" s="21" t="s">
        <v>623</v>
      </c>
      <c r="F869" s="21" t="s">
        <v>195</v>
      </c>
      <c r="G869" s="27">
        <f>G870</f>
        <v>2130.6</v>
      </c>
      <c r="H869" s="221"/>
    </row>
    <row r="870" spans="1:8" ht="47.25" x14ac:dyDescent="0.25">
      <c r="A870" s="26" t="s">
        <v>196</v>
      </c>
      <c r="B870" s="17">
        <v>908</v>
      </c>
      <c r="C870" s="21" t="s">
        <v>297</v>
      </c>
      <c r="D870" s="21" t="s">
        <v>278</v>
      </c>
      <c r="E870" s="21" t="s">
        <v>623</v>
      </c>
      <c r="F870" s="21" t="s">
        <v>197</v>
      </c>
      <c r="G870" s="27">
        <v>2130.6</v>
      </c>
      <c r="H870" s="221"/>
    </row>
    <row r="871" spans="1:8" ht="31.5" x14ac:dyDescent="0.25">
      <c r="A871" s="47" t="s">
        <v>624</v>
      </c>
      <c r="B871" s="17">
        <v>908</v>
      </c>
      <c r="C871" s="21" t="s">
        <v>297</v>
      </c>
      <c r="D871" s="21" t="s">
        <v>278</v>
      </c>
      <c r="E871" s="21" t="s">
        <v>625</v>
      </c>
      <c r="F871" s="21"/>
      <c r="G871" s="27">
        <f>G872</f>
        <v>348.6</v>
      </c>
      <c r="H871" s="221"/>
    </row>
    <row r="872" spans="1:8" ht="31.5" x14ac:dyDescent="0.25">
      <c r="A872" s="26" t="s">
        <v>194</v>
      </c>
      <c r="B872" s="17">
        <v>908</v>
      </c>
      <c r="C872" s="21" t="s">
        <v>297</v>
      </c>
      <c r="D872" s="21" t="s">
        <v>278</v>
      </c>
      <c r="E872" s="21" t="s">
        <v>625</v>
      </c>
      <c r="F872" s="21" t="s">
        <v>195</v>
      </c>
      <c r="G872" s="27">
        <f>G873</f>
        <v>348.6</v>
      </c>
      <c r="H872" s="221"/>
    </row>
    <row r="873" spans="1:8" ht="47.25" x14ac:dyDescent="0.25">
      <c r="A873" s="26" t="s">
        <v>196</v>
      </c>
      <c r="B873" s="17">
        <v>908</v>
      </c>
      <c r="C873" s="21" t="s">
        <v>297</v>
      </c>
      <c r="D873" s="21" t="s">
        <v>278</v>
      </c>
      <c r="E873" s="21" t="s">
        <v>625</v>
      </c>
      <c r="F873" s="21" t="s">
        <v>197</v>
      </c>
      <c r="G873" s="27">
        <v>348.6</v>
      </c>
      <c r="H873" s="221"/>
    </row>
    <row r="874" spans="1:8" ht="63" x14ac:dyDescent="0.25">
      <c r="A874" s="26" t="s">
        <v>845</v>
      </c>
      <c r="B874" s="17">
        <v>908</v>
      </c>
      <c r="C874" s="21" t="s">
        <v>297</v>
      </c>
      <c r="D874" s="21" t="s">
        <v>278</v>
      </c>
      <c r="E874" s="21" t="s">
        <v>847</v>
      </c>
      <c r="F874" s="21"/>
      <c r="G874" s="27">
        <f>G875</f>
        <v>600</v>
      </c>
      <c r="H874" s="221"/>
    </row>
    <row r="875" spans="1:8" ht="31.5" x14ac:dyDescent="0.25">
      <c r="A875" s="96" t="s">
        <v>846</v>
      </c>
      <c r="B875" s="17">
        <v>908</v>
      </c>
      <c r="C875" s="21" t="s">
        <v>297</v>
      </c>
      <c r="D875" s="21" t="s">
        <v>278</v>
      </c>
      <c r="E875" s="21" t="s">
        <v>848</v>
      </c>
      <c r="F875" s="21"/>
      <c r="G875" s="27">
        <f>G876</f>
        <v>600</v>
      </c>
      <c r="H875" s="221"/>
    </row>
    <row r="876" spans="1:8" ht="31.5" x14ac:dyDescent="0.25">
      <c r="A876" s="26" t="s">
        <v>194</v>
      </c>
      <c r="B876" s="17">
        <v>908</v>
      </c>
      <c r="C876" s="21" t="s">
        <v>297</v>
      </c>
      <c r="D876" s="21" t="s">
        <v>278</v>
      </c>
      <c r="E876" s="21" t="s">
        <v>848</v>
      </c>
      <c r="F876" s="21" t="s">
        <v>195</v>
      </c>
      <c r="G876" s="27">
        <f>G877</f>
        <v>600</v>
      </c>
      <c r="H876" s="221"/>
    </row>
    <row r="877" spans="1:8" ht="47.25" x14ac:dyDescent="0.25">
      <c r="A877" s="26" t="s">
        <v>196</v>
      </c>
      <c r="B877" s="17">
        <v>908</v>
      </c>
      <c r="C877" s="21" t="s">
        <v>297</v>
      </c>
      <c r="D877" s="21" t="s">
        <v>278</v>
      </c>
      <c r="E877" s="21" t="s">
        <v>848</v>
      </c>
      <c r="F877" s="21" t="s">
        <v>197</v>
      </c>
      <c r="G877" s="27">
        <v>600</v>
      </c>
      <c r="H877" s="132"/>
    </row>
    <row r="878" spans="1:8" ht="15.75" x14ac:dyDescent="0.25">
      <c r="A878" s="26" t="s">
        <v>184</v>
      </c>
      <c r="B878" s="17">
        <v>908</v>
      </c>
      <c r="C878" s="21" t="s">
        <v>297</v>
      </c>
      <c r="D878" s="21" t="s">
        <v>278</v>
      </c>
      <c r="E878" s="21" t="s">
        <v>185</v>
      </c>
      <c r="F878" s="21"/>
      <c r="G878" s="27">
        <f>G879+G892</f>
        <v>12489.099999999999</v>
      </c>
      <c r="H878" s="221"/>
    </row>
    <row r="879" spans="1:8" ht="31.5" x14ac:dyDescent="0.25">
      <c r="A879" s="26" t="s">
        <v>248</v>
      </c>
      <c r="B879" s="17">
        <v>908</v>
      </c>
      <c r="C879" s="21" t="s">
        <v>297</v>
      </c>
      <c r="D879" s="21" t="s">
        <v>278</v>
      </c>
      <c r="E879" s="21" t="s">
        <v>249</v>
      </c>
      <c r="F879" s="21"/>
      <c r="G879" s="27">
        <f>G880+G883+G886+G889</f>
        <v>12033.199999999999</v>
      </c>
      <c r="H879" s="221"/>
    </row>
    <row r="880" spans="1:8" ht="31.5" x14ac:dyDescent="0.25">
      <c r="A880" s="26" t="s">
        <v>626</v>
      </c>
      <c r="B880" s="17">
        <v>908</v>
      </c>
      <c r="C880" s="21" t="s">
        <v>297</v>
      </c>
      <c r="D880" s="21" t="s">
        <v>278</v>
      </c>
      <c r="E880" s="21" t="s">
        <v>627</v>
      </c>
      <c r="F880" s="21"/>
      <c r="G880" s="27">
        <f>G881</f>
        <v>6302.4</v>
      </c>
      <c r="H880" s="221"/>
    </row>
    <row r="881" spans="1:9" ht="31.5" x14ac:dyDescent="0.25">
      <c r="A881" s="26" t="s">
        <v>194</v>
      </c>
      <c r="B881" s="17">
        <v>908</v>
      </c>
      <c r="C881" s="21" t="s">
        <v>297</v>
      </c>
      <c r="D881" s="21" t="s">
        <v>278</v>
      </c>
      <c r="E881" s="21" t="s">
        <v>627</v>
      </c>
      <c r="F881" s="21" t="s">
        <v>195</v>
      </c>
      <c r="G881" s="27">
        <f>G882</f>
        <v>6302.4</v>
      </c>
      <c r="H881" s="221"/>
    </row>
    <row r="882" spans="1:9" ht="47.25" x14ac:dyDescent="0.25">
      <c r="A882" s="26" t="s">
        <v>196</v>
      </c>
      <c r="B882" s="17">
        <v>908</v>
      </c>
      <c r="C882" s="21" t="s">
        <v>297</v>
      </c>
      <c r="D882" s="21" t="s">
        <v>278</v>
      </c>
      <c r="E882" s="21" t="s">
        <v>627</v>
      </c>
      <c r="F882" s="21" t="s">
        <v>197</v>
      </c>
      <c r="G882" s="27">
        <f>3907.3-814.9+3210</f>
        <v>6302.4</v>
      </c>
      <c r="H882" s="132"/>
      <c r="I882" s="141"/>
    </row>
    <row r="883" spans="1:9" ht="47.25" x14ac:dyDescent="0.25">
      <c r="A883" s="26" t="s">
        <v>797</v>
      </c>
      <c r="B883" s="17">
        <v>908</v>
      </c>
      <c r="C883" s="21" t="s">
        <v>297</v>
      </c>
      <c r="D883" s="21" t="s">
        <v>278</v>
      </c>
      <c r="E883" s="21" t="s">
        <v>798</v>
      </c>
      <c r="F883" s="21"/>
      <c r="G883" s="27">
        <f t="shared" ref="G883:G884" si="149">G884</f>
        <v>2132</v>
      </c>
      <c r="H883" s="221"/>
    </row>
    <row r="884" spans="1:9" ht="31.5" x14ac:dyDescent="0.25">
      <c r="A884" s="26" t="s">
        <v>194</v>
      </c>
      <c r="B884" s="17">
        <v>908</v>
      </c>
      <c r="C884" s="21" t="s">
        <v>297</v>
      </c>
      <c r="D884" s="21" t="s">
        <v>278</v>
      </c>
      <c r="E884" s="21" t="s">
        <v>798</v>
      </c>
      <c r="F884" s="21" t="s">
        <v>195</v>
      </c>
      <c r="G884" s="27">
        <f t="shared" si="149"/>
        <v>2132</v>
      </c>
      <c r="H884" s="221"/>
    </row>
    <row r="885" spans="1:9" ht="47.25" x14ac:dyDescent="0.25">
      <c r="A885" s="26" t="s">
        <v>196</v>
      </c>
      <c r="B885" s="17">
        <v>908</v>
      </c>
      <c r="C885" s="21" t="s">
        <v>297</v>
      </c>
      <c r="D885" s="21" t="s">
        <v>278</v>
      </c>
      <c r="E885" s="21" t="s">
        <v>798</v>
      </c>
      <c r="F885" s="21" t="s">
        <v>197</v>
      </c>
      <c r="G885" s="27">
        <v>2132</v>
      </c>
      <c r="H885" s="132"/>
    </row>
    <row r="886" spans="1:9" ht="47.25" x14ac:dyDescent="0.25">
      <c r="A886" s="26" t="s">
        <v>799</v>
      </c>
      <c r="B886" s="17">
        <v>908</v>
      </c>
      <c r="C886" s="21" t="s">
        <v>297</v>
      </c>
      <c r="D886" s="21" t="s">
        <v>278</v>
      </c>
      <c r="E886" s="21" t="s">
        <v>628</v>
      </c>
      <c r="F886" s="21"/>
      <c r="G886" s="27">
        <f t="shared" ref="G886:G887" si="150">G887</f>
        <v>2000</v>
      </c>
      <c r="H886" s="221"/>
    </row>
    <row r="887" spans="1:9" ht="31.5" x14ac:dyDescent="0.25">
      <c r="A887" s="26" t="s">
        <v>194</v>
      </c>
      <c r="B887" s="17">
        <v>908</v>
      </c>
      <c r="C887" s="21" t="s">
        <v>297</v>
      </c>
      <c r="D887" s="21" t="s">
        <v>278</v>
      </c>
      <c r="E887" s="21" t="s">
        <v>628</v>
      </c>
      <c r="F887" s="21" t="s">
        <v>195</v>
      </c>
      <c r="G887" s="27">
        <f t="shared" si="150"/>
        <v>2000</v>
      </c>
      <c r="H887" s="221"/>
    </row>
    <row r="888" spans="1:9" ht="47.25" x14ac:dyDescent="0.25">
      <c r="A888" s="26" t="s">
        <v>196</v>
      </c>
      <c r="B888" s="17">
        <v>908</v>
      </c>
      <c r="C888" s="21" t="s">
        <v>297</v>
      </c>
      <c r="D888" s="21" t="s">
        <v>278</v>
      </c>
      <c r="E888" s="21" t="s">
        <v>628</v>
      </c>
      <c r="F888" s="21" t="s">
        <v>197</v>
      </c>
      <c r="G888" s="27">
        <v>2000</v>
      </c>
      <c r="H888" s="132"/>
    </row>
    <row r="889" spans="1:9" ht="63" x14ac:dyDescent="0.25">
      <c r="A889" s="26" t="s">
        <v>800</v>
      </c>
      <c r="B889" s="17">
        <v>908</v>
      </c>
      <c r="C889" s="21" t="s">
        <v>297</v>
      </c>
      <c r="D889" s="21" t="s">
        <v>278</v>
      </c>
      <c r="E889" s="21" t="s">
        <v>801</v>
      </c>
      <c r="F889" s="21"/>
      <c r="G889" s="27">
        <f>G890</f>
        <v>1598.8</v>
      </c>
      <c r="H889" s="134"/>
    </row>
    <row r="890" spans="1:9" ht="31.5" x14ac:dyDescent="0.25">
      <c r="A890" s="26" t="s">
        <v>194</v>
      </c>
      <c r="B890" s="17">
        <v>908</v>
      </c>
      <c r="C890" s="21" t="s">
        <v>297</v>
      </c>
      <c r="D890" s="21" t="s">
        <v>278</v>
      </c>
      <c r="E890" s="21" t="s">
        <v>801</v>
      </c>
      <c r="F890" s="21" t="s">
        <v>195</v>
      </c>
      <c r="G890" s="27">
        <f>G891</f>
        <v>1598.8</v>
      </c>
      <c r="H890" s="134"/>
    </row>
    <row r="891" spans="1:9" ht="47.25" x14ac:dyDescent="0.25">
      <c r="A891" s="26" t="s">
        <v>196</v>
      </c>
      <c r="B891" s="17">
        <v>908</v>
      </c>
      <c r="C891" s="21" t="s">
        <v>297</v>
      </c>
      <c r="D891" s="21" t="s">
        <v>278</v>
      </c>
      <c r="E891" s="21" t="s">
        <v>801</v>
      </c>
      <c r="F891" s="21" t="s">
        <v>197</v>
      </c>
      <c r="G891" s="27">
        <v>1598.8</v>
      </c>
      <c r="H891" s="134"/>
    </row>
    <row r="892" spans="1:9" ht="15.75" x14ac:dyDescent="0.25">
      <c r="A892" s="26" t="s">
        <v>204</v>
      </c>
      <c r="B892" s="17">
        <v>908</v>
      </c>
      <c r="C892" s="21" t="s">
        <v>297</v>
      </c>
      <c r="D892" s="21" t="s">
        <v>278</v>
      </c>
      <c r="E892" s="21" t="s">
        <v>205</v>
      </c>
      <c r="F892" s="21"/>
      <c r="G892" s="27">
        <f>G893</f>
        <v>455.9</v>
      </c>
      <c r="H892" s="221"/>
    </row>
    <row r="893" spans="1:9" ht="15.75" x14ac:dyDescent="0.25">
      <c r="A893" s="26" t="s">
        <v>629</v>
      </c>
      <c r="B893" s="17">
        <v>908</v>
      </c>
      <c r="C893" s="21" t="s">
        <v>297</v>
      </c>
      <c r="D893" s="21" t="s">
        <v>278</v>
      </c>
      <c r="E893" s="21" t="s">
        <v>630</v>
      </c>
      <c r="F893" s="21"/>
      <c r="G893" s="27">
        <f>G894</f>
        <v>455.9</v>
      </c>
      <c r="H893" s="221"/>
    </row>
    <row r="894" spans="1:9" ht="31.5" x14ac:dyDescent="0.25">
      <c r="A894" s="26" t="s">
        <v>194</v>
      </c>
      <c r="B894" s="17">
        <v>908</v>
      </c>
      <c r="C894" s="21" t="s">
        <v>297</v>
      </c>
      <c r="D894" s="21" t="s">
        <v>278</v>
      </c>
      <c r="E894" s="21" t="s">
        <v>630</v>
      </c>
      <c r="F894" s="21" t="s">
        <v>195</v>
      </c>
      <c r="G894" s="27">
        <f>G895</f>
        <v>455.9</v>
      </c>
      <c r="H894" s="221"/>
    </row>
    <row r="895" spans="1:9" ht="47.25" x14ac:dyDescent="0.25">
      <c r="A895" s="26" t="s">
        <v>196</v>
      </c>
      <c r="B895" s="17">
        <v>908</v>
      </c>
      <c r="C895" s="21" t="s">
        <v>297</v>
      </c>
      <c r="D895" s="21" t="s">
        <v>278</v>
      </c>
      <c r="E895" s="21" t="s">
        <v>630</v>
      </c>
      <c r="F895" s="21" t="s">
        <v>197</v>
      </c>
      <c r="G895" s="28">
        <v>455.9</v>
      </c>
      <c r="H895" s="221"/>
    </row>
    <row r="896" spans="1:9" ht="15.75" hidden="1" x14ac:dyDescent="0.25">
      <c r="A896" s="26" t="s">
        <v>631</v>
      </c>
      <c r="B896" s="17">
        <v>908</v>
      </c>
      <c r="C896" s="21" t="s">
        <v>297</v>
      </c>
      <c r="D896" s="21" t="s">
        <v>278</v>
      </c>
      <c r="E896" s="21" t="s">
        <v>632</v>
      </c>
      <c r="F896" s="21"/>
      <c r="G896" s="28">
        <f t="shared" ref="G896:G897" si="151">G897</f>
        <v>0</v>
      </c>
      <c r="H896" s="221"/>
    </row>
    <row r="897" spans="1:10" ht="15.75" hidden="1" x14ac:dyDescent="0.25">
      <c r="A897" s="26" t="s">
        <v>198</v>
      </c>
      <c r="B897" s="17">
        <v>908</v>
      </c>
      <c r="C897" s="21" t="s">
        <v>297</v>
      </c>
      <c r="D897" s="21" t="s">
        <v>278</v>
      </c>
      <c r="E897" s="21" t="s">
        <v>632</v>
      </c>
      <c r="F897" s="21" t="s">
        <v>208</v>
      </c>
      <c r="G897" s="28">
        <f t="shared" si="151"/>
        <v>0</v>
      </c>
      <c r="H897" s="221"/>
    </row>
    <row r="898" spans="1:10" ht="15.75" hidden="1" x14ac:dyDescent="0.25">
      <c r="A898" s="26" t="s">
        <v>633</v>
      </c>
      <c r="B898" s="17">
        <v>908</v>
      </c>
      <c r="C898" s="21" t="s">
        <v>297</v>
      </c>
      <c r="D898" s="21" t="s">
        <v>278</v>
      </c>
      <c r="E898" s="21" t="s">
        <v>632</v>
      </c>
      <c r="F898" s="21" t="s">
        <v>201</v>
      </c>
      <c r="G898" s="28">
        <v>0</v>
      </c>
      <c r="H898" s="221"/>
    </row>
    <row r="899" spans="1:10" ht="31.5" x14ac:dyDescent="0.25">
      <c r="A899" s="24" t="s">
        <v>634</v>
      </c>
      <c r="B899" s="20">
        <v>908</v>
      </c>
      <c r="C899" s="25" t="s">
        <v>297</v>
      </c>
      <c r="D899" s="25" t="s">
        <v>297</v>
      </c>
      <c r="E899" s="25"/>
      <c r="F899" s="25"/>
      <c r="G899" s="22">
        <f>G900</f>
        <v>21124.69</v>
      </c>
      <c r="H899" s="221"/>
    </row>
    <row r="900" spans="1:10" ht="15.75" x14ac:dyDescent="0.25">
      <c r="A900" s="26" t="s">
        <v>184</v>
      </c>
      <c r="B900" s="17">
        <v>908</v>
      </c>
      <c r="C900" s="21" t="s">
        <v>297</v>
      </c>
      <c r="D900" s="21" t="s">
        <v>297</v>
      </c>
      <c r="E900" s="21" t="s">
        <v>185</v>
      </c>
      <c r="F900" s="21"/>
      <c r="G900" s="27">
        <f>G901+G909</f>
        <v>21124.69</v>
      </c>
      <c r="H900" s="221"/>
    </row>
    <row r="901" spans="1:10" ht="31.5" x14ac:dyDescent="0.25">
      <c r="A901" s="26" t="s">
        <v>186</v>
      </c>
      <c r="B901" s="17">
        <v>908</v>
      </c>
      <c r="C901" s="21" t="s">
        <v>297</v>
      </c>
      <c r="D901" s="21" t="s">
        <v>297</v>
      </c>
      <c r="E901" s="21" t="s">
        <v>187</v>
      </c>
      <c r="F901" s="21"/>
      <c r="G901" s="27">
        <f>G902</f>
        <v>13501.699999999999</v>
      </c>
      <c r="H901" s="221"/>
    </row>
    <row r="902" spans="1:10" ht="47.25" x14ac:dyDescent="0.25">
      <c r="A902" s="26" t="s">
        <v>188</v>
      </c>
      <c r="B902" s="17">
        <v>908</v>
      </c>
      <c r="C902" s="21" t="s">
        <v>297</v>
      </c>
      <c r="D902" s="21" t="s">
        <v>297</v>
      </c>
      <c r="E902" s="21" t="s">
        <v>189</v>
      </c>
      <c r="F902" s="21"/>
      <c r="G902" s="27">
        <f>G903+G907+G905</f>
        <v>13501.699999999999</v>
      </c>
      <c r="H902" s="221"/>
    </row>
    <row r="903" spans="1:10" ht="94.5" x14ac:dyDescent="0.25">
      <c r="A903" s="26" t="s">
        <v>190</v>
      </c>
      <c r="B903" s="17">
        <v>908</v>
      </c>
      <c r="C903" s="21" t="s">
        <v>297</v>
      </c>
      <c r="D903" s="21" t="s">
        <v>297</v>
      </c>
      <c r="E903" s="21" t="s">
        <v>189</v>
      </c>
      <c r="F903" s="21" t="s">
        <v>191</v>
      </c>
      <c r="G903" s="27">
        <f>G904</f>
        <v>13327.8</v>
      </c>
      <c r="H903" s="221"/>
    </row>
    <row r="904" spans="1:10" ht="31.5" x14ac:dyDescent="0.25">
      <c r="A904" s="26" t="s">
        <v>192</v>
      </c>
      <c r="B904" s="17">
        <v>908</v>
      </c>
      <c r="C904" s="21" t="s">
        <v>297</v>
      </c>
      <c r="D904" s="21" t="s">
        <v>297</v>
      </c>
      <c r="E904" s="21" t="s">
        <v>189</v>
      </c>
      <c r="F904" s="21" t="s">
        <v>193</v>
      </c>
      <c r="G904" s="208">
        <f>13259.3+28.4+100-59.9</f>
        <v>13327.8</v>
      </c>
      <c r="H904" s="132" t="s">
        <v>893</v>
      </c>
      <c r="I904" s="152"/>
      <c r="J904" s="214" t="s">
        <v>902</v>
      </c>
    </row>
    <row r="905" spans="1:10" ht="31.5" x14ac:dyDescent="0.25">
      <c r="A905" s="26" t="s">
        <v>194</v>
      </c>
      <c r="B905" s="17">
        <v>908</v>
      </c>
      <c r="C905" s="21" t="s">
        <v>297</v>
      </c>
      <c r="D905" s="21" t="s">
        <v>297</v>
      </c>
      <c r="E905" s="21" t="s">
        <v>189</v>
      </c>
      <c r="F905" s="21" t="s">
        <v>195</v>
      </c>
      <c r="G905" s="27">
        <f t="shared" ref="G905" si="152">G906</f>
        <v>25</v>
      </c>
      <c r="H905" s="221"/>
    </row>
    <row r="906" spans="1:10" ht="47.25" x14ac:dyDescent="0.25">
      <c r="A906" s="26" t="s">
        <v>196</v>
      </c>
      <c r="B906" s="17">
        <v>908</v>
      </c>
      <c r="C906" s="21" t="s">
        <v>297</v>
      </c>
      <c r="D906" s="21" t="s">
        <v>297</v>
      </c>
      <c r="E906" s="21" t="s">
        <v>189</v>
      </c>
      <c r="F906" s="21" t="s">
        <v>197</v>
      </c>
      <c r="G906" s="28">
        <v>25</v>
      </c>
      <c r="H906" s="132"/>
      <c r="I906" s="152"/>
    </row>
    <row r="907" spans="1:10" ht="15.75" x14ac:dyDescent="0.25">
      <c r="A907" s="26" t="s">
        <v>198</v>
      </c>
      <c r="B907" s="17">
        <v>908</v>
      </c>
      <c r="C907" s="21" t="s">
        <v>297</v>
      </c>
      <c r="D907" s="21" t="s">
        <v>297</v>
      </c>
      <c r="E907" s="21" t="s">
        <v>189</v>
      </c>
      <c r="F907" s="21" t="s">
        <v>208</v>
      </c>
      <c r="G907" s="27">
        <f>G908</f>
        <v>148.9</v>
      </c>
      <c r="H907" s="221"/>
    </row>
    <row r="908" spans="1:10" ht="15.75" x14ac:dyDescent="0.25">
      <c r="A908" s="26" t="s">
        <v>633</v>
      </c>
      <c r="B908" s="17">
        <v>908</v>
      </c>
      <c r="C908" s="21" t="s">
        <v>297</v>
      </c>
      <c r="D908" s="21" t="s">
        <v>297</v>
      </c>
      <c r="E908" s="21" t="s">
        <v>189</v>
      </c>
      <c r="F908" s="21" t="s">
        <v>201</v>
      </c>
      <c r="G908" s="204">
        <f>89+59.9</f>
        <v>148.9</v>
      </c>
      <c r="H908" s="193" t="s">
        <v>892</v>
      </c>
    </row>
    <row r="909" spans="1:10" ht="15.75" x14ac:dyDescent="0.25">
      <c r="A909" s="26" t="s">
        <v>204</v>
      </c>
      <c r="B909" s="17">
        <v>908</v>
      </c>
      <c r="C909" s="21" t="s">
        <v>297</v>
      </c>
      <c r="D909" s="21" t="s">
        <v>297</v>
      </c>
      <c r="E909" s="21" t="s">
        <v>205</v>
      </c>
      <c r="F909" s="21"/>
      <c r="G909" s="27">
        <f>G913+G910</f>
        <v>7622.99</v>
      </c>
      <c r="H909" s="221"/>
    </row>
    <row r="910" spans="1:10" ht="31.5" x14ac:dyDescent="0.25">
      <c r="A910" s="26" t="s">
        <v>635</v>
      </c>
      <c r="B910" s="17">
        <v>908</v>
      </c>
      <c r="C910" s="21" t="s">
        <v>297</v>
      </c>
      <c r="D910" s="21" t="s">
        <v>297</v>
      </c>
      <c r="E910" s="21" t="s">
        <v>636</v>
      </c>
      <c r="F910" s="21"/>
      <c r="G910" s="28">
        <f>G911</f>
        <v>1461</v>
      </c>
      <c r="H910" s="221"/>
    </row>
    <row r="911" spans="1:10" ht="15.75" x14ac:dyDescent="0.25">
      <c r="A911" s="26" t="s">
        <v>198</v>
      </c>
      <c r="B911" s="17">
        <v>908</v>
      </c>
      <c r="C911" s="21" t="s">
        <v>297</v>
      </c>
      <c r="D911" s="21" t="s">
        <v>297</v>
      </c>
      <c r="E911" s="21" t="s">
        <v>636</v>
      </c>
      <c r="F911" s="21" t="s">
        <v>208</v>
      </c>
      <c r="G911" s="28">
        <f>G912</f>
        <v>1461</v>
      </c>
      <c r="H911" s="221"/>
    </row>
    <row r="912" spans="1:10" ht="63" x14ac:dyDescent="0.25">
      <c r="A912" s="26" t="s">
        <v>247</v>
      </c>
      <c r="B912" s="17">
        <v>908</v>
      </c>
      <c r="C912" s="21" t="s">
        <v>297</v>
      </c>
      <c r="D912" s="21" t="s">
        <v>297</v>
      </c>
      <c r="E912" s="21" t="s">
        <v>636</v>
      </c>
      <c r="F912" s="21" t="s">
        <v>223</v>
      </c>
      <c r="G912" s="28">
        <v>1461</v>
      </c>
      <c r="H912" s="221"/>
    </row>
    <row r="913" spans="1:10" ht="31.5" x14ac:dyDescent="0.25">
      <c r="A913" s="26" t="s">
        <v>403</v>
      </c>
      <c r="B913" s="17">
        <v>908</v>
      </c>
      <c r="C913" s="21" t="s">
        <v>297</v>
      </c>
      <c r="D913" s="21" t="s">
        <v>297</v>
      </c>
      <c r="E913" s="21" t="s">
        <v>404</v>
      </c>
      <c r="F913" s="21"/>
      <c r="G913" s="27">
        <f>G914+G916</f>
        <v>6161.99</v>
      </c>
      <c r="H913" s="221"/>
    </row>
    <row r="914" spans="1:10" ht="94.5" x14ac:dyDescent="0.25">
      <c r="A914" s="26" t="s">
        <v>190</v>
      </c>
      <c r="B914" s="17">
        <v>908</v>
      </c>
      <c r="C914" s="21" t="s">
        <v>297</v>
      </c>
      <c r="D914" s="21" t="s">
        <v>297</v>
      </c>
      <c r="E914" s="21" t="s">
        <v>404</v>
      </c>
      <c r="F914" s="21" t="s">
        <v>191</v>
      </c>
      <c r="G914" s="27">
        <f>G915</f>
        <v>4505.49</v>
      </c>
      <c r="H914" s="221"/>
    </row>
    <row r="915" spans="1:10" ht="31.5" x14ac:dyDescent="0.25">
      <c r="A915" s="26" t="s">
        <v>405</v>
      </c>
      <c r="B915" s="17">
        <v>908</v>
      </c>
      <c r="C915" s="21" t="s">
        <v>297</v>
      </c>
      <c r="D915" s="21" t="s">
        <v>297</v>
      </c>
      <c r="E915" s="21" t="s">
        <v>404</v>
      </c>
      <c r="F915" s="21" t="s">
        <v>272</v>
      </c>
      <c r="G915" s="192">
        <f>6196.89-1411.4-100-180</f>
        <v>4505.49</v>
      </c>
      <c r="H915" s="132" t="s">
        <v>908</v>
      </c>
      <c r="I915" s="152"/>
      <c r="J915" s="213" t="s">
        <v>907</v>
      </c>
    </row>
    <row r="916" spans="1:10" ht="31.5" x14ac:dyDescent="0.25">
      <c r="A916" s="26" t="s">
        <v>194</v>
      </c>
      <c r="B916" s="17">
        <v>908</v>
      </c>
      <c r="C916" s="21" t="s">
        <v>297</v>
      </c>
      <c r="D916" s="21" t="s">
        <v>297</v>
      </c>
      <c r="E916" s="21" t="s">
        <v>404</v>
      </c>
      <c r="F916" s="21" t="s">
        <v>195</v>
      </c>
      <c r="G916" s="27">
        <f>G917</f>
        <v>1656.5</v>
      </c>
      <c r="H916" s="221"/>
    </row>
    <row r="917" spans="1:10" ht="47.25" x14ac:dyDescent="0.25">
      <c r="A917" s="26" t="s">
        <v>196</v>
      </c>
      <c r="B917" s="17">
        <v>908</v>
      </c>
      <c r="C917" s="21" t="s">
        <v>297</v>
      </c>
      <c r="D917" s="21" t="s">
        <v>297</v>
      </c>
      <c r="E917" s="21" t="s">
        <v>404</v>
      </c>
      <c r="F917" s="21" t="s">
        <v>197</v>
      </c>
      <c r="G917" s="192">
        <f>1341.9+928.5-198.8-595.1+180</f>
        <v>1656.5</v>
      </c>
      <c r="H917" s="132" t="s">
        <v>909</v>
      </c>
      <c r="I917" s="153"/>
      <c r="J917" s="213"/>
    </row>
    <row r="918" spans="1:10" ht="15.75" x14ac:dyDescent="0.25">
      <c r="A918" s="24" t="s">
        <v>306</v>
      </c>
      <c r="B918" s="20">
        <v>908</v>
      </c>
      <c r="C918" s="25" t="s">
        <v>307</v>
      </c>
      <c r="D918" s="25"/>
      <c r="E918" s="25"/>
      <c r="F918" s="25"/>
      <c r="G918" s="22">
        <f t="shared" ref="G918:G923" si="153">G919</f>
        <v>87.1</v>
      </c>
      <c r="H918" s="221"/>
    </row>
    <row r="919" spans="1:10" ht="31.5" x14ac:dyDescent="0.25">
      <c r="A919" s="24" t="s">
        <v>321</v>
      </c>
      <c r="B919" s="20">
        <v>908</v>
      </c>
      <c r="C919" s="25" t="s">
        <v>307</v>
      </c>
      <c r="D919" s="25" t="s">
        <v>183</v>
      </c>
      <c r="E919" s="25"/>
      <c r="F919" s="25"/>
      <c r="G919" s="22">
        <f t="shared" si="153"/>
        <v>87.1</v>
      </c>
      <c r="H919" s="221"/>
    </row>
    <row r="920" spans="1:10" ht="15.75" x14ac:dyDescent="0.25">
      <c r="A920" s="26" t="s">
        <v>184</v>
      </c>
      <c r="B920" s="17">
        <v>908</v>
      </c>
      <c r="C920" s="21" t="s">
        <v>307</v>
      </c>
      <c r="D920" s="21" t="s">
        <v>183</v>
      </c>
      <c r="E920" s="21" t="s">
        <v>185</v>
      </c>
      <c r="F920" s="21"/>
      <c r="G920" s="22">
        <f t="shared" si="153"/>
        <v>87.1</v>
      </c>
      <c r="H920" s="221"/>
    </row>
    <row r="921" spans="1:10" ht="15.75" x14ac:dyDescent="0.25">
      <c r="A921" s="26" t="s">
        <v>204</v>
      </c>
      <c r="B921" s="17">
        <v>908</v>
      </c>
      <c r="C921" s="21" t="s">
        <v>307</v>
      </c>
      <c r="D921" s="21" t="s">
        <v>183</v>
      </c>
      <c r="E921" s="21" t="s">
        <v>205</v>
      </c>
      <c r="F921" s="21"/>
      <c r="G921" s="27">
        <f t="shared" si="153"/>
        <v>87.1</v>
      </c>
      <c r="H921" s="221"/>
    </row>
    <row r="922" spans="1:10" ht="15.75" x14ac:dyDescent="0.25">
      <c r="A922" s="26" t="s">
        <v>637</v>
      </c>
      <c r="B922" s="17">
        <v>908</v>
      </c>
      <c r="C922" s="21" t="s">
        <v>307</v>
      </c>
      <c r="D922" s="21" t="s">
        <v>183</v>
      </c>
      <c r="E922" s="21" t="s">
        <v>638</v>
      </c>
      <c r="F922" s="21"/>
      <c r="G922" s="27">
        <f t="shared" si="153"/>
        <v>87.1</v>
      </c>
      <c r="H922" s="221"/>
    </row>
    <row r="923" spans="1:10" ht="15.75" x14ac:dyDescent="0.25">
      <c r="A923" s="26" t="s">
        <v>198</v>
      </c>
      <c r="B923" s="17">
        <v>908</v>
      </c>
      <c r="C923" s="21" t="s">
        <v>307</v>
      </c>
      <c r="D923" s="21" t="s">
        <v>183</v>
      </c>
      <c r="E923" s="21" t="s">
        <v>638</v>
      </c>
      <c r="F923" s="21" t="s">
        <v>208</v>
      </c>
      <c r="G923" s="27">
        <f t="shared" si="153"/>
        <v>87.1</v>
      </c>
      <c r="H923" s="221"/>
    </row>
    <row r="924" spans="1:10" ht="63" x14ac:dyDescent="0.25">
      <c r="A924" s="26" t="s">
        <v>247</v>
      </c>
      <c r="B924" s="17">
        <v>908</v>
      </c>
      <c r="C924" s="21" t="s">
        <v>307</v>
      </c>
      <c r="D924" s="21" t="s">
        <v>183</v>
      </c>
      <c r="E924" s="21" t="s">
        <v>638</v>
      </c>
      <c r="F924" s="21" t="s">
        <v>223</v>
      </c>
      <c r="G924" s="27">
        <v>87.1</v>
      </c>
      <c r="H924" s="221"/>
    </row>
    <row r="925" spans="1:10" ht="31.5" x14ac:dyDescent="0.25">
      <c r="A925" s="20" t="s">
        <v>639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21"/>
    </row>
    <row r="926" spans="1:10" ht="15.75" x14ac:dyDescent="0.25">
      <c r="A926" s="24" t="s">
        <v>180</v>
      </c>
      <c r="B926" s="20">
        <v>910</v>
      </c>
      <c r="C926" s="25" t="s">
        <v>181</v>
      </c>
      <c r="D926" s="25"/>
      <c r="E926" s="25"/>
      <c r="F926" s="25"/>
      <c r="G926" s="22">
        <f>G927+G935+G945+G953</f>
        <v>7042.5</v>
      </c>
      <c r="H926" s="221"/>
    </row>
    <row r="927" spans="1:10" ht="47.25" x14ac:dyDescent="0.25">
      <c r="A927" s="24" t="s">
        <v>640</v>
      </c>
      <c r="B927" s="20">
        <v>910</v>
      </c>
      <c r="C927" s="25" t="s">
        <v>181</v>
      </c>
      <c r="D927" s="25" t="s">
        <v>276</v>
      </c>
      <c r="E927" s="25"/>
      <c r="F927" s="25"/>
      <c r="G927" s="22">
        <f>G928</f>
        <v>4188.8</v>
      </c>
      <c r="H927" s="221"/>
    </row>
    <row r="928" spans="1:10" ht="15.75" x14ac:dyDescent="0.25">
      <c r="A928" s="26" t="s">
        <v>184</v>
      </c>
      <c r="B928" s="17">
        <v>910</v>
      </c>
      <c r="C928" s="21" t="s">
        <v>181</v>
      </c>
      <c r="D928" s="21" t="s">
        <v>276</v>
      </c>
      <c r="E928" s="21" t="s">
        <v>185</v>
      </c>
      <c r="F928" s="21"/>
      <c r="G928" s="27">
        <f t="shared" ref="G928" si="154">G929</f>
        <v>4188.8</v>
      </c>
      <c r="H928" s="221"/>
    </row>
    <row r="929" spans="1:10" ht="31.5" x14ac:dyDescent="0.25">
      <c r="A929" s="26" t="s">
        <v>186</v>
      </c>
      <c r="B929" s="17">
        <v>910</v>
      </c>
      <c r="C929" s="21" t="s">
        <v>181</v>
      </c>
      <c r="D929" s="21" t="s">
        <v>276</v>
      </c>
      <c r="E929" s="21" t="s">
        <v>187</v>
      </c>
      <c r="F929" s="21"/>
      <c r="G929" s="27">
        <f>G930</f>
        <v>4188.8</v>
      </c>
      <c r="H929" s="221"/>
    </row>
    <row r="930" spans="1:10" ht="47.25" x14ac:dyDescent="0.25">
      <c r="A930" s="26" t="s">
        <v>641</v>
      </c>
      <c r="B930" s="17">
        <v>910</v>
      </c>
      <c r="C930" s="21" t="s">
        <v>181</v>
      </c>
      <c r="D930" s="21" t="s">
        <v>276</v>
      </c>
      <c r="E930" s="21" t="s">
        <v>642</v>
      </c>
      <c r="F930" s="21"/>
      <c r="G930" s="27">
        <f t="shared" ref="G930" si="155">G931+G933</f>
        <v>4188.8</v>
      </c>
      <c r="H930" s="221"/>
    </row>
    <row r="931" spans="1:10" ht="94.5" x14ac:dyDescent="0.25">
      <c r="A931" s="26" t="s">
        <v>190</v>
      </c>
      <c r="B931" s="17">
        <v>910</v>
      </c>
      <c r="C931" s="21" t="s">
        <v>181</v>
      </c>
      <c r="D931" s="21" t="s">
        <v>276</v>
      </c>
      <c r="E931" s="21" t="s">
        <v>642</v>
      </c>
      <c r="F931" s="21" t="s">
        <v>191</v>
      </c>
      <c r="G931" s="27">
        <f>G932+G933</f>
        <v>4188.8</v>
      </c>
      <c r="H931" s="221"/>
    </row>
    <row r="932" spans="1:10" ht="31.5" x14ac:dyDescent="0.25">
      <c r="A932" s="26" t="s">
        <v>192</v>
      </c>
      <c r="B932" s="17">
        <v>910</v>
      </c>
      <c r="C932" s="21" t="s">
        <v>181</v>
      </c>
      <c r="D932" s="21" t="s">
        <v>276</v>
      </c>
      <c r="E932" s="21" t="s">
        <v>642</v>
      </c>
      <c r="F932" s="21" t="s">
        <v>193</v>
      </c>
      <c r="G932" s="28">
        <v>4188.8</v>
      </c>
      <c r="H932" s="221"/>
      <c r="J932" s="213" t="s">
        <v>903</v>
      </c>
    </row>
    <row r="933" spans="1:10" ht="47.25" hidden="1" x14ac:dyDescent="0.25">
      <c r="A933" s="26" t="s">
        <v>261</v>
      </c>
      <c r="B933" s="17">
        <v>910</v>
      </c>
      <c r="C933" s="21" t="s">
        <v>181</v>
      </c>
      <c r="D933" s="21" t="s">
        <v>276</v>
      </c>
      <c r="E933" s="21" t="s">
        <v>642</v>
      </c>
      <c r="F933" s="21" t="s">
        <v>195</v>
      </c>
      <c r="G933" s="27">
        <f t="shared" ref="G933" si="156">G934</f>
        <v>0</v>
      </c>
      <c r="H933" s="221"/>
    </row>
    <row r="934" spans="1:10" ht="47.25" hidden="1" x14ac:dyDescent="0.25">
      <c r="A934" s="26" t="s">
        <v>196</v>
      </c>
      <c r="B934" s="17">
        <v>910</v>
      </c>
      <c r="C934" s="21" t="s">
        <v>181</v>
      </c>
      <c r="D934" s="21" t="s">
        <v>276</v>
      </c>
      <c r="E934" s="21" t="s">
        <v>642</v>
      </c>
      <c r="F934" s="21" t="s">
        <v>197</v>
      </c>
      <c r="G934" s="27"/>
      <c r="H934" s="221"/>
    </row>
    <row r="935" spans="1:10" ht="78.75" x14ac:dyDescent="0.25">
      <c r="A935" s="24" t="s">
        <v>643</v>
      </c>
      <c r="B935" s="20">
        <v>910</v>
      </c>
      <c r="C935" s="25" t="s">
        <v>181</v>
      </c>
      <c r="D935" s="25" t="s">
        <v>278</v>
      </c>
      <c r="E935" s="25"/>
      <c r="F935" s="25"/>
      <c r="G935" s="22">
        <f>G936</f>
        <v>1138.7</v>
      </c>
      <c r="H935" s="221"/>
    </row>
    <row r="936" spans="1:10" ht="15.75" x14ac:dyDescent="0.25">
      <c r="A936" s="26" t="s">
        <v>184</v>
      </c>
      <c r="B936" s="17">
        <v>910</v>
      </c>
      <c r="C936" s="21" t="s">
        <v>181</v>
      </c>
      <c r="D936" s="21" t="s">
        <v>278</v>
      </c>
      <c r="E936" s="21" t="s">
        <v>185</v>
      </c>
      <c r="F936" s="25"/>
      <c r="G936" s="27">
        <f t="shared" ref="G936" si="157">G937</f>
        <v>1138.7</v>
      </c>
      <c r="H936" s="221"/>
    </row>
    <row r="937" spans="1:10" ht="31.5" x14ac:dyDescent="0.25">
      <c r="A937" s="26" t="s">
        <v>186</v>
      </c>
      <c r="B937" s="17">
        <v>910</v>
      </c>
      <c r="C937" s="21" t="s">
        <v>181</v>
      </c>
      <c r="D937" s="21" t="s">
        <v>278</v>
      </c>
      <c r="E937" s="21" t="s">
        <v>187</v>
      </c>
      <c r="F937" s="25"/>
      <c r="G937" s="27">
        <f>G938</f>
        <v>1138.7</v>
      </c>
      <c r="H937" s="221"/>
    </row>
    <row r="938" spans="1:10" ht="47.25" x14ac:dyDescent="0.25">
      <c r="A938" s="26" t="s">
        <v>644</v>
      </c>
      <c r="B938" s="17">
        <v>910</v>
      </c>
      <c r="C938" s="21" t="s">
        <v>181</v>
      </c>
      <c r="D938" s="21" t="s">
        <v>278</v>
      </c>
      <c r="E938" s="21" t="s">
        <v>645</v>
      </c>
      <c r="F938" s="21"/>
      <c r="G938" s="27">
        <f t="shared" ref="G938" si="158">G939+G941+G943</f>
        <v>1138.7</v>
      </c>
      <c r="H938" s="221"/>
    </row>
    <row r="939" spans="1:10" ht="94.5" x14ac:dyDescent="0.25">
      <c r="A939" s="26" t="s">
        <v>190</v>
      </c>
      <c r="B939" s="17">
        <v>910</v>
      </c>
      <c r="C939" s="21" t="s">
        <v>181</v>
      </c>
      <c r="D939" s="21" t="s">
        <v>278</v>
      </c>
      <c r="E939" s="21" t="s">
        <v>645</v>
      </c>
      <c r="F939" s="21" t="s">
        <v>191</v>
      </c>
      <c r="G939" s="27">
        <f>G940</f>
        <v>1003.7</v>
      </c>
      <c r="H939" s="221"/>
    </row>
    <row r="940" spans="1:10" ht="31.5" x14ac:dyDescent="0.25">
      <c r="A940" s="26" t="s">
        <v>192</v>
      </c>
      <c r="B940" s="17">
        <v>910</v>
      </c>
      <c r="C940" s="21" t="s">
        <v>181</v>
      </c>
      <c r="D940" s="21" t="s">
        <v>278</v>
      </c>
      <c r="E940" s="21" t="s">
        <v>645</v>
      </c>
      <c r="F940" s="21" t="s">
        <v>193</v>
      </c>
      <c r="G940" s="27">
        <v>1003.7</v>
      </c>
      <c r="H940" s="221"/>
    </row>
    <row r="941" spans="1:10" ht="47.25" x14ac:dyDescent="0.25">
      <c r="A941" s="26" t="s">
        <v>261</v>
      </c>
      <c r="B941" s="17">
        <v>910</v>
      </c>
      <c r="C941" s="21" t="s">
        <v>181</v>
      </c>
      <c r="D941" s="21" t="s">
        <v>278</v>
      </c>
      <c r="E941" s="21" t="s">
        <v>645</v>
      </c>
      <c r="F941" s="21" t="s">
        <v>195</v>
      </c>
      <c r="G941" s="27">
        <f>G942</f>
        <v>135</v>
      </c>
      <c r="H941" s="221"/>
    </row>
    <row r="942" spans="1:10" ht="47.25" x14ac:dyDescent="0.25">
      <c r="A942" s="26" t="s">
        <v>196</v>
      </c>
      <c r="B942" s="17">
        <v>910</v>
      </c>
      <c r="C942" s="21" t="s">
        <v>181</v>
      </c>
      <c r="D942" s="21" t="s">
        <v>278</v>
      </c>
      <c r="E942" s="21" t="s">
        <v>645</v>
      </c>
      <c r="F942" s="21" t="s">
        <v>197</v>
      </c>
      <c r="G942" s="27">
        <v>135</v>
      </c>
      <c r="H942" s="221"/>
    </row>
    <row r="943" spans="1:10" ht="15.75" hidden="1" x14ac:dyDescent="0.25">
      <c r="A943" s="26" t="s">
        <v>198</v>
      </c>
      <c r="B943" s="17">
        <v>910</v>
      </c>
      <c r="C943" s="21" t="s">
        <v>181</v>
      </c>
      <c r="D943" s="21" t="s">
        <v>278</v>
      </c>
      <c r="E943" s="21" t="s">
        <v>645</v>
      </c>
      <c r="F943" s="21" t="s">
        <v>208</v>
      </c>
      <c r="G943" s="27">
        <f t="shared" ref="G943" si="159">G944</f>
        <v>0</v>
      </c>
      <c r="H943" s="221"/>
    </row>
    <row r="944" spans="1:10" ht="15.75" hidden="1" x14ac:dyDescent="0.25">
      <c r="A944" s="26" t="s">
        <v>633</v>
      </c>
      <c r="B944" s="17">
        <v>910</v>
      </c>
      <c r="C944" s="21" t="s">
        <v>181</v>
      </c>
      <c r="D944" s="21" t="s">
        <v>278</v>
      </c>
      <c r="E944" s="21" t="s">
        <v>645</v>
      </c>
      <c r="F944" s="21" t="s">
        <v>201</v>
      </c>
      <c r="G944" s="27">
        <v>0</v>
      </c>
      <c r="H944" s="221"/>
    </row>
    <row r="945" spans="1:10" ht="63" x14ac:dyDescent="0.25">
      <c r="A945" s="24" t="s">
        <v>182</v>
      </c>
      <c r="B945" s="20">
        <v>910</v>
      </c>
      <c r="C945" s="25" t="s">
        <v>181</v>
      </c>
      <c r="D945" s="25" t="s">
        <v>183</v>
      </c>
      <c r="E945" s="25"/>
      <c r="F945" s="25"/>
      <c r="G945" s="22">
        <f>G946</f>
        <v>1682.5</v>
      </c>
      <c r="H945" s="221"/>
    </row>
    <row r="946" spans="1:10" s="138" customFormat="1" ht="15.75" x14ac:dyDescent="0.25">
      <c r="A946" s="26" t="s">
        <v>184</v>
      </c>
      <c r="B946" s="17">
        <v>910</v>
      </c>
      <c r="C946" s="21" t="s">
        <v>181</v>
      </c>
      <c r="D946" s="21" t="s">
        <v>183</v>
      </c>
      <c r="E946" s="21" t="s">
        <v>185</v>
      </c>
      <c r="F946" s="21"/>
      <c r="G946" s="27">
        <f>G947</f>
        <v>1682.5</v>
      </c>
      <c r="H946" s="221"/>
      <c r="I946" s="156"/>
    </row>
    <row r="947" spans="1:10" s="138" customFormat="1" ht="31.5" x14ac:dyDescent="0.25">
      <c r="A947" s="26" t="s">
        <v>186</v>
      </c>
      <c r="B947" s="17">
        <v>910</v>
      </c>
      <c r="C947" s="21" t="s">
        <v>181</v>
      </c>
      <c r="D947" s="21" t="s">
        <v>183</v>
      </c>
      <c r="E947" s="21" t="s">
        <v>187</v>
      </c>
      <c r="F947" s="21"/>
      <c r="G947" s="27">
        <f>G948</f>
        <v>1682.5</v>
      </c>
      <c r="H947" s="221"/>
      <c r="I947" s="156"/>
    </row>
    <row r="948" spans="1:10" s="138" customFormat="1" ht="47.25" x14ac:dyDescent="0.25">
      <c r="A948" s="26" t="s">
        <v>188</v>
      </c>
      <c r="B948" s="17">
        <v>910</v>
      </c>
      <c r="C948" s="21" t="s">
        <v>181</v>
      </c>
      <c r="D948" s="21" t="s">
        <v>183</v>
      </c>
      <c r="E948" s="21" t="s">
        <v>189</v>
      </c>
      <c r="F948" s="21"/>
      <c r="G948" s="27">
        <f>G949+G951</f>
        <v>1682.5</v>
      </c>
      <c r="H948" s="221"/>
      <c r="I948" s="156"/>
    </row>
    <row r="949" spans="1:10" ht="94.5" x14ac:dyDescent="0.25">
      <c r="A949" s="26" t="s">
        <v>190</v>
      </c>
      <c r="B949" s="17">
        <v>910</v>
      </c>
      <c r="C949" s="21" t="s">
        <v>181</v>
      </c>
      <c r="D949" s="21" t="s">
        <v>183</v>
      </c>
      <c r="E949" s="21" t="s">
        <v>189</v>
      </c>
      <c r="F949" s="21" t="s">
        <v>191</v>
      </c>
      <c r="G949" s="27">
        <f>G950</f>
        <v>1664.2</v>
      </c>
      <c r="H949" s="221"/>
    </row>
    <row r="950" spans="1:10" ht="31.5" x14ac:dyDescent="0.25">
      <c r="A950" s="26" t="s">
        <v>192</v>
      </c>
      <c r="B950" s="17">
        <v>910</v>
      </c>
      <c r="C950" s="21" t="s">
        <v>181</v>
      </c>
      <c r="D950" s="21" t="s">
        <v>183</v>
      </c>
      <c r="E950" s="21" t="s">
        <v>189</v>
      </c>
      <c r="F950" s="21" t="s">
        <v>193</v>
      </c>
      <c r="G950" s="27">
        <v>1664.2</v>
      </c>
      <c r="H950" s="221"/>
      <c r="J950" s="216" t="s">
        <v>904</v>
      </c>
    </row>
    <row r="951" spans="1:10" ht="47.25" x14ac:dyDescent="0.25">
      <c r="A951" s="26" t="s">
        <v>261</v>
      </c>
      <c r="B951" s="17">
        <v>910</v>
      </c>
      <c r="C951" s="21" t="s">
        <v>181</v>
      </c>
      <c r="D951" s="21" t="s">
        <v>183</v>
      </c>
      <c r="E951" s="21" t="s">
        <v>189</v>
      </c>
      <c r="F951" s="21" t="s">
        <v>195</v>
      </c>
      <c r="G951" s="27">
        <f>G952</f>
        <v>18.3</v>
      </c>
      <c r="H951" s="221"/>
    </row>
    <row r="952" spans="1:10" ht="47.25" x14ac:dyDescent="0.25">
      <c r="A952" s="26" t="s">
        <v>196</v>
      </c>
      <c r="B952" s="17">
        <v>910</v>
      </c>
      <c r="C952" s="21" t="s">
        <v>181</v>
      </c>
      <c r="D952" s="21" t="s">
        <v>183</v>
      </c>
      <c r="E952" s="21" t="s">
        <v>189</v>
      </c>
      <c r="F952" s="21" t="s">
        <v>197</v>
      </c>
      <c r="G952" s="27">
        <v>18.3</v>
      </c>
      <c r="H952" s="221"/>
    </row>
    <row r="953" spans="1:10" ht="15.75" x14ac:dyDescent="0.25">
      <c r="A953" s="24" t="s">
        <v>202</v>
      </c>
      <c r="B953" s="20">
        <v>910</v>
      </c>
      <c r="C953" s="25" t="s">
        <v>181</v>
      </c>
      <c r="D953" s="25" t="s">
        <v>203</v>
      </c>
      <c r="E953" s="136"/>
      <c r="F953" s="21"/>
      <c r="G953" s="22">
        <f>G954+G958</f>
        <v>32.5</v>
      </c>
      <c r="H953" s="221"/>
    </row>
    <row r="954" spans="1:10" ht="47.25" x14ac:dyDescent="0.25">
      <c r="A954" s="26" t="s">
        <v>224</v>
      </c>
      <c r="B954" s="17">
        <v>910</v>
      </c>
      <c r="C954" s="21" t="s">
        <v>181</v>
      </c>
      <c r="D954" s="21" t="s">
        <v>203</v>
      </c>
      <c r="E954" s="21" t="s">
        <v>225</v>
      </c>
      <c r="F954" s="21"/>
      <c r="G954" s="27">
        <f>G955</f>
        <v>0.5</v>
      </c>
      <c r="H954" s="221"/>
    </row>
    <row r="955" spans="1:10" ht="63" x14ac:dyDescent="0.25">
      <c r="A955" s="33" t="s">
        <v>802</v>
      </c>
      <c r="B955" s="17">
        <v>910</v>
      </c>
      <c r="C955" s="21" t="s">
        <v>181</v>
      </c>
      <c r="D955" s="21" t="s">
        <v>203</v>
      </c>
      <c r="E955" s="42" t="s">
        <v>803</v>
      </c>
      <c r="F955" s="21"/>
      <c r="G955" s="27">
        <f>G956</f>
        <v>0.5</v>
      </c>
      <c r="H955" s="221"/>
    </row>
    <row r="956" spans="1:10" ht="31.5" x14ac:dyDescent="0.25">
      <c r="A956" s="26" t="s">
        <v>194</v>
      </c>
      <c r="B956" s="17">
        <v>910</v>
      </c>
      <c r="C956" s="21" t="s">
        <v>181</v>
      </c>
      <c r="D956" s="21" t="s">
        <v>203</v>
      </c>
      <c r="E956" s="42" t="s">
        <v>803</v>
      </c>
      <c r="F956" s="21" t="s">
        <v>195</v>
      </c>
      <c r="G956" s="27">
        <f>G957</f>
        <v>0.5</v>
      </c>
      <c r="H956" s="221"/>
    </row>
    <row r="957" spans="1:10" ht="47.25" x14ac:dyDescent="0.25">
      <c r="A957" s="26" t="s">
        <v>196</v>
      </c>
      <c r="B957" s="17">
        <v>910</v>
      </c>
      <c r="C957" s="21" t="s">
        <v>181</v>
      </c>
      <c r="D957" s="21" t="s">
        <v>203</v>
      </c>
      <c r="E957" s="42" t="s">
        <v>803</v>
      </c>
      <c r="F957" s="21" t="s">
        <v>197</v>
      </c>
      <c r="G957" s="27">
        <v>0.5</v>
      </c>
      <c r="H957" s="221"/>
    </row>
    <row r="958" spans="1:10" ht="15.75" x14ac:dyDescent="0.25">
      <c r="A958" s="33" t="s">
        <v>184</v>
      </c>
      <c r="B958" s="17">
        <v>910</v>
      </c>
      <c r="C958" s="21" t="s">
        <v>181</v>
      </c>
      <c r="D958" s="21" t="s">
        <v>203</v>
      </c>
      <c r="E958" s="21" t="s">
        <v>185</v>
      </c>
      <c r="F958" s="21"/>
      <c r="G958" s="27">
        <f>G959</f>
        <v>32</v>
      </c>
      <c r="H958" s="221"/>
    </row>
    <row r="959" spans="1:10" ht="31.5" x14ac:dyDescent="0.25">
      <c r="A959" s="33" t="s">
        <v>248</v>
      </c>
      <c r="B959" s="17">
        <v>910</v>
      </c>
      <c r="C959" s="21" t="s">
        <v>181</v>
      </c>
      <c r="D959" s="21" t="s">
        <v>203</v>
      </c>
      <c r="E959" s="21" t="s">
        <v>249</v>
      </c>
      <c r="F959" s="21"/>
      <c r="G959" s="27">
        <f>G960</f>
        <v>32</v>
      </c>
      <c r="H959" s="221"/>
    </row>
    <row r="960" spans="1:10" ht="63" x14ac:dyDescent="0.25">
      <c r="A960" s="33" t="s">
        <v>802</v>
      </c>
      <c r="B960" s="17">
        <v>910</v>
      </c>
      <c r="C960" s="21" t="s">
        <v>181</v>
      </c>
      <c r="D960" s="21" t="s">
        <v>203</v>
      </c>
      <c r="E960" s="21" t="s">
        <v>804</v>
      </c>
      <c r="F960" s="21"/>
      <c r="G960" s="27">
        <f>G961</f>
        <v>32</v>
      </c>
      <c r="H960" s="221"/>
    </row>
    <row r="961" spans="1:12" ht="31.5" x14ac:dyDescent="0.25">
      <c r="A961" s="26" t="s">
        <v>194</v>
      </c>
      <c r="B961" s="17">
        <v>910</v>
      </c>
      <c r="C961" s="21" t="s">
        <v>181</v>
      </c>
      <c r="D961" s="21" t="s">
        <v>203</v>
      </c>
      <c r="E961" s="21" t="s">
        <v>804</v>
      </c>
      <c r="F961" s="21" t="s">
        <v>195</v>
      </c>
      <c r="G961" s="27">
        <f>G962</f>
        <v>32</v>
      </c>
      <c r="H961" s="221"/>
    </row>
    <row r="962" spans="1:12" ht="47.25" x14ac:dyDescent="0.25">
      <c r="A962" s="26" t="s">
        <v>196</v>
      </c>
      <c r="B962" s="17">
        <v>910</v>
      </c>
      <c r="C962" s="21" t="s">
        <v>181</v>
      </c>
      <c r="D962" s="21" t="s">
        <v>203</v>
      </c>
      <c r="E962" s="21" t="s">
        <v>804</v>
      </c>
      <c r="F962" s="21" t="s">
        <v>197</v>
      </c>
      <c r="G962" s="27">
        <v>32</v>
      </c>
      <c r="H962" s="137"/>
    </row>
    <row r="963" spans="1:12" ht="31.5" x14ac:dyDescent="0.25">
      <c r="A963" s="24" t="s">
        <v>646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21"/>
    </row>
    <row r="964" spans="1:12" ht="15.75" x14ac:dyDescent="0.25">
      <c r="A964" s="24" t="s">
        <v>647</v>
      </c>
      <c r="B964" s="20">
        <v>913</v>
      </c>
      <c r="C964" s="25" t="s">
        <v>301</v>
      </c>
      <c r="D964" s="21"/>
      <c r="E964" s="21"/>
      <c r="F964" s="21"/>
      <c r="G964" s="27">
        <f>G965</f>
        <v>6309.8</v>
      </c>
      <c r="H964" s="221"/>
    </row>
    <row r="965" spans="1:12" ht="15.75" x14ac:dyDescent="0.25">
      <c r="A965" s="24" t="s">
        <v>648</v>
      </c>
      <c r="B965" s="20">
        <v>913</v>
      </c>
      <c r="C965" s="25" t="s">
        <v>301</v>
      </c>
      <c r="D965" s="25" t="s">
        <v>276</v>
      </c>
      <c r="E965" s="25"/>
      <c r="F965" s="25"/>
      <c r="G965" s="27">
        <f t="shared" si="160"/>
        <v>6309.8</v>
      </c>
      <c r="H965" s="221"/>
    </row>
    <row r="966" spans="1:12" ht="15.75" x14ac:dyDescent="0.25">
      <c r="A966" s="26" t="s">
        <v>184</v>
      </c>
      <c r="B966" s="17">
        <v>913</v>
      </c>
      <c r="C966" s="21" t="s">
        <v>301</v>
      </c>
      <c r="D966" s="21" t="s">
        <v>276</v>
      </c>
      <c r="E966" s="21" t="s">
        <v>185</v>
      </c>
      <c r="F966" s="21"/>
      <c r="G966" s="27">
        <f>G967</f>
        <v>6309.8</v>
      </c>
      <c r="H966" s="221"/>
    </row>
    <row r="967" spans="1:12" ht="31.5" x14ac:dyDescent="0.25">
      <c r="A967" s="26" t="s">
        <v>649</v>
      </c>
      <c r="B967" s="17">
        <v>913</v>
      </c>
      <c r="C967" s="21" t="s">
        <v>301</v>
      </c>
      <c r="D967" s="21" t="s">
        <v>276</v>
      </c>
      <c r="E967" s="21" t="s">
        <v>650</v>
      </c>
      <c r="F967" s="21"/>
      <c r="G967" s="27">
        <f t="shared" si="160"/>
        <v>6309.8</v>
      </c>
      <c r="H967" s="221"/>
    </row>
    <row r="968" spans="1:12" ht="31.5" x14ac:dyDescent="0.25">
      <c r="A968" s="26" t="s">
        <v>373</v>
      </c>
      <c r="B968" s="17">
        <v>913</v>
      </c>
      <c r="C968" s="21" t="s">
        <v>301</v>
      </c>
      <c r="D968" s="21" t="s">
        <v>276</v>
      </c>
      <c r="E968" s="21" t="s">
        <v>651</v>
      </c>
      <c r="F968" s="21"/>
      <c r="G968" s="27">
        <f>G969+G971+G973</f>
        <v>6309.8</v>
      </c>
      <c r="H968" s="221"/>
    </row>
    <row r="969" spans="1:12" ht="94.5" x14ac:dyDescent="0.25">
      <c r="A969" s="26" t="s">
        <v>190</v>
      </c>
      <c r="B969" s="17">
        <v>913</v>
      </c>
      <c r="C969" s="21" t="s">
        <v>301</v>
      </c>
      <c r="D969" s="21" t="s">
        <v>276</v>
      </c>
      <c r="E969" s="21" t="s">
        <v>651</v>
      </c>
      <c r="F969" s="21" t="s">
        <v>191</v>
      </c>
      <c r="G969" s="27">
        <f t="shared" ref="G969" si="161">G970</f>
        <v>5371.7</v>
      </c>
      <c r="H969" s="221"/>
    </row>
    <row r="970" spans="1:12" ht="31.5" x14ac:dyDescent="0.25">
      <c r="A970" s="26" t="s">
        <v>271</v>
      </c>
      <c r="B970" s="17">
        <v>913</v>
      </c>
      <c r="C970" s="21" t="s">
        <v>301</v>
      </c>
      <c r="D970" s="21" t="s">
        <v>276</v>
      </c>
      <c r="E970" s="21" t="s">
        <v>651</v>
      </c>
      <c r="F970" s="21" t="s">
        <v>272</v>
      </c>
      <c r="G970" s="28">
        <v>5371.7</v>
      </c>
      <c r="H970" s="221"/>
    </row>
    <row r="971" spans="1:12" ht="31.5" x14ac:dyDescent="0.25">
      <c r="A971" s="26" t="s">
        <v>194</v>
      </c>
      <c r="B971" s="17">
        <v>913</v>
      </c>
      <c r="C971" s="21" t="s">
        <v>301</v>
      </c>
      <c r="D971" s="21" t="s">
        <v>276</v>
      </c>
      <c r="E971" s="21" t="s">
        <v>651</v>
      </c>
      <c r="F971" s="21" t="s">
        <v>195</v>
      </c>
      <c r="G971" s="27">
        <f t="shared" ref="G971" si="162">G972</f>
        <v>928.1</v>
      </c>
      <c r="H971" s="221"/>
    </row>
    <row r="972" spans="1:12" ht="47.25" x14ac:dyDescent="0.25">
      <c r="A972" s="26" t="s">
        <v>196</v>
      </c>
      <c r="B972" s="17">
        <v>913</v>
      </c>
      <c r="C972" s="21" t="s">
        <v>301</v>
      </c>
      <c r="D972" s="21" t="s">
        <v>276</v>
      </c>
      <c r="E972" s="21" t="s">
        <v>651</v>
      </c>
      <c r="F972" s="21" t="s">
        <v>197</v>
      </c>
      <c r="G972" s="28">
        <f>898.3+28.1+1.7</f>
        <v>928.1</v>
      </c>
      <c r="H972" s="132"/>
      <c r="I972" s="153"/>
    </row>
    <row r="973" spans="1:12" ht="15.75" x14ac:dyDescent="0.25">
      <c r="A973" s="26" t="s">
        <v>198</v>
      </c>
      <c r="B973" s="17">
        <v>913</v>
      </c>
      <c r="C973" s="21" t="s">
        <v>301</v>
      </c>
      <c r="D973" s="21" t="s">
        <v>276</v>
      </c>
      <c r="E973" s="21" t="s">
        <v>651</v>
      </c>
      <c r="F973" s="21" t="s">
        <v>208</v>
      </c>
      <c r="G973" s="27">
        <f t="shared" ref="G973" si="163">G974</f>
        <v>10</v>
      </c>
      <c r="H973" s="221"/>
    </row>
    <row r="974" spans="1:12" ht="15.75" x14ac:dyDescent="0.25">
      <c r="A974" s="26" t="s">
        <v>633</v>
      </c>
      <c r="B974" s="17">
        <v>913</v>
      </c>
      <c r="C974" s="21" t="s">
        <v>301</v>
      </c>
      <c r="D974" s="21" t="s">
        <v>276</v>
      </c>
      <c r="E974" s="21" t="s">
        <v>651</v>
      </c>
      <c r="F974" s="21" t="s">
        <v>201</v>
      </c>
      <c r="G974" s="27">
        <v>10</v>
      </c>
      <c r="H974" s="221"/>
    </row>
    <row r="975" spans="1:12" ht="18.75" x14ac:dyDescent="0.3">
      <c r="A975" s="50" t="s">
        <v>652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21"/>
      <c r="L975" s="142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40"/>
    </row>
    <row r="977" spans="1:12" ht="18.75" x14ac:dyDescent="0.3">
      <c r="A977" s="52"/>
      <c r="B977" s="52"/>
      <c r="C977" s="53"/>
      <c r="D977" s="53"/>
      <c r="E977" s="53"/>
      <c r="F977" s="128" t="s">
        <v>653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8" t="s">
        <v>654</v>
      </c>
      <c r="G978" s="54">
        <f>G98+G180+G186+G208+G214+G261+G273+G338+G444+G480+G494+G527+G581+G640+G694+G787+G827+G879+G623+G959</f>
        <v>204531.10000000003</v>
      </c>
      <c r="I978" s="144"/>
    </row>
    <row r="979" spans="1:12" ht="15.75" x14ac:dyDescent="0.25">
      <c r="A979" s="52"/>
      <c r="B979" s="52"/>
      <c r="C979" s="53"/>
      <c r="D979" s="55"/>
      <c r="E979" s="55"/>
      <c r="F979" s="55"/>
      <c r="G979" s="129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1"/>
      <c r="I981" s="145">
        <f>'прил.№2 Рд,пр'!D12</f>
        <v>115341.1</v>
      </c>
      <c r="L981" s="131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1"/>
      <c r="I982" s="145">
        <v>0</v>
      </c>
      <c r="L982" s="131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31"/>
      <c r="I983" s="145">
        <f>'прил.№2 Рд,пр'!D21</f>
        <v>5864.8</v>
      </c>
      <c r="L983" s="131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1"/>
      <c r="I984" s="145">
        <f>'прил.№2 Рд,пр'!D23</f>
        <v>19236.3</v>
      </c>
      <c r="L984" s="131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1"/>
      <c r="I985" s="145">
        <f>'прил.№2 Рд,пр'!D28</f>
        <v>85518.389999999985</v>
      </c>
      <c r="L985" s="131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1"/>
      <c r="I986" s="145">
        <f>'прил.№2 Рд,пр'!D33</f>
        <v>285366.40000000002</v>
      </c>
      <c r="L986" s="131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1"/>
      <c r="I987" s="145">
        <f>'прил.№2 Рд,пр'!D39</f>
        <v>64005.600000000006</v>
      </c>
      <c r="L987" s="131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1"/>
      <c r="I988" s="145">
        <f>'прил.№2 Рд,пр'!D42</f>
        <v>16581</v>
      </c>
      <c r="L988" s="131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31"/>
      <c r="I989" s="145">
        <f>'прил.№2 Рд,пр'!D47</f>
        <v>34873</v>
      </c>
      <c r="L989" s="131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1"/>
      <c r="I990" s="145">
        <f>'прил.№2 Рд,пр'!D50</f>
        <v>6584.5999999999995</v>
      </c>
      <c r="L990" s="131"/>
    </row>
    <row r="991" spans="1:12" ht="15.75" x14ac:dyDescent="0.25">
      <c r="A991" s="52"/>
      <c r="B991" s="52"/>
      <c r="C991" s="57"/>
      <c r="D991" s="55"/>
      <c r="E991" s="55"/>
      <c r="F991" s="55"/>
      <c r="G991" s="130">
        <f>SUM(G981:G990)</f>
        <v>665442.19000000018</v>
      </c>
      <c r="H991" s="131"/>
      <c r="I991" s="145">
        <f>'прил.№2 Рд,пр'!D52</f>
        <v>633371.18999999994</v>
      </c>
      <c r="L991" s="131"/>
    </row>
    <row r="992" spans="1:12" x14ac:dyDescent="0.25">
      <c r="G992" s="131"/>
      <c r="H992" s="131"/>
      <c r="I992" s="145"/>
    </row>
    <row r="993" spans="4:9" x14ac:dyDescent="0.25">
      <c r="D993" s="1" t="s">
        <v>655</v>
      </c>
      <c r="E993" s="1">
        <v>50</v>
      </c>
      <c r="G993" s="131">
        <f>G778</f>
        <v>15124.1</v>
      </c>
      <c r="H993" s="131"/>
      <c r="I993" s="145"/>
    </row>
    <row r="994" spans="4:9" x14ac:dyDescent="0.25">
      <c r="E994" s="1">
        <v>51</v>
      </c>
      <c r="G994" s="131">
        <f>G390</f>
        <v>3693</v>
      </c>
      <c r="H994" s="131"/>
      <c r="I994" s="145"/>
    </row>
    <row r="995" spans="4:9" x14ac:dyDescent="0.25">
      <c r="E995" s="1">
        <v>52</v>
      </c>
      <c r="G995" s="131">
        <f>G508+G547+G634+G613</f>
        <v>89244.700000000012</v>
      </c>
      <c r="H995" s="131"/>
      <c r="I995" s="145"/>
    </row>
    <row r="996" spans="4:9" x14ac:dyDescent="0.25">
      <c r="E996" s="1">
        <v>53</v>
      </c>
      <c r="G996" s="131">
        <f>G57</f>
        <v>250</v>
      </c>
      <c r="H996" s="131"/>
      <c r="I996" s="145"/>
    </row>
    <row r="997" spans="4:9" x14ac:dyDescent="0.25">
      <c r="E997" s="1">
        <v>54</v>
      </c>
      <c r="G997" s="131">
        <f>G61+G954</f>
        <v>654</v>
      </c>
      <c r="H997" s="131"/>
      <c r="I997" s="145"/>
    </row>
    <row r="998" spans="4:9" x14ac:dyDescent="0.25">
      <c r="E998" s="1">
        <v>55</v>
      </c>
      <c r="G998" s="131">
        <f>G203</f>
        <v>10</v>
      </c>
      <c r="H998" s="131"/>
      <c r="I998" s="145"/>
    </row>
    <row r="999" spans="4:9" x14ac:dyDescent="0.25">
      <c r="E999" s="1">
        <v>56</v>
      </c>
      <c r="G999" s="131">
        <f>G73</f>
        <v>80</v>
      </c>
      <c r="H999" s="131"/>
      <c r="I999" s="145"/>
    </row>
    <row r="1000" spans="4:9" x14ac:dyDescent="0.25">
      <c r="E1000" s="1">
        <v>57</v>
      </c>
      <c r="G1000" s="131">
        <f>G726+G706+G676</f>
        <v>36478.9</v>
      </c>
      <c r="H1000" s="131"/>
      <c r="I1000" s="145"/>
    </row>
    <row r="1001" spans="4:9" x14ac:dyDescent="0.25">
      <c r="E1001" s="1">
        <v>58</v>
      </c>
      <c r="G1001" s="131">
        <f>G279+G237</f>
        <v>58528.700000000004</v>
      </c>
      <c r="H1001" s="131"/>
      <c r="I1001" s="145"/>
    </row>
    <row r="1002" spans="4:9" x14ac:dyDescent="0.25">
      <c r="E1002" s="1">
        <v>59</v>
      </c>
      <c r="G1002" s="131">
        <f>G333</f>
        <v>200</v>
      </c>
      <c r="H1002" s="131"/>
      <c r="I1002" s="145"/>
    </row>
    <row r="1003" spans="4:9" x14ac:dyDescent="0.25">
      <c r="E1003" s="1">
        <v>60</v>
      </c>
      <c r="G1003" s="131">
        <f>G848</f>
        <v>12375.499999999998</v>
      </c>
      <c r="H1003" s="131"/>
      <c r="I1003" s="145"/>
    </row>
    <row r="1004" spans="4:9" x14ac:dyDescent="0.25">
      <c r="E1004" s="1">
        <v>61</v>
      </c>
      <c r="G1004" s="131">
        <f>G86</f>
        <v>120</v>
      </c>
      <c r="H1004" s="131"/>
      <c r="I1004" s="145"/>
    </row>
    <row r="1005" spans="4:9" x14ac:dyDescent="0.25">
      <c r="E1005" s="1">
        <v>62</v>
      </c>
      <c r="G1005" s="131">
        <f>G801</f>
        <v>5567.9000000000005</v>
      </c>
      <c r="H1005" s="131"/>
      <c r="I1005" s="145"/>
    </row>
    <row r="1006" spans="4:9" x14ac:dyDescent="0.25">
      <c r="E1006" s="1">
        <v>63</v>
      </c>
      <c r="G1006" s="131">
        <f>G359+G646</f>
        <v>145</v>
      </c>
      <c r="H1006" s="131"/>
      <c r="I1006" s="145"/>
    </row>
    <row r="1007" spans="4:9" x14ac:dyDescent="0.25">
      <c r="E1007" s="1">
        <v>64</v>
      </c>
      <c r="G1007" s="131">
        <f>G90+G369</f>
        <v>34</v>
      </c>
      <c r="H1007" s="131"/>
      <c r="I1007" s="145"/>
    </row>
    <row r="1008" spans="4:9" x14ac:dyDescent="0.25">
      <c r="E1008" s="1">
        <v>65</v>
      </c>
      <c r="G1008" s="131">
        <f>G874</f>
        <v>600</v>
      </c>
      <c r="H1008" s="131"/>
      <c r="I1008" s="145"/>
    </row>
    <row r="1009" spans="7:9" x14ac:dyDescent="0.25">
      <c r="G1009" s="131">
        <f>SUM(G993:G1008)</f>
        <v>223105.80000000002</v>
      </c>
      <c r="H1009" s="131"/>
      <c r="I1009" s="145"/>
    </row>
    <row r="1010" spans="7:9" x14ac:dyDescent="0.25">
      <c r="G1010" s="131"/>
      <c r="H1010" s="131"/>
      <c r="I1010" s="145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5"/>
  <sheetViews>
    <sheetView zoomScaleNormal="100" workbookViewId="0">
      <selection activeCell="F3" sqref="F3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8" max="8" width="12.5703125" customWidth="1"/>
    <col min="9" max="9" width="9.140625" style="133"/>
  </cols>
  <sheetData>
    <row r="1" spans="1:8" ht="18.75" x14ac:dyDescent="0.3">
      <c r="D1" s="1"/>
      <c r="F1" s="262" t="s">
        <v>171</v>
      </c>
    </row>
    <row r="2" spans="1:8" ht="18.75" x14ac:dyDescent="0.3">
      <c r="D2" s="1"/>
      <c r="F2" s="262" t="s">
        <v>657</v>
      </c>
    </row>
    <row r="3" spans="1:8" ht="18.75" x14ac:dyDescent="0.3">
      <c r="D3" s="1"/>
      <c r="F3" s="191" t="s">
        <v>1032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280" t="s">
        <v>853</v>
      </c>
      <c r="B5" s="280"/>
      <c r="C5" s="280"/>
      <c r="D5" s="280"/>
      <c r="E5" s="280"/>
      <c r="F5" s="280"/>
      <c r="G5" s="280"/>
    </row>
    <row r="6" spans="1:8" ht="16.5" x14ac:dyDescent="0.25">
      <c r="A6" s="148"/>
      <c r="B6" s="148"/>
      <c r="C6" s="148"/>
      <c r="D6" s="75"/>
      <c r="E6" s="75"/>
      <c r="F6" s="75"/>
      <c r="G6" s="259"/>
    </row>
    <row r="7" spans="1:8" ht="15.75" x14ac:dyDescent="0.25">
      <c r="A7" s="73"/>
      <c r="B7" s="73"/>
      <c r="C7" s="73"/>
      <c r="D7" s="73"/>
      <c r="E7" s="76"/>
      <c r="F7" s="76"/>
      <c r="G7" s="77" t="s">
        <v>4</v>
      </c>
    </row>
    <row r="8" spans="1:8" ht="31.5" x14ac:dyDescent="0.25">
      <c r="A8" s="78" t="s">
        <v>659</v>
      </c>
      <c r="B8" s="78" t="s">
        <v>715</v>
      </c>
      <c r="C8" s="78" t="s">
        <v>716</v>
      </c>
      <c r="D8" s="78" t="s">
        <v>717</v>
      </c>
      <c r="E8" s="78" t="s">
        <v>718</v>
      </c>
      <c r="F8" s="78" t="s">
        <v>719</v>
      </c>
      <c r="G8" s="6" t="s">
        <v>7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720</v>
      </c>
      <c r="B10" s="8" t="s">
        <v>574</v>
      </c>
      <c r="C10" s="8"/>
      <c r="D10" s="8"/>
      <c r="E10" s="8"/>
      <c r="F10" s="8"/>
      <c r="G10" s="4">
        <f>G13</f>
        <v>14368.9</v>
      </c>
    </row>
    <row r="11" spans="1:8" ht="15.75" x14ac:dyDescent="0.25">
      <c r="A11" s="31" t="s">
        <v>295</v>
      </c>
      <c r="B11" s="42" t="s">
        <v>574</v>
      </c>
      <c r="C11" s="42" t="s">
        <v>213</v>
      </c>
      <c r="D11" s="42"/>
      <c r="E11" s="42"/>
      <c r="F11" s="42"/>
      <c r="G11" s="7">
        <f>G12</f>
        <v>14368.9</v>
      </c>
    </row>
    <row r="12" spans="1:8" ht="31.5" x14ac:dyDescent="0.25">
      <c r="A12" s="31" t="s">
        <v>572</v>
      </c>
      <c r="B12" s="42" t="s">
        <v>574</v>
      </c>
      <c r="C12" s="42" t="s">
        <v>213</v>
      </c>
      <c r="D12" s="42" t="s">
        <v>282</v>
      </c>
      <c r="E12" s="42"/>
      <c r="F12" s="42"/>
      <c r="G12" s="7">
        <f>G13</f>
        <v>14368.9</v>
      </c>
    </row>
    <row r="13" spans="1:8" ht="15.75" x14ac:dyDescent="0.25">
      <c r="A13" s="31" t="s">
        <v>575</v>
      </c>
      <c r="B13" s="42" t="s">
        <v>576</v>
      </c>
      <c r="C13" s="42" t="s">
        <v>213</v>
      </c>
      <c r="D13" s="42" t="s">
        <v>282</v>
      </c>
      <c r="E13" s="42"/>
      <c r="F13" s="42"/>
      <c r="G13" s="7">
        <f>G14+G16</f>
        <v>14368.9</v>
      </c>
    </row>
    <row r="14" spans="1:8" ht="47.25" x14ac:dyDescent="0.25">
      <c r="A14" s="31" t="s">
        <v>194</v>
      </c>
      <c r="B14" s="42" t="s">
        <v>576</v>
      </c>
      <c r="C14" s="42" t="s">
        <v>213</v>
      </c>
      <c r="D14" s="42" t="s">
        <v>282</v>
      </c>
      <c r="E14" s="42" t="s">
        <v>195</v>
      </c>
      <c r="F14" s="42"/>
      <c r="G14" s="7">
        <f>G15</f>
        <v>14342.9</v>
      </c>
    </row>
    <row r="15" spans="1:8" ht="47.25" x14ac:dyDescent="0.25">
      <c r="A15" s="31" t="s">
        <v>196</v>
      </c>
      <c r="B15" s="42" t="s">
        <v>576</v>
      </c>
      <c r="C15" s="42" t="s">
        <v>213</v>
      </c>
      <c r="D15" s="42" t="s">
        <v>282</v>
      </c>
      <c r="E15" s="42" t="s">
        <v>197</v>
      </c>
      <c r="F15" s="42"/>
      <c r="G15" s="7">
        <f>'Прил.№4 ведомств.'!G796</f>
        <v>14342.9</v>
      </c>
      <c r="H15" s="139" t="s">
        <v>994</v>
      </c>
    </row>
    <row r="16" spans="1:8" ht="15.75" x14ac:dyDescent="0.25">
      <c r="A16" s="26" t="s">
        <v>198</v>
      </c>
      <c r="B16" s="42" t="s">
        <v>576</v>
      </c>
      <c r="C16" s="42" t="s">
        <v>213</v>
      </c>
      <c r="D16" s="42" t="s">
        <v>282</v>
      </c>
      <c r="E16" s="42" t="s">
        <v>208</v>
      </c>
      <c r="F16" s="42"/>
      <c r="G16" s="7">
        <f>G17</f>
        <v>26</v>
      </c>
    </row>
    <row r="17" spans="1:8" ht="31.5" x14ac:dyDescent="0.25">
      <c r="A17" s="26" t="s">
        <v>200</v>
      </c>
      <c r="B17" s="42" t="s">
        <v>576</v>
      </c>
      <c r="C17" s="42" t="s">
        <v>213</v>
      </c>
      <c r="D17" s="42" t="s">
        <v>282</v>
      </c>
      <c r="E17" s="42" t="s">
        <v>201</v>
      </c>
      <c r="F17" s="42"/>
      <c r="G17" s="7">
        <f>'Прил.№4 ведомств.'!G798</f>
        <v>26</v>
      </c>
      <c r="H17" s="139" t="s">
        <v>1008</v>
      </c>
    </row>
    <row r="18" spans="1:8" ht="47.25" x14ac:dyDescent="0.25">
      <c r="A18" s="47" t="s">
        <v>721</v>
      </c>
      <c r="B18" s="42" t="s">
        <v>574</v>
      </c>
      <c r="C18" s="42" t="s">
        <v>213</v>
      </c>
      <c r="D18" s="42" t="s">
        <v>282</v>
      </c>
      <c r="E18" s="42"/>
      <c r="F18" s="42" t="s">
        <v>722</v>
      </c>
      <c r="G18" s="7">
        <f>G13</f>
        <v>14368.9</v>
      </c>
    </row>
    <row r="19" spans="1:8" ht="63.75" customHeight="1" x14ac:dyDescent="0.25">
      <c r="A19" s="64" t="s">
        <v>406</v>
      </c>
      <c r="B19" s="8" t="s">
        <v>407</v>
      </c>
      <c r="C19" s="8"/>
      <c r="D19" s="8"/>
      <c r="E19" s="8"/>
      <c r="F19" s="8"/>
      <c r="G19" s="68">
        <f>G20+G35+G42+G49+G58+G65+G72+G98</f>
        <v>3493</v>
      </c>
    </row>
    <row r="20" spans="1:8" ht="46.5" customHeight="1" x14ac:dyDescent="0.25">
      <c r="A20" s="64" t="s">
        <v>723</v>
      </c>
      <c r="B20" s="8" t="s">
        <v>409</v>
      </c>
      <c r="C20" s="8"/>
      <c r="D20" s="8"/>
      <c r="E20" s="8"/>
      <c r="F20" s="8"/>
      <c r="G20" s="68">
        <f>G21</f>
        <v>786.6</v>
      </c>
    </row>
    <row r="21" spans="1:8" ht="15.75" x14ac:dyDescent="0.25">
      <c r="A21" s="47" t="s">
        <v>306</v>
      </c>
      <c r="B21" s="42" t="s">
        <v>409</v>
      </c>
      <c r="C21" s="42" t="s">
        <v>307</v>
      </c>
      <c r="D21" s="42"/>
      <c r="E21" s="42"/>
      <c r="F21" s="42"/>
      <c r="G21" s="11">
        <f>G22</f>
        <v>786.6</v>
      </c>
    </row>
    <row r="22" spans="1:8" ht="15.75" x14ac:dyDescent="0.25">
      <c r="A22" s="47" t="s">
        <v>315</v>
      </c>
      <c r="B22" s="42" t="s">
        <v>409</v>
      </c>
      <c r="C22" s="42" t="s">
        <v>307</v>
      </c>
      <c r="D22" s="42" t="s">
        <v>278</v>
      </c>
      <c r="E22" s="42"/>
      <c r="F22" s="42"/>
      <c r="G22" s="11">
        <f>G23+G31</f>
        <v>786.6</v>
      </c>
    </row>
    <row r="23" spans="1:8" ht="47.25" x14ac:dyDescent="0.25">
      <c r="A23" s="31" t="s">
        <v>220</v>
      </c>
      <c r="B23" s="21" t="s">
        <v>410</v>
      </c>
      <c r="C23" s="42" t="s">
        <v>307</v>
      </c>
      <c r="D23" s="42" t="s">
        <v>278</v>
      </c>
      <c r="E23" s="42"/>
      <c r="F23" s="42"/>
      <c r="G23" s="11">
        <f>G26+G29</f>
        <v>511.1</v>
      </c>
    </row>
    <row r="24" spans="1:8" ht="110.25" hidden="1" x14ac:dyDescent="0.25">
      <c r="A24" s="26" t="s">
        <v>190</v>
      </c>
      <c r="B24" s="21" t="s">
        <v>410</v>
      </c>
      <c r="C24" s="42" t="s">
        <v>307</v>
      </c>
      <c r="D24" s="42" t="s">
        <v>278</v>
      </c>
      <c r="E24" s="42" t="s">
        <v>191</v>
      </c>
      <c r="F24" s="42"/>
      <c r="G24" s="11">
        <f>G25</f>
        <v>0</v>
      </c>
    </row>
    <row r="25" spans="1:8" ht="47.25" hidden="1" x14ac:dyDescent="0.25">
      <c r="A25" s="26" t="s">
        <v>192</v>
      </c>
      <c r="B25" s="21" t="s">
        <v>410</v>
      </c>
      <c r="C25" s="42" t="s">
        <v>307</v>
      </c>
      <c r="D25" s="42" t="s">
        <v>278</v>
      </c>
      <c r="E25" s="42" t="s">
        <v>193</v>
      </c>
      <c r="F25" s="42"/>
      <c r="G25" s="11"/>
    </row>
    <row r="26" spans="1:8" ht="47.25" x14ac:dyDescent="0.25">
      <c r="A26" s="31" t="s">
        <v>194</v>
      </c>
      <c r="B26" s="21" t="s">
        <v>410</v>
      </c>
      <c r="C26" s="42" t="s">
        <v>307</v>
      </c>
      <c r="D26" s="42" t="s">
        <v>278</v>
      </c>
      <c r="E26" s="42" t="s">
        <v>195</v>
      </c>
      <c r="F26" s="42"/>
      <c r="G26" s="11">
        <f>G27</f>
        <v>486.1</v>
      </c>
    </row>
    <row r="27" spans="1:8" ht="47.25" x14ac:dyDescent="0.25">
      <c r="A27" s="31" t="s">
        <v>196</v>
      </c>
      <c r="B27" s="21" t="s">
        <v>410</v>
      </c>
      <c r="C27" s="42" t="s">
        <v>307</v>
      </c>
      <c r="D27" s="42" t="s">
        <v>278</v>
      </c>
      <c r="E27" s="42" t="s">
        <v>197</v>
      </c>
      <c r="F27" s="42"/>
      <c r="G27" s="7">
        <f>'Прил.№4 ведомств.'!G401</f>
        <v>486.1</v>
      </c>
      <c r="H27" s="139" t="s">
        <v>1025</v>
      </c>
    </row>
    <row r="28" spans="1:8" ht="15.75" hidden="1" x14ac:dyDescent="0.25">
      <c r="A28" s="31"/>
      <c r="B28" s="42"/>
      <c r="C28" s="42"/>
      <c r="D28" s="42"/>
      <c r="E28" s="42"/>
      <c r="F28" s="42"/>
      <c r="G28" s="7"/>
      <c r="H28" s="224"/>
    </row>
    <row r="29" spans="1:8" ht="31.5" x14ac:dyDescent="0.25">
      <c r="A29" s="26" t="s">
        <v>311</v>
      </c>
      <c r="B29" s="21" t="s">
        <v>410</v>
      </c>
      <c r="C29" s="42" t="s">
        <v>307</v>
      </c>
      <c r="D29" s="42" t="s">
        <v>278</v>
      </c>
      <c r="E29" s="21" t="s">
        <v>312</v>
      </c>
      <c r="F29" s="42"/>
      <c r="G29" s="7">
        <f>G30</f>
        <v>25</v>
      </c>
      <c r="H29" s="224"/>
    </row>
    <row r="30" spans="1:8" ht="31.5" x14ac:dyDescent="0.25">
      <c r="A30" s="26" t="s">
        <v>411</v>
      </c>
      <c r="B30" s="21" t="s">
        <v>410</v>
      </c>
      <c r="C30" s="42" t="s">
        <v>307</v>
      </c>
      <c r="D30" s="42" t="s">
        <v>278</v>
      </c>
      <c r="E30" s="21" t="s">
        <v>412</v>
      </c>
      <c r="F30" s="42"/>
      <c r="G30" s="7">
        <f>'Прил.№4 ведомств.'!G403</f>
        <v>25</v>
      </c>
      <c r="H30" s="235"/>
    </row>
    <row r="31" spans="1:8" ht="47.25" x14ac:dyDescent="0.25">
      <c r="A31" s="26" t="s">
        <v>413</v>
      </c>
      <c r="B31" s="21" t="s">
        <v>414</v>
      </c>
      <c r="C31" s="42" t="s">
        <v>307</v>
      </c>
      <c r="D31" s="42" t="s">
        <v>278</v>
      </c>
      <c r="E31" s="42"/>
      <c r="F31" s="42"/>
      <c r="G31" s="11">
        <f>G32</f>
        <v>275.5</v>
      </c>
    </row>
    <row r="32" spans="1:8" ht="63" x14ac:dyDescent="0.25">
      <c r="A32" s="26" t="s">
        <v>335</v>
      </c>
      <c r="B32" s="21" t="s">
        <v>414</v>
      </c>
      <c r="C32" s="42" t="s">
        <v>307</v>
      </c>
      <c r="D32" s="42" t="s">
        <v>278</v>
      </c>
      <c r="E32" s="42" t="s">
        <v>336</v>
      </c>
      <c r="F32" s="42"/>
      <c r="G32" s="11">
        <f>G33</f>
        <v>275.5</v>
      </c>
    </row>
    <row r="33" spans="1:8" ht="15.75" x14ac:dyDescent="0.25">
      <c r="A33" s="26" t="s">
        <v>337</v>
      </c>
      <c r="B33" s="21" t="s">
        <v>414</v>
      </c>
      <c r="C33" s="42" t="s">
        <v>307</v>
      </c>
      <c r="D33" s="42" t="s">
        <v>278</v>
      </c>
      <c r="E33" s="42" t="s">
        <v>338</v>
      </c>
      <c r="F33" s="42"/>
      <c r="G33" s="11">
        <f>'Прил.№4 ведомств.'!G406</f>
        <v>275.5</v>
      </c>
      <c r="H33" s="139"/>
    </row>
    <row r="34" spans="1:8" ht="63" x14ac:dyDescent="0.25">
      <c r="A34" s="47" t="s">
        <v>324</v>
      </c>
      <c r="B34" s="21" t="s">
        <v>409</v>
      </c>
      <c r="C34" s="42" t="s">
        <v>307</v>
      </c>
      <c r="D34" s="42" t="s">
        <v>278</v>
      </c>
      <c r="E34" s="42"/>
      <c r="F34" s="42" t="s">
        <v>725</v>
      </c>
      <c r="G34" s="7">
        <f>G20</f>
        <v>786.6</v>
      </c>
    </row>
    <row r="35" spans="1:8" ht="47.25" x14ac:dyDescent="0.25">
      <c r="A35" s="64" t="s">
        <v>726</v>
      </c>
      <c r="B35" s="8" t="s">
        <v>416</v>
      </c>
      <c r="C35" s="8"/>
      <c r="D35" s="8"/>
      <c r="E35" s="8"/>
      <c r="F35" s="8"/>
      <c r="G35" s="68">
        <f>G36</f>
        <v>31.05</v>
      </c>
    </row>
    <row r="36" spans="1:8" ht="15.75" x14ac:dyDescent="0.25">
      <c r="A36" s="47" t="s">
        <v>306</v>
      </c>
      <c r="B36" s="42" t="s">
        <v>416</v>
      </c>
      <c r="C36" s="42" t="s">
        <v>307</v>
      </c>
      <c r="D36" s="42"/>
      <c r="E36" s="42"/>
      <c r="F36" s="42"/>
      <c r="G36" s="11">
        <f>G37</f>
        <v>31.05</v>
      </c>
    </row>
    <row r="37" spans="1:8" ht="15.75" x14ac:dyDescent="0.25">
      <c r="A37" s="47" t="s">
        <v>315</v>
      </c>
      <c r="B37" s="42" t="s">
        <v>416</v>
      </c>
      <c r="C37" s="42" t="s">
        <v>307</v>
      </c>
      <c r="D37" s="42" t="s">
        <v>278</v>
      </c>
      <c r="E37" s="42"/>
      <c r="F37" s="42"/>
      <c r="G37" s="11">
        <f>G38</f>
        <v>31.05</v>
      </c>
    </row>
    <row r="38" spans="1:8" ht="31.5" x14ac:dyDescent="0.25">
      <c r="A38" s="26" t="s">
        <v>705</v>
      </c>
      <c r="B38" s="21" t="s">
        <v>706</v>
      </c>
      <c r="C38" s="42" t="s">
        <v>307</v>
      </c>
      <c r="D38" s="42" t="s">
        <v>278</v>
      </c>
      <c r="E38" s="42"/>
      <c r="F38" s="42"/>
      <c r="G38" s="11">
        <f>G39</f>
        <v>31.05</v>
      </c>
    </row>
    <row r="39" spans="1:8" ht="31.5" x14ac:dyDescent="0.25">
      <c r="A39" s="31" t="s">
        <v>311</v>
      </c>
      <c r="B39" s="21" t="s">
        <v>706</v>
      </c>
      <c r="C39" s="42" t="s">
        <v>307</v>
      </c>
      <c r="D39" s="42" t="s">
        <v>278</v>
      </c>
      <c r="E39" s="42" t="s">
        <v>312</v>
      </c>
      <c r="F39" s="42"/>
      <c r="G39" s="11">
        <f>G40</f>
        <v>31.05</v>
      </c>
    </row>
    <row r="40" spans="1:8" ht="47.25" x14ac:dyDescent="0.25">
      <c r="A40" s="31" t="s">
        <v>313</v>
      </c>
      <c r="B40" s="21" t="s">
        <v>706</v>
      </c>
      <c r="C40" s="42" t="s">
        <v>307</v>
      </c>
      <c r="D40" s="42" t="s">
        <v>278</v>
      </c>
      <c r="E40" s="42" t="s">
        <v>314</v>
      </c>
      <c r="F40" s="42"/>
      <c r="G40" s="11">
        <f>'Прил.№4 ведомств.'!G410</f>
        <v>31.05</v>
      </c>
    </row>
    <row r="41" spans="1:8" ht="63" x14ac:dyDescent="0.25">
      <c r="A41" s="47" t="s">
        <v>324</v>
      </c>
      <c r="B41" s="21" t="s">
        <v>416</v>
      </c>
      <c r="C41" s="42" t="s">
        <v>307</v>
      </c>
      <c r="D41" s="42" t="s">
        <v>278</v>
      </c>
      <c r="E41" s="42"/>
      <c r="F41" s="42" t="s">
        <v>725</v>
      </c>
      <c r="G41" s="11">
        <f>G35</f>
        <v>31.05</v>
      </c>
    </row>
    <row r="42" spans="1:8" ht="47.25" x14ac:dyDescent="0.25">
      <c r="A42" s="64" t="s">
        <v>727</v>
      </c>
      <c r="B42" s="8" t="s">
        <v>419</v>
      </c>
      <c r="C42" s="8"/>
      <c r="D42" s="8"/>
      <c r="E42" s="8"/>
      <c r="F42" s="8"/>
      <c r="G42" s="68">
        <f>G43</f>
        <v>390</v>
      </c>
    </row>
    <row r="43" spans="1:8" ht="15.75" x14ac:dyDescent="0.25">
      <c r="A43" s="47" t="s">
        <v>306</v>
      </c>
      <c r="B43" s="42" t="s">
        <v>419</v>
      </c>
      <c r="C43" s="42" t="s">
        <v>307</v>
      </c>
      <c r="D43" s="42"/>
      <c r="E43" s="42"/>
      <c r="F43" s="42"/>
      <c r="G43" s="11">
        <f>G44</f>
        <v>390</v>
      </c>
    </row>
    <row r="44" spans="1:8" ht="15.75" x14ac:dyDescent="0.25">
      <c r="A44" s="47" t="s">
        <v>315</v>
      </c>
      <c r="B44" s="42" t="s">
        <v>419</v>
      </c>
      <c r="C44" s="42" t="s">
        <v>307</v>
      </c>
      <c r="D44" s="42" t="s">
        <v>278</v>
      </c>
      <c r="E44" s="42"/>
      <c r="F44" s="42"/>
      <c r="G44" s="11">
        <f>G45</f>
        <v>390</v>
      </c>
    </row>
    <row r="45" spans="1:8" ht="47.25" x14ac:dyDescent="0.25">
      <c r="A45" s="31" t="s">
        <v>220</v>
      </c>
      <c r="B45" s="42" t="s">
        <v>728</v>
      </c>
      <c r="C45" s="42" t="s">
        <v>307</v>
      </c>
      <c r="D45" s="42" t="s">
        <v>278</v>
      </c>
      <c r="E45" s="42"/>
      <c r="F45" s="42"/>
      <c r="G45" s="11">
        <f>G46</f>
        <v>390</v>
      </c>
    </row>
    <row r="46" spans="1:8" ht="31.5" x14ac:dyDescent="0.25">
      <c r="A46" s="31" t="s">
        <v>311</v>
      </c>
      <c r="B46" s="42" t="s">
        <v>728</v>
      </c>
      <c r="C46" s="42" t="s">
        <v>307</v>
      </c>
      <c r="D46" s="42" t="s">
        <v>278</v>
      </c>
      <c r="E46" s="42" t="s">
        <v>312</v>
      </c>
      <c r="F46" s="42"/>
      <c r="G46" s="11">
        <f>G47</f>
        <v>390</v>
      </c>
    </row>
    <row r="47" spans="1:8" ht="31.5" x14ac:dyDescent="0.25">
      <c r="A47" s="31" t="s">
        <v>411</v>
      </c>
      <c r="B47" s="42" t="s">
        <v>728</v>
      </c>
      <c r="C47" s="42" t="s">
        <v>307</v>
      </c>
      <c r="D47" s="42" t="s">
        <v>278</v>
      </c>
      <c r="E47" s="42" t="s">
        <v>412</v>
      </c>
      <c r="F47" s="42"/>
      <c r="G47" s="11">
        <f>'Прил.№4 ведомств.'!G414</f>
        <v>390</v>
      </c>
      <c r="H47" s="197" t="s">
        <v>1023</v>
      </c>
    </row>
    <row r="48" spans="1:8" ht="63" x14ac:dyDescent="0.25">
      <c r="A48" s="47" t="s">
        <v>324</v>
      </c>
      <c r="B48" s="42" t="s">
        <v>419</v>
      </c>
      <c r="C48" s="42" t="s">
        <v>307</v>
      </c>
      <c r="D48" s="42" t="s">
        <v>278</v>
      </c>
      <c r="E48" s="42"/>
      <c r="F48" s="42" t="s">
        <v>725</v>
      </c>
      <c r="G48" s="11">
        <f>G42</f>
        <v>390</v>
      </c>
    </row>
    <row r="49" spans="1:8" ht="31.5" x14ac:dyDescent="0.25">
      <c r="A49" s="64" t="s">
        <v>729</v>
      </c>
      <c r="B49" s="8" t="s">
        <v>422</v>
      </c>
      <c r="C49" s="8"/>
      <c r="D49" s="8"/>
      <c r="E49" s="8"/>
      <c r="F49" s="8"/>
      <c r="G49" s="68">
        <f>G50</f>
        <v>1587.4</v>
      </c>
    </row>
    <row r="50" spans="1:8" ht="15.75" x14ac:dyDescent="0.25">
      <c r="A50" s="47" t="s">
        <v>306</v>
      </c>
      <c r="B50" s="42" t="s">
        <v>422</v>
      </c>
      <c r="C50" s="42" t="s">
        <v>307</v>
      </c>
      <c r="D50" s="42"/>
      <c r="E50" s="42"/>
      <c r="F50" s="42"/>
      <c r="G50" s="11">
        <f>G51</f>
        <v>1587.4</v>
      </c>
    </row>
    <row r="51" spans="1:8" ht="15.75" x14ac:dyDescent="0.25">
      <c r="A51" s="47" t="s">
        <v>315</v>
      </c>
      <c r="B51" s="42" t="s">
        <v>422</v>
      </c>
      <c r="C51" s="42" t="s">
        <v>307</v>
      </c>
      <c r="D51" s="42" t="s">
        <v>278</v>
      </c>
      <c r="E51" s="42"/>
      <c r="F51" s="42"/>
      <c r="G51" s="11">
        <f>G52</f>
        <v>1587.4</v>
      </c>
    </row>
    <row r="52" spans="1:8" ht="47.25" x14ac:dyDescent="0.25">
      <c r="A52" s="31" t="s">
        <v>220</v>
      </c>
      <c r="B52" s="42" t="s">
        <v>730</v>
      </c>
      <c r="C52" s="42" t="s">
        <v>307</v>
      </c>
      <c r="D52" s="42" t="s">
        <v>278</v>
      </c>
      <c r="E52" s="42"/>
      <c r="F52" s="42"/>
      <c r="G52" s="11">
        <f>G53+G55</f>
        <v>1587.4</v>
      </c>
    </row>
    <row r="53" spans="1:8" ht="47.25" x14ac:dyDescent="0.25">
      <c r="A53" s="31" t="s">
        <v>194</v>
      </c>
      <c r="B53" s="42" t="s">
        <v>730</v>
      </c>
      <c r="C53" s="42" t="s">
        <v>307</v>
      </c>
      <c r="D53" s="42" t="s">
        <v>278</v>
      </c>
      <c r="E53" s="42" t="s">
        <v>195</v>
      </c>
      <c r="F53" s="42"/>
      <c r="G53" s="11">
        <f>G54</f>
        <v>234.4</v>
      </c>
    </row>
    <row r="54" spans="1:8" ht="47.25" x14ac:dyDescent="0.25">
      <c r="A54" s="31" t="s">
        <v>196</v>
      </c>
      <c r="B54" s="42" t="s">
        <v>730</v>
      </c>
      <c r="C54" s="42" t="s">
        <v>307</v>
      </c>
      <c r="D54" s="42" t="s">
        <v>278</v>
      </c>
      <c r="E54" s="42" t="s">
        <v>197</v>
      </c>
      <c r="F54" s="42"/>
      <c r="G54" s="11">
        <f>'Прил.№4 ведомств.'!G418</f>
        <v>234.4</v>
      </c>
      <c r="H54" s="139" t="s">
        <v>995</v>
      </c>
    </row>
    <row r="55" spans="1:8" ht="31.5" x14ac:dyDescent="0.25">
      <c r="A55" s="31" t="s">
        <v>311</v>
      </c>
      <c r="B55" s="42" t="s">
        <v>730</v>
      </c>
      <c r="C55" s="42" t="s">
        <v>307</v>
      </c>
      <c r="D55" s="42" t="s">
        <v>278</v>
      </c>
      <c r="E55" s="42" t="s">
        <v>312</v>
      </c>
      <c r="F55" s="42"/>
      <c r="G55" s="11">
        <f>G56</f>
        <v>1353</v>
      </c>
    </row>
    <row r="56" spans="1:8" ht="31.5" x14ac:dyDescent="0.25">
      <c r="A56" s="31" t="s">
        <v>411</v>
      </c>
      <c r="B56" s="42" t="s">
        <v>730</v>
      </c>
      <c r="C56" s="42" t="s">
        <v>307</v>
      </c>
      <c r="D56" s="42" t="s">
        <v>278</v>
      </c>
      <c r="E56" s="42" t="s">
        <v>412</v>
      </c>
      <c r="F56" s="42"/>
      <c r="G56" s="11">
        <f>'Прил.№4 ведомств.'!G420</f>
        <v>1353</v>
      </c>
    </row>
    <row r="57" spans="1:8" ht="63" x14ac:dyDescent="0.25">
      <c r="A57" s="47" t="s">
        <v>324</v>
      </c>
      <c r="B57" s="42" t="s">
        <v>422</v>
      </c>
      <c r="C57" s="42" t="s">
        <v>307</v>
      </c>
      <c r="D57" s="42" t="s">
        <v>278</v>
      </c>
      <c r="E57" s="42"/>
      <c r="F57" s="42" t="s">
        <v>725</v>
      </c>
      <c r="G57" s="11">
        <f>G49</f>
        <v>1587.4</v>
      </c>
    </row>
    <row r="58" spans="1:8" ht="47.25" x14ac:dyDescent="0.25">
      <c r="A58" s="64" t="s">
        <v>731</v>
      </c>
      <c r="B58" s="8" t="s">
        <v>425</v>
      </c>
      <c r="C58" s="8"/>
      <c r="D58" s="8"/>
      <c r="E58" s="8"/>
      <c r="F58" s="8"/>
      <c r="G58" s="68">
        <f>G59</f>
        <v>360.7</v>
      </c>
    </row>
    <row r="59" spans="1:8" ht="15.75" x14ac:dyDescent="0.25">
      <c r="A59" s="47" t="s">
        <v>306</v>
      </c>
      <c r="B59" s="42" t="s">
        <v>425</v>
      </c>
      <c r="C59" s="42" t="s">
        <v>307</v>
      </c>
      <c r="D59" s="42"/>
      <c r="E59" s="42"/>
      <c r="F59" s="42"/>
      <c r="G59" s="11">
        <f>G60</f>
        <v>360.7</v>
      </c>
    </row>
    <row r="60" spans="1:8" ht="21.75" customHeight="1" x14ac:dyDescent="0.25">
      <c r="A60" s="47" t="s">
        <v>315</v>
      </c>
      <c r="B60" s="42" t="s">
        <v>425</v>
      </c>
      <c r="C60" s="42" t="s">
        <v>307</v>
      </c>
      <c r="D60" s="42" t="s">
        <v>278</v>
      </c>
      <c r="E60" s="42"/>
      <c r="F60" s="42"/>
      <c r="G60" s="11">
        <f>G61</f>
        <v>360.7</v>
      </c>
    </row>
    <row r="61" spans="1:8" ht="47.25" x14ac:dyDescent="0.25">
      <c r="A61" s="31" t="s">
        <v>220</v>
      </c>
      <c r="B61" s="42" t="s">
        <v>732</v>
      </c>
      <c r="C61" s="42" t="s">
        <v>307</v>
      </c>
      <c r="D61" s="42" t="s">
        <v>278</v>
      </c>
      <c r="E61" s="42"/>
      <c r="F61" s="42"/>
      <c r="G61" s="11">
        <f>G62</f>
        <v>360.7</v>
      </c>
    </row>
    <row r="62" spans="1:8" ht="31.5" x14ac:dyDescent="0.25">
      <c r="A62" s="31" t="s">
        <v>311</v>
      </c>
      <c r="B62" s="42" t="s">
        <v>732</v>
      </c>
      <c r="C62" s="42" t="s">
        <v>307</v>
      </c>
      <c r="D62" s="42" t="s">
        <v>278</v>
      </c>
      <c r="E62" s="42" t="s">
        <v>312</v>
      </c>
      <c r="F62" s="42"/>
      <c r="G62" s="11">
        <f>G63</f>
        <v>360.7</v>
      </c>
    </row>
    <row r="63" spans="1:8" ht="31.5" x14ac:dyDescent="0.25">
      <c r="A63" s="31" t="s">
        <v>411</v>
      </c>
      <c r="B63" s="42" t="s">
        <v>732</v>
      </c>
      <c r="C63" s="42" t="s">
        <v>307</v>
      </c>
      <c r="D63" s="42" t="s">
        <v>278</v>
      </c>
      <c r="E63" s="42" t="s">
        <v>412</v>
      </c>
      <c r="F63" s="42"/>
      <c r="G63" s="11">
        <f>'Прил.№4 ведомств.'!G424</f>
        <v>360.7</v>
      </c>
      <c r="H63" s="197" t="s">
        <v>1009</v>
      </c>
    </row>
    <row r="64" spans="1:8" ht="63" x14ac:dyDescent="0.25">
      <c r="A64" s="47" t="s">
        <v>324</v>
      </c>
      <c r="B64" s="42" t="s">
        <v>425</v>
      </c>
      <c r="C64" s="42" t="s">
        <v>307</v>
      </c>
      <c r="D64" s="42" t="s">
        <v>278</v>
      </c>
      <c r="E64" s="42"/>
      <c r="F64" s="42" t="s">
        <v>725</v>
      </c>
      <c r="G64" s="11">
        <f>G58</f>
        <v>360.7</v>
      </c>
    </row>
    <row r="65" spans="1:8" ht="78.75" x14ac:dyDescent="0.25">
      <c r="A65" s="64" t="s">
        <v>427</v>
      </c>
      <c r="B65" s="8" t="s">
        <v>428</v>
      </c>
      <c r="C65" s="8"/>
      <c r="D65" s="8"/>
      <c r="E65" s="8"/>
      <c r="F65" s="8"/>
      <c r="G65" s="68">
        <f>G66</f>
        <v>167.9</v>
      </c>
    </row>
    <row r="66" spans="1:8" ht="15.75" x14ac:dyDescent="0.25">
      <c r="A66" s="47" t="s">
        <v>306</v>
      </c>
      <c r="B66" s="42" t="s">
        <v>428</v>
      </c>
      <c r="C66" s="42" t="s">
        <v>307</v>
      </c>
      <c r="D66" s="42"/>
      <c r="E66" s="42"/>
      <c r="F66" s="42"/>
      <c r="G66" s="11">
        <f>G67</f>
        <v>167.9</v>
      </c>
    </row>
    <row r="67" spans="1:8" ht="15.75" x14ac:dyDescent="0.25">
      <c r="A67" s="47" t="s">
        <v>315</v>
      </c>
      <c r="B67" s="42" t="s">
        <v>428</v>
      </c>
      <c r="C67" s="42" t="s">
        <v>307</v>
      </c>
      <c r="D67" s="42" t="s">
        <v>278</v>
      </c>
      <c r="E67" s="42"/>
      <c r="F67" s="42"/>
      <c r="G67" s="11">
        <f>G68</f>
        <v>167.9</v>
      </c>
    </row>
    <row r="68" spans="1:8" ht="42.75" customHeight="1" x14ac:dyDescent="0.25">
      <c r="A68" s="31" t="s">
        <v>220</v>
      </c>
      <c r="B68" s="42" t="s">
        <v>733</v>
      </c>
      <c r="C68" s="42" t="s">
        <v>307</v>
      </c>
      <c r="D68" s="42" t="s">
        <v>278</v>
      </c>
      <c r="E68" s="42"/>
      <c r="F68" s="42"/>
      <c r="G68" s="11">
        <f>G69</f>
        <v>167.9</v>
      </c>
    </row>
    <row r="69" spans="1:8" ht="47.25" x14ac:dyDescent="0.25">
      <c r="A69" s="31" t="s">
        <v>194</v>
      </c>
      <c r="B69" s="42" t="s">
        <v>733</v>
      </c>
      <c r="C69" s="42" t="s">
        <v>307</v>
      </c>
      <c r="D69" s="42" t="s">
        <v>278</v>
      </c>
      <c r="E69" s="42" t="s">
        <v>195</v>
      </c>
      <c r="F69" s="42"/>
      <c r="G69" s="11">
        <f>G70</f>
        <v>167.9</v>
      </c>
    </row>
    <row r="70" spans="1:8" ht="47.25" x14ac:dyDescent="0.25">
      <c r="A70" s="31" t="s">
        <v>196</v>
      </c>
      <c r="B70" s="42" t="s">
        <v>733</v>
      </c>
      <c r="C70" s="42" t="s">
        <v>307</v>
      </c>
      <c r="D70" s="42" t="s">
        <v>278</v>
      </c>
      <c r="E70" s="42" t="s">
        <v>197</v>
      </c>
      <c r="F70" s="42"/>
      <c r="G70" s="11">
        <f>'Прил.№4 ведомств.'!G428</f>
        <v>167.9</v>
      </c>
      <c r="H70" s="197" t="s">
        <v>1024</v>
      </c>
    </row>
    <row r="71" spans="1:8" ht="63" x14ac:dyDescent="0.25">
      <c r="A71" s="47" t="s">
        <v>324</v>
      </c>
      <c r="B71" s="42" t="s">
        <v>428</v>
      </c>
      <c r="C71" s="42" t="s">
        <v>307</v>
      </c>
      <c r="D71" s="42" t="s">
        <v>278</v>
      </c>
      <c r="E71" s="42"/>
      <c r="F71" s="42" t="s">
        <v>725</v>
      </c>
      <c r="G71" s="11">
        <f>G65</f>
        <v>167.9</v>
      </c>
    </row>
    <row r="72" spans="1:8" ht="94.5" x14ac:dyDescent="0.25">
      <c r="A72" s="43" t="s">
        <v>430</v>
      </c>
      <c r="B72" s="8" t="s">
        <v>431</v>
      </c>
      <c r="C72" s="8"/>
      <c r="D72" s="8"/>
      <c r="E72" s="8"/>
      <c r="F72" s="8"/>
      <c r="G72" s="68">
        <f>G73</f>
        <v>30</v>
      </c>
    </row>
    <row r="73" spans="1:8" ht="15.75" x14ac:dyDescent="0.25">
      <c r="A73" s="47" t="s">
        <v>306</v>
      </c>
      <c r="B73" s="42" t="s">
        <v>431</v>
      </c>
      <c r="C73" s="42" t="s">
        <v>307</v>
      </c>
      <c r="D73" s="42"/>
      <c r="E73" s="42"/>
      <c r="F73" s="42"/>
      <c r="G73" s="11">
        <f>G74</f>
        <v>30</v>
      </c>
    </row>
    <row r="74" spans="1:8" ht="15.75" x14ac:dyDescent="0.25">
      <c r="A74" s="47" t="s">
        <v>315</v>
      </c>
      <c r="B74" s="42" t="s">
        <v>431</v>
      </c>
      <c r="C74" s="42" t="s">
        <v>307</v>
      </c>
      <c r="D74" s="42" t="s">
        <v>278</v>
      </c>
      <c r="E74" s="42"/>
      <c r="F74" s="42"/>
      <c r="G74" s="11">
        <f>G75+G93+G84+G88+G80</f>
        <v>30</v>
      </c>
    </row>
    <row r="75" spans="1:8" ht="45" customHeight="1" x14ac:dyDescent="0.25">
      <c r="A75" s="31" t="s">
        <v>220</v>
      </c>
      <c r="B75" s="42" t="s">
        <v>433</v>
      </c>
      <c r="C75" s="42" t="s">
        <v>307</v>
      </c>
      <c r="D75" s="42" t="s">
        <v>278</v>
      </c>
      <c r="E75" s="42"/>
      <c r="F75" s="42"/>
      <c r="G75" s="11">
        <f>G78+G76</f>
        <v>20</v>
      </c>
    </row>
    <row r="76" spans="1:8" ht="47.25" hidden="1" x14ac:dyDescent="0.25">
      <c r="A76" s="31" t="s">
        <v>194</v>
      </c>
      <c r="B76" s="42" t="s">
        <v>431</v>
      </c>
      <c r="C76" s="42" t="s">
        <v>307</v>
      </c>
      <c r="D76" s="42" t="s">
        <v>278</v>
      </c>
      <c r="E76" s="42" t="s">
        <v>195</v>
      </c>
      <c r="F76" s="42"/>
      <c r="G76" s="11">
        <f>G77</f>
        <v>0</v>
      </c>
    </row>
    <row r="77" spans="1:8" ht="47.25" hidden="1" x14ac:dyDescent="0.25">
      <c r="A77" s="31" t="s">
        <v>196</v>
      </c>
      <c r="B77" s="42" t="s">
        <v>431</v>
      </c>
      <c r="C77" s="42" t="s">
        <v>307</v>
      </c>
      <c r="D77" s="42" t="s">
        <v>278</v>
      </c>
      <c r="E77" s="42" t="s">
        <v>197</v>
      </c>
      <c r="F77" s="42"/>
      <c r="G77" s="11"/>
    </row>
    <row r="78" spans="1:8" ht="63" x14ac:dyDescent="0.25">
      <c r="A78" s="26" t="s">
        <v>335</v>
      </c>
      <c r="B78" s="42" t="s">
        <v>433</v>
      </c>
      <c r="C78" s="42" t="s">
        <v>307</v>
      </c>
      <c r="D78" s="42" t="s">
        <v>278</v>
      </c>
      <c r="E78" s="42" t="s">
        <v>336</v>
      </c>
      <c r="F78" s="42"/>
      <c r="G78" s="11">
        <f>G79</f>
        <v>20</v>
      </c>
    </row>
    <row r="79" spans="1:8" ht="72.75" customHeight="1" x14ac:dyDescent="0.25">
      <c r="A79" s="26" t="s">
        <v>434</v>
      </c>
      <c r="B79" s="42" t="s">
        <v>433</v>
      </c>
      <c r="C79" s="42" t="s">
        <v>307</v>
      </c>
      <c r="D79" s="42" t="s">
        <v>278</v>
      </c>
      <c r="E79" s="42" t="s">
        <v>435</v>
      </c>
      <c r="F79" s="42"/>
      <c r="G79" s="11">
        <f>'Прил.№4 ведомств.'!G432</f>
        <v>20</v>
      </c>
    </row>
    <row r="80" spans="1:8" ht="63" x14ac:dyDescent="0.25">
      <c r="A80" s="26" t="s">
        <v>438</v>
      </c>
      <c r="B80" s="21" t="s">
        <v>439</v>
      </c>
      <c r="C80" s="42" t="s">
        <v>307</v>
      </c>
      <c r="D80" s="42" t="s">
        <v>278</v>
      </c>
      <c r="E80" s="42"/>
      <c r="F80" s="42"/>
      <c r="G80" s="11">
        <f>G81</f>
        <v>10</v>
      </c>
    </row>
    <row r="81" spans="1:7" ht="31.5" x14ac:dyDescent="0.25">
      <c r="A81" s="26" t="s">
        <v>311</v>
      </c>
      <c r="B81" s="21" t="s">
        <v>439</v>
      </c>
      <c r="C81" s="42" t="s">
        <v>307</v>
      </c>
      <c r="D81" s="42" t="s">
        <v>278</v>
      </c>
      <c r="E81" s="42" t="s">
        <v>312</v>
      </c>
      <c r="F81" s="42"/>
      <c r="G81" s="11">
        <f>G82</f>
        <v>10</v>
      </c>
    </row>
    <row r="82" spans="1:7" ht="47.25" x14ac:dyDescent="0.25">
      <c r="A82" s="26" t="s">
        <v>313</v>
      </c>
      <c r="B82" s="21" t="s">
        <v>439</v>
      </c>
      <c r="C82" s="42" t="s">
        <v>307</v>
      </c>
      <c r="D82" s="42" t="s">
        <v>278</v>
      </c>
      <c r="E82" s="42" t="s">
        <v>314</v>
      </c>
      <c r="F82" s="42"/>
      <c r="G82" s="11">
        <f>'Прил.№4 ведомств.'!G441</f>
        <v>10</v>
      </c>
    </row>
    <row r="83" spans="1:7" ht="63" x14ac:dyDescent="0.25">
      <c r="A83" s="47" t="s">
        <v>324</v>
      </c>
      <c r="B83" s="21" t="s">
        <v>431</v>
      </c>
      <c r="C83" s="42" t="s">
        <v>307</v>
      </c>
      <c r="D83" s="42" t="s">
        <v>278</v>
      </c>
      <c r="E83" s="42"/>
      <c r="F83" s="10" t="s">
        <v>725</v>
      </c>
      <c r="G83" s="11">
        <f>G72</f>
        <v>30</v>
      </c>
    </row>
    <row r="84" spans="1:7" ht="173.25" hidden="1" x14ac:dyDescent="0.25">
      <c r="A84" s="26" t="s">
        <v>436</v>
      </c>
      <c r="B84" s="21" t="s">
        <v>437</v>
      </c>
      <c r="C84" s="42" t="s">
        <v>307</v>
      </c>
      <c r="D84" s="42" t="s">
        <v>278</v>
      </c>
      <c r="E84" s="42"/>
      <c r="F84" s="10"/>
      <c r="G84" s="11">
        <f>G85</f>
        <v>0</v>
      </c>
    </row>
    <row r="85" spans="1:7" ht="15.75" hidden="1" x14ac:dyDescent="0.25">
      <c r="A85" s="26" t="s">
        <v>198</v>
      </c>
      <c r="B85" s="21" t="s">
        <v>437</v>
      </c>
      <c r="C85" s="42" t="s">
        <v>307</v>
      </c>
      <c r="D85" s="42" t="s">
        <v>278</v>
      </c>
      <c r="E85" s="42" t="s">
        <v>208</v>
      </c>
      <c r="F85" s="10"/>
      <c r="G85" s="11">
        <f>G86</f>
        <v>0</v>
      </c>
    </row>
    <row r="86" spans="1:7" ht="78.75" hidden="1" x14ac:dyDescent="0.25">
      <c r="A86" s="26" t="s">
        <v>247</v>
      </c>
      <c r="B86" s="21" t="s">
        <v>437</v>
      </c>
      <c r="C86" s="42" t="s">
        <v>307</v>
      </c>
      <c r="D86" s="42" t="s">
        <v>278</v>
      </c>
      <c r="E86" s="42" t="s">
        <v>223</v>
      </c>
      <c r="F86" s="10"/>
      <c r="G86" s="11"/>
    </row>
    <row r="87" spans="1:7" ht="63" hidden="1" x14ac:dyDescent="0.25">
      <c r="A87" s="47" t="s">
        <v>324</v>
      </c>
      <c r="B87" s="21" t="s">
        <v>437</v>
      </c>
      <c r="C87" s="42" t="s">
        <v>307</v>
      </c>
      <c r="D87" s="42" t="s">
        <v>278</v>
      </c>
      <c r="E87" s="42"/>
      <c r="F87" s="10" t="s">
        <v>725</v>
      </c>
      <c r="G87" s="11">
        <f>G86</f>
        <v>0</v>
      </c>
    </row>
    <row r="88" spans="1:7" ht="63" hidden="1" x14ac:dyDescent="0.25">
      <c r="A88" s="26" t="s">
        <v>438</v>
      </c>
      <c r="B88" s="21" t="s">
        <v>439</v>
      </c>
      <c r="C88" s="42" t="s">
        <v>307</v>
      </c>
      <c r="D88" s="42" t="s">
        <v>278</v>
      </c>
      <c r="E88" s="42"/>
      <c r="F88" s="10"/>
      <c r="G88" s="11">
        <f>G89</f>
        <v>0</v>
      </c>
    </row>
    <row r="89" spans="1:7" ht="31.5" hidden="1" x14ac:dyDescent="0.25">
      <c r="A89" s="31" t="s">
        <v>311</v>
      </c>
      <c r="B89" s="21" t="s">
        <v>439</v>
      </c>
      <c r="C89" s="42" t="s">
        <v>307</v>
      </c>
      <c r="D89" s="42" t="s">
        <v>278</v>
      </c>
      <c r="E89" s="42" t="s">
        <v>312</v>
      </c>
      <c r="F89" s="10"/>
      <c r="G89" s="11">
        <f>G90</f>
        <v>0</v>
      </c>
    </row>
    <row r="90" spans="1:7" ht="47.25" hidden="1" x14ac:dyDescent="0.25">
      <c r="A90" s="31" t="s">
        <v>313</v>
      </c>
      <c r="B90" s="21" t="s">
        <v>439</v>
      </c>
      <c r="C90" s="42" t="s">
        <v>307</v>
      </c>
      <c r="D90" s="42" t="s">
        <v>278</v>
      </c>
      <c r="E90" s="42" t="s">
        <v>314</v>
      </c>
      <c r="F90" s="10"/>
      <c r="G90" s="11"/>
    </row>
    <row r="91" spans="1:7" ht="63" hidden="1" x14ac:dyDescent="0.25">
      <c r="A91" s="47" t="s">
        <v>324</v>
      </c>
      <c r="B91" s="21" t="s">
        <v>439</v>
      </c>
      <c r="C91" s="42" t="s">
        <v>307</v>
      </c>
      <c r="D91" s="42" t="s">
        <v>278</v>
      </c>
      <c r="E91" s="42"/>
      <c r="F91" s="10" t="s">
        <v>725</v>
      </c>
      <c r="G91" s="11">
        <f>G88</f>
        <v>0</v>
      </c>
    </row>
    <row r="92" spans="1:7" ht="47.25" hidden="1" x14ac:dyDescent="0.25">
      <c r="A92" s="31" t="s">
        <v>440</v>
      </c>
      <c r="B92" s="21" t="s">
        <v>441</v>
      </c>
      <c r="C92" s="42" t="s">
        <v>307</v>
      </c>
      <c r="D92" s="42" t="s">
        <v>278</v>
      </c>
      <c r="E92" s="42"/>
      <c r="F92" s="42"/>
      <c r="G92" s="11">
        <f>G93</f>
        <v>0</v>
      </c>
    </row>
    <row r="93" spans="1:7" ht="47.25" hidden="1" x14ac:dyDescent="0.25">
      <c r="A93" s="31" t="s">
        <v>194</v>
      </c>
      <c r="B93" s="21" t="s">
        <v>441</v>
      </c>
      <c r="C93" s="42" t="s">
        <v>307</v>
      </c>
      <c r="D93" s="42" t="s">
        <v>278</v>
      </c>
      <c r="E93" s="42" t="s">
        <v>195</v>
      </c>
      <c r="F93" s="42"/>
      <c r="G93" s="11">
        <f>G94</f>
        <v>0</v>
      </c>
    </row>
    <row r="94" spans="1:7" ht="47.25" hidden="1" x14ac:dyDescent="0.25">
      <c r="A94" s="31" t="s">
        <v>196</v>
      </c>
      <c r="B94" s="21" t="s">
        <v>441</v>
      </c>
      <c r="C94" s="42" t="s">
        <v>307</v>
      </c>
      <c r="D94" s="42" t="s">
        <v>278</v>
      </c>
      <c r="E94" s="42" t="s">
        <v>197</v>
      </c>
      <c r="F94" s="42"/>
      <c r="G94" s="11">
        <v>0</v>
      </c>
    </row>
    <row r="95" spans="1:7" ht="15.75" hidden="1" x14ac:dyDescent="0.25">
      <c r="A95" s="31" t="s">
        <v>198</v>
      </c>
      <c r="B95" s="21" t="s">
        <v>441</v>
      </c>
      <c r="C95" s="42" t="s">
        <v>307</v>
      </c>
      <c r="D95" s="42" t="s">
        <v>278</v>
      </c>
      <c r="E95" s="42" t="s">
        <v>208</v>
      </c>
      <c r="F95" s="42"/>
      <c r="G95" s="11"/>
    </row>
    <row r="96" spans="1:7" ht="78.75" hidden="1" x14ac:dyDescent="0.25">
      <c r="A96" s="31" t="s">
        <v>247</v>
      </c>
      <c r="B96" s="21" t="s">
        <v>441</v>
      </c>
      <c r="C96" s="42" t="s">
        <v>307</v>
      </c>
      <c r="D96" s="42" t="s">
        <v>278</v>
      </c>
      <c r="E96" s="42" t="s">
        <v>223</v>
      </c>
      <c r="F96" s="42"/>
      <c r="G96" s="11"/>
    </row>
    <row r="97" spans="1:8" ht="63" hidden="1" x14ac:dyDescent="0.25">
      <c r="A97" s="47" t="s">
        <v>324</v>
      </c>
      <c r="B97" s="21" t="s">
        <v>441</v>
      </c>
      <c r="C97" s="42" t="s">
        <v>307</v>
      </c>
      <c r="D97" s="42" t="s">
        <v>278</v>
      </c>
      <c r="E97" s="42"/>
      <c r="F97" s="10" t="s">
        <v>725</v>
      </c>
      <c r="G97" s="11">
        <f>G92</f>
        <v>0</v>
      </c>
    </row>
    <row r="98" spans="1:8" ht="141.75" x14ac:dyDescent="0.25">
      <c r="A98" s="43" t="s">
        <v>443</v>
      </c>
      <c r="B98" s="8" t="s">
        <v>444</v>
      </c>
      <c r="C98" s="8"/>
      <c r="D98" s="8"/>
      <c r="E98" s="8"/>
      <c r="F98" s="9"/>
      <c r="G98" s="68">
        <f>G99</f>
        <v>139.35</v>
      </c>
    </row>
    <row r="99" spans="1:8" ht="15.75" x14ac:dyDescent="0.25">
      <c r="A99" s="47" t="s">
        <v>306</v>
      </c>
      <c r="B99" s="42" t="s">
        <v>444</v>
      </c>
      <c r="C99" s="42" t="s">
        <v>307</v>
      </c>
      <c r="D99" s="42"/>
      <c r="E99" s="42"/>
      <c r="F99" s="10"/>
      <c r="G99" s="11">
        <f>G100</f>
        <v>139.35</v>
      </c>
    </row>
    <row r="100" spans="1:8" ht="24.75" customHeight="1" x14ac:dyDescent="0.25">
      <c r="A100" s="47" t="s">
        <v>315</v>
      </c>
      <c r="B100" s="42" t="s">
        <v>444</v>
      </c>
      <c r="C100" s="42" t="s">
        <v>307</v>
      </c>
      <c r="D100" s="42" t="s">
        <v>278</v>
      </c>
      <c r="E100" s="42"/>
      <c r="F100" s="10"/>
      <c r="G100" s="11">
        <f>G101</f>
        <v>139.35</v>
      </c>
    </row>
    <row r="101" spans="1:8" ht="47.25" x14ac:dyDescent="0.25">
      <c r="A101" s="31" t="s">
        <v>220</v>
      </c>
      <c r="B101" s="42" t="s">
        <v>445</v>
      </c>
      <c r="C101" s="42" t="s">
        <v>307</v>
      </c>
      <c r="D101" s="42" t="s">
        <v>278</v>
      </c>
      <c r="E101" s="42"/>
      <c r="F101" s="10"/>
      <c r="G101" s="11">
        <f>G102</f>
        <v>139.35</v>
      </c>
    </row>
    <row r="102" spans="1:8" ht="47.25" x14ac:dyDescent="0.25">
      <c r="A102" s="31" t="s">
        <v>194</v>
      </c>
      <c r="B102" s="42" t="s">
        <v>445</v>
      </c>
      <c r="C102" s="42" t="s">
        <v>307</v>
      </c>
      <c r="D102" s="42" t="s">
        <v>278</v>
      </c>
      <c r="E102" s="42" t="s">
        <v>195</v>
      </c>
      <c r="F102" s="10"/>
      <c r="G102" s="11">
        <f>G103</f>
        <v>139.35</v>
      </c>
    </row>
    <row r="103" spans="1:8" ht="47.25" x14ac:dyDescent="0.25">
      <c r="A103" s="31" t="s">
        <v>196</v>
      </c>
      <c r="B103" s="42" t="s">
        <v>445</v>
      </c>
      <c r="C103" s="42" t="s">
        <v>307</v>
      </c>
      <c r="D103" s="42" t="s">
        <v>278</v>
      </c>
      <c r="E103" s="42" t="s">
        <v>197</v>
      </c>
      <c r="F103" s="10"/>
      <c r="G103" s="11">
        <f>'Прил.№4 ведомств.'!G450</f>
        <v>139.35</v>
      </c>
      <c r="H103" s="197" t="s">
        <v>981</v>
      </c>
    </row>
    <row r="104" spans="1:8" ht="63" x14ac:dyDescent="0.25">
      <c r="A104" s="47" t="s">
        <v>324</v>
      </c>
      <c r="B104" s="42" t="s">
        <v>444</v>
      </c>
      <c r="C104" s="42" t="s">
        <v>307</v>
      </c>
      <c r="D104" s="42" t="s">
        <v>278</v>
      </c>
      <c r="E104" s="42"/>
      <c r="F104" s="10" t="s">
        <v>725</v>
      </c>
      <c r="G104" s="11">
        <f>G98</f>
        <v>139.35</v>
      </c>
    </row>
    <row r="105" spans="1:8" ht="63" x14ac:dyDescent="0.25">
      <c r="A105" s="64" t="s">
        <v>490</v>
      </c>
      <c r="B105" s="8" t="s">
        <v>470</v>
      </c>
      <c r="C105" s="8"/>
      <c r="D105" s="8"/>
      <c r="E105" s="8"/>
      <c r="F105" s="8"/>
      <c r="G105" s="68">
        <f>G106+G121+G166+G191+G216</f>
        <v>86210.5</v>
      </c>
    </row>
    <row r="106" spans="1:8" ht="47.25" x14ac:dyDescent="0.25">
      <c r="A106" s="43" t="s">
        <v>471</v>
      </c>
      <c r="B106" s="8" t="s">
        <v>472</v>
      </c>
      <c r="C106" s="8"/>
      <c r="D106" s="8"/>
      <c r="E106" s="8"/>
      <c r="F106" s="8"/>
      <c r="G106" s="68">
        <f>G107</f>
        <v>72049.899999999994</v>
      </c>
    </row>
    <row r="107" spans="1:8" ht="15.75" x14ac:dyDescent="0.25">
      <c r="A107" s="31" t="s">
        <v>326</v>
      </c>
      <c r="B107" s="42" t="s">
        <v>472</v>
      </c>
      <c r="C107" s="42" t="s">
        <v>327</v>
      </c>
      <c r="D107" s="42"/>
      <c r="E107" s="42"/>
      <c r="F107" s="42"/>
      <c r="G107" s="11">
        <f>G108+G112+G116</f>
        <v>72049.899999999994</v>
      </c>
    </row>
    <row r="108" spans="1:8" ht="15.75" x14ac:dyDescent="0.25">
      <c r="A108" s="47" t="s">
        <v>468</v>
      </c>
      <c r="B108" s="42" t="s">
        <v>472</v>
      </c>
      <c r="C108" s="42" t="s">
        <v>327</v>
      </c>
      <c r="D108" s="42" t="s">
        <v>181</v>
      </c>
      <c r="E108" s="42"/>
      <c r="F108" s="42"/>
      <c r="G108" s="11">
        <f>G109</f>
        <v>16546.300000000003</v>
      </c>
    </row>
    <row r="109" spans="1:8" ht="63" x14ac:dyDescent="0.25">
      <c r="A109" s="31" t="s">
        <v>473</v>
      </c>
      <c r="B109" s="42" t="s">
        <v>474</v>
      </c>
      <c r="C109" s="42" t="s">
        <v>327</v>
      </c>
      <c r="D109" s="42" t="s">
        <v>181</v>
      </c>
      <c r="E109" s="42"/>
      <c r="F109" s="42"/>
      <c r="G109" s="11">
        <f>G110</f>
        <v>16546.300000000003</v>
      </c>
    </row>
    <row r="110" spans="1:8" ht="63" x14ac:dyDescent="0.25">
      <c r="A110" s="31" t="s">
        <v>335</v>
      </c>
      <c r="B110" s="42" t="s">
        <v>474</v>
      </c>
      <c r="C110" s="42" t="s">
        <v>327</v>
      </c>
      <c r="D110" s="42" t="s">
        <v>181</v>
      </c>
      <c r="E110" s="42" t="s">
        <v>336</v>
      </c>
      <c r="F110" s="42"/>
      <c r="G110" s="11">
        <f>G111</f>
        <v>16546.300000000003</v>
      </c>
    </row>
    <row r="111" spans="1:8" ht="15.75" x14ac:dyDescent="0.25">
      <c r="A111" s="31" t="s">
        <v>337</v>
      </c>
      <c r="B111" s="42" t="s">
        <v>474</v>
      </c>
      <c r="C111" s="42" t="s">
        <v>327</v>
      </c>
      <c r="D111" s="42" t="s">
        <v>181</v>
      </c>
      <c r="E111" s="42" t="s">
        <v>338</v>
      </c>
      <c r="F111" s="42"/>
      <c r="G111" s="7">
        <f>'Прил.№4 ведомств.'!G523</f>
        <v>16546.300000000003</v>
      </c>
      <c r="H111" s="139" t="s">
        <v>1002</v>
      </c>
    </row>
    <row r="112" spans="1:8" ht="15.75" x14ac:dyDescent="0.25">
      <c r="A112" s="31" t="s">
        <v>489</v>
      </c>
      <c r="B112" s="42" t="s">
        <v>472</v>
      </c>
      <c r="C112" s="42" t="s">
        <v>327</v>
      </c>
      <c r="D112" s="42" t="s">
        <v>276</v>
      </c>
      <c r="E112" s="42"/>
      <c r="F112" s="42"/>
      <c r="G112" s="11">
        <f>G113</f>
        <v>32735.699999999997</v>
      </c>
    </row>
    <row r="113" spans="1:8" ht="57.75" customHeight="1" x14ac:dyDescent="0.25">
      <c r="A113" s="31" t="s">
        <v>491</v>
      </c>
      <c r="B113" s="42" t="s">
        <v>492</v>
      </c>
      <c r="C113" s="42" t="s">
        <v>327</v>
      </c>
      <c r="D113" s="42" t="s">
        <v>276</v>
      </c>
      <c r="E113" s="42"/>
      <c r="F113" s="42"/>
      <c r="G113" s="11">
        <f>G114</f>
        <v>32735.699999999997</v>
      </c>
    </row>
    <row r="114" spans="1:8" ht="70.5" customHeight="1" x14ac:dyDescent="0.25">
      <c r="A114" s="31" t="s">
        <v>335</v>
      </c>
      <c r="B114" s="42" t="s">
        <v>492</v>
      </c>
      <c r="C114" s="42" t="s">
        <v>327</v>
      </c>
      <c r="D114" s="42" t="s">
        <v>276</v>
      </c>
      <c r="E114" s="42" t="s">
        <v>336</v>
      </c>
      <c r="F114" s="42"/>
      <c r="G114" s="11">
        <f>G115</f>
        <v>32735.699999999997</v>
      </c>
    </row>
    <row r="115" spans="1:8" ht="15.75" x14ac:dyDescent="0.25">
      <c r="A115" s="31" t="s">
        <v>337</v>
      </c>
      <c r="B115" s="42" t="s">
        <v>492</v>
      </c>
      <c r="C115" s="42" t="s">
        <v>327</v>
      </c>
      <c r="D115" s="42" t="s">
        <v>276</v>
      </c>
      <c r="E115" s="42" t="s">
        <v>338</v>
      </c>
      <c r="F115" s="42"/>
      <c r="G115" s="7">
        <f>'Прил.№4 ведомств.'!G562</f>
        <v>32735.699999999997</v>
      </c>
      <c r="H115" s="139"/>
    </row>
    <row r="116" spans="1:8" ht="15.75" x14ac:dyDescent="0.25">
      <c r="A116" s="31" t="s">
        <v>328</v>
      </c>
      <c r="B116" s="42" t="s">
        <v>472</v>
      </c>
      <c r="C116" s="42" t="s">
        <v>327</v>
      </c>
      <c r="D116" s="42" t="s">
        <v>278</v>
      </c>
      <c r="E116" s="42"/>
      <c r="F116" s="42"/>
      <c r="G116" s="7">
        <f>G117</f>
        <v>22767.9</v>
      </c>
    </row>
    <row r="117" spans="1:8" ht="63" x14ac:dyDescent="0.25">
      <c r="A117" s="31" t="s">
        <v>333</v>
      </c>
      <c r="B117" s="42" t="s">
        <v>493</v>
      </c>
      <c r="C117" s="42" t="s">
        <v>327</v>
      </c>
      <c r="D117" s="42" t="s">
        <v>278</v>
      </c>
      <c r="E117" s="8"/>
      <c r="F117" s="8"/>
      <c r="G117" s="11">
        <f>G118</f>
        <v>22767.9</v>
      </c>
    </row>
    <row r="118" spans="1:8" ht="63" x14ac:dyDescent="0.25">
      <c r="A118" s="31" t="s">
        <v>335</v>
      </c>
      <c r="B118" s="42" t="s">
        <v>493</v>
      </c>
      <c r="C118" s="42" t="s">
        <v>327</v>
      </c>
      <c r="D118" s="42" t="s">
        <v>278</v>
      </c>
      <c r="E118" s="42" t="s">
        <v>336</v>
      </c>
      <c r="F118" s="42"/>
      <c r="G118" s="11">
        <f>G119</f>
        <v>22767.9</v>
      </c>
    </row>
    <row r="119" spans="1:8" ht="15.75" x14ac:dyDescent="0.25">
      <c r="A119" s="31" t="s">
        <v>337</v>
      </c>
      <c r="B119" s="42" t="s">
        <v>493</v>
      </c>
      <c r="C119" s="42" t="s">
        <v>327</v>
      </c>
      <c r="D119" s="42" t="s">
        <v>278</v>
      </c>
      <c r="E119" s="42" t="s">
        <v>338</v>
      </c>
      <c r="F119" s="42"/>
      <c r="G119" s="7">
        <f>'Прил.№4 ведомств.'!G628</f>
        <v>22767.9</v>
      </c>
      <c r="H119" s="139" t="s">
        <v>1003</v>
      </c>
    </row>
    <row r="120" spans="1:8" ht="47.25" x14ac:dyDescent="0.25">
      <c r="A120" s="31" t="s">
        <v>467</v>
      </c>
      <c r="B120" s="42" t="s">
        <v>472</v>
      </c>
      <c r="C120" s="42" t="s">
        <v>327</v>
      </c>
      <c r="D120" s="42" t="s">
        <v>278</v>
      </c>
      <c r="E120" s="42"/>
      <c r="F120" s="42" t="s">
        <v>734</v>
      </c>
      <c r="G120" s="7">
        <f>G106</f>
        <v>72049.899999999994</v>
      </c>
    </row>
    <row r="121" spans="1:8" ht="47.25" x14ac:dyDescent="0.25">
      <c r="A121" s="43" t="s">
        <v>475</v>
      </c>
      <c r="B121" s="8" t="s">
        <v>476</v>
      </c>
      <c r="C121" s="8"/>
      <c r="D121" s="8"/>
      <c r="E121" s="8"/>
      <c r="F121" s="8"/>
      <c r="G121" s="68">
        <f>G122</f>
        <v>6202.2999999999993</v>
      </c>
    </row>
    <row r="122" spans="1:8" ht="15.75" x14ac:dyDescent="0.25">
      <c r="A122" s="31" t="s">
        <v>326</v>
      </c>
      <c r="B122" s="42" t="s">
        <v>476</v>
      </c>
      <c r="C122" s="42" t="s">
        <v>327</v>
      </c>
      <c r="D122" s="42"/>
      <c r="E122" s="42"/>
      <c r="F122" s="42"/>
      <c r="G122" s="11">
        <f>G123</f>
        <v>6202.2999999999993</v>
      </c>
    </row>
    <row r="123" spans="1:8" ht="15.75" x14ac:dyDescent="0.25">
      <c r="A123" s="47" t="s">
        <v>468</v>
      </c>
      <c r="B123" s="42" t="s">
        <v>476</v>
      </c>
      <c r="C123" s="42" t="s">
        <v>327</v>
      </c>
      <c r="D123" s="42" t="s">
        <v>181</v>
      </c>
      <c r="E123" s="42"/>
      <c r="F123" s="42"/>
      <c r="G123" s="11">
        <f>G136+G133+G140</f>
        <v>6202.2999999999993</v>
      </c>
    </row>
    <row r="124" spans="1:8" ht="57.75" hidden="1" customHeight="1" x14ac:dyDescent="0.25">
      <c r="A124" s="31" t="s">
        <v>675</v>
      </c>
      <c r="B124" s="42" t="s">
        <v>676</v>
      </c>
      <c r="C124" s="42" t="s">
        <v>327</v>
      </c>
      <c r="D124" s="42" t="s">
        <v>181</v>
      </c>
      <c r="E124" s="42"/>
      <c r="F124" s="42"/>
      <c r="G124" s="11">
        <f>G125</f>
        <v>0</v>
      </c>
    </row>
    <row r="125" spans="1:8" ht="63" hidden="1" x14ac:dyDescent="0.25">
      <c r="A125" s="31" t="s">
        <v>335</v>
      </c>
      <c r="B125" s="42" t="s">
        <v>676</v>
      </c>
      <c r="C125" s="42" t="s">
        <v>327</v>
      </c>
      <c r="D125" s="42" t="s">
        <v>181</v>
      </c>
      <c r="E125" s="42" t="s">
        <v>336</v>
      </c>
      <c r="F125" s="42"/>
      <c r="G125" s="11">
        <f>G126</f>
        <v>0</v>
      </c>
    </row>
    <row r="126" spans="1:8" ht="15.75" hidden="1" x14ac:dyDescent="0.25">
      <c r="A126" s="31" t="s">
        <v>337</v>
      </c>
      <c r="B126" s="42" t="s">
        <v>676</v>
      </c>
      <c r="C126" s="42" t="s">
        <v>327</v>
      </c>
      <c r="D126" s="42" t="s">
        <v>181</v>
      </c>
      <c r="E126" s="42" t="s">
        <v>338</v>
      </c>
      <c r="F126" s="42"/>
      <c r="G126" s="11"/>
    </row>
    <row r="127" spans="1:8" ht="47.25" hidden="1" x14ac:dyDescent="0.25">
      <c r="A127" s="31" t="s">
        <v>467</v>
      </c>
      <c r="B127" s="42" t="s">
        <v>676</v>
      </c>
      <c r="C127" s="42" t="s">
        <v>327</v>
      </c>
      <c r="D127" s="42" t="s">
        <v>181</v>
      </c>
      <c r="E127" s="42"/>
      <c r="F127" s="42" t="s">
        <v>734</v>
      </c>
      <c r="G127" s="11">
        <v>0</v>
      </c>
    </row>
    <row r="128" spans="1:8" ht="47.25" hidden="1" x14ac:dyDescent="0.25">
      <c r="A128" s="31" t="s">
        <v>341</v>
      </c>
      <c r="B128" s="42" t="s">
        <v>677</v>
      </c>
      <c r="C128" s="42" t="s">
        <v>327</v>
      </c>
      <c r="D128" s="42" t="s">
        <v>181</v>
      </c>
      <c r="E128" s="42"/>
      <c r="F128" s="42"/>
      <c r="G128" s="11">
        <f>G129</f>
        <v>0</v>
      </c>
    </row>
    <row r="129" spans="1:8" ht="63" hidden="1" x14ac:dyDescent="0.25">
      <c r="A129" s="31" t="s">
        <v>335</v>
      </c>
      <c r="B129" s="42" t="s">
        <v>677</v>
      </c>
      <c r="C129" s="42" t="s">
        <v>327</v>
      </c>
      <c r="D129" s="42" t="s">
        <v>181</v>
      </c>
      <c r="E129" s="42" t="s">
        <v>336</v>
      </c>
      <c r="F129" s="42"/>
      <c r="G129" s="11">
        <f>G130</f>
        <v>0</v>
      </c>
    </row>
    <row r="130" spans="1:8" ht="15.75" hidden="1" x14ac:dyDescent="0.25">
      <c r="A130" s="31" t="s">
        <v>337</v>
      </c>
      <c r="B130" s="42" t="s">
        <v>677</v>
      </c>
      <c r="C130" s="42" t="s">
        <v>327</v>
      </c>
      <c r="D130" s="42" t="s">
        <v>181</v>
      </c>
      <c r="E130" s="42" t="s">
        <v>338</v>
      </c>
      <c r="F130" s="42"/>
      <c r="G130" s="11"/>
    </row>
    <row r="131" spans="1:8" ht="47.25" hidden="1" x14ac:dyDescent="0.25">
      <c r="A131" s="31" t="s">
        <v>467</v>
      </c>
      <c r="B131" s="42" t="s">
        <v>677</v>
      </c>
      <c r="C131" s="42" t="s">
        <v>327</v>
      </c>
      <c r="D131" s="42" t="s">
        <v>181</v>
      </c>
      <c r="E131" s="42"/>
      <c r="F131" s="42" t="s">
        <v>734</v>
      </c>
      <c r="G131" s="11">
        <v>0</v>
      </c>
    </row>
    <row r="132" spans="1:8" ht="31.5" x14ac:dyDescent="0.25">
      <c r="A132" s="31" t="s">
        <v>343</v>
      </c>
      <c r="B132" s="42" t="s">
        <v>478</v>
      </c>
      <c r="C132" s="42" t="s">
        <v>327</v>
      </c>
      <c r="D132" s="42" t="s">
        <v>181</v>
      </c>
      <c r="E132" s="42"/>
      <c r="F132" s="42"/>
      <c r="G132" s="11">
        <f>G133</f>
        <v>1145</v>
      </c>
    </row>
    <row r="133" spans="1:8" ht="63" x14ac:dyDescent="0.25">
      <c r="A133" s="31" t="s">
        <v>335</v>
      </c>
      <c r="B133" s="42" t="s">
        <v>478</v>
      </c>
      <c r="C133" s="42" t="s">
        <v>327</v>
      </c>
      <c r="D133" s="42" t="s">
        <v>181</v>
      </c>
      <c r="E133" s="42" t="s">
        <v>336</v>
      </c>
      <c r="F133" s="42"/>
      <c r="G133" s="11">
        <f>G134</f>
        <v>1145</v>
      </c>
    </row>
    <row r="134" spans="1:8" ht="15.75" x14ac:dyDescent="0.25">
      <c r="A134" s="31" t="s">
        <v>337</v>
      </c>
      <c r="B134" s="42" t="s">
        <v>478</v>
      </c>
      <c r="C134" s="42" t="s">
        <v>327</v>
      </c>
      <c r="D134" s="42" t="s">
        <v>181</v>
      </c>
      <c r="E134" s="42" t="s">
        <v>338</v>
      </c>
      <c r="F134" s="42"/>
      <c r="G134" s="11">
        <f>'Прил.№4 ведомств.'!G530</f>
        <v>1145</v>
      </c>
      <c r="H134" s="139"/>
    </row>
    <row r="135" spans="1:8" ht="47.25" hidden="1" x14ac:dyDescent="0.25">
      <c r="A135" s="31" t="s">
        <v>467</v>
      </c>
      <c r="B135" s="42" t="s">
        <v>478</v>
      </c>
      <c r="C135" s="42" t="s">
        <v>327</v>
      </c>
      <c r="D135" s="42" t="s">
        <v>181</v>
      </c>
      <c r="E135" s="42"/>
      <c r="F135" s="42" t="s">
        <v>734</v>
      </c>
      <c r="G135" s="11"/>
    </row>
    <row r="136" spans="1:8" ht="63" x14ac:dyDescent="0.25">
      <c r="A136" s="31" t="s">
        <v>479</v>
      </c>
      <c r="B136" s="42" t="s">
        <v>480</v>
      </c>
      <c r="C136" s="42" t="s">
        <v>327</v>
      </c>
      <c r="D136" s="42" t="s">
        <v>181</v>
      </c>
      <c r="E136" s="42"/>
      <c r="F136" s="42"/>
      <c r="G136" s="11">
        <f>G137</f>
        <v>4825.8999999999996</v>
      </c>
    </row>
    <row r="137" spans="1:8" ht="65.25" customHeight="1" x14ac:dyDescent="0.25">
      <c r="A137" s="31" t="s">
        <v>335</v>
      </c>
      <c r="B137" s="42" t="s">
        <v>480</v>
      </c>
      <c r="C137" s="42" t="s">
        <v>327</v>
      </c>
      <c r="D137" s="42" t="s">
        <v>181</v>
      </c>
      <c r="E137" s="42" t="s">
        <v>336</v>
      </c>
      <c r="F137" s="42"/>
      <c r="G137" s="11">
        <f>G138</f>
        <v>4825.8999999999996</v>
      </c>
    </row>
    <row r="138" spans="1:8" ht="15.75" x14ac:dyDescent="0.25">
      <c r="A138" s="31" t="s">
        <v>337</v>
      </c>
      <c r="B138" s="42" t="s">
        <v>480</v>
      </c>
      <c r="C138" s="42" t="s">
        <v>327</v>
      </c>
      <c r="D138" s="42" t="s">
        <v>181</v>
      </c>
      <c r="E138" s="42" t="s">
        <v>338</v>
      </c>
      <c r="F138" s="42"/>
      <c r="G138" s="7">
        <f>'Прил.№4 ведомств.'!G533</f>
        <v>4825.8999999999996</v>
      </c>
      <c r="H138" s="139" t="s">
        <v>940</v>
      </c>
    </row>
    <row r="139" spans="1:8" ht="47.25" hidden="1" x14ac:dyDescent="0.25">
      <c r="A139" s="31" t="s">
        <v>467</v>
      </c>
      <c r="B139" s="42" t="s">
        <v>476</v>
      </c>
      <c r="C139" s="42" t="s">
        <v>327</v>
      </c>
      <c r="D139" s="42" t="s">
        <v>181</v>
      </c>
      <c r="E139" s="42"/>
      <c r="F139" s="42" t="s">
        <v>734</v>
      </c>
      <c r="G139" s="7"/>
    </row>
    <row r="140" spans="1:8" ht="31.5" x14ac:dyDescent="0.25">
      <c r="A140" s="31" t="s">
        <v>347</v>
      </c>
      <c r="B140" s="42" t="s">
        <v>481</v>
      </c>
      <c r="C140" s="42" t="s">
        <v>327</v>
      </c>
      <c r="D140" s="42" t="s">
        <v>181</v>
      </c>
      <c r="E140" s="42"/>
      <c r="F140" s="42"/>
      <c r="G140" s="11">
        <f>G141</f>
        <v>231.4</v>
      </c>
    </row>
    <row r="141" spans="1:8" ht="63" x14ac:dyDescent="0.25">
      <c r="A141" s="31" t="s">
        <v>335</v>
      </c>
      <c r="B141" s="42" t="s">
        <v>481</v>
      </c>
      <c r="C141" s="42" t="s">
        <v>327</v>
      </c>
      <c r="D141" s="42" t="s">
        <v>181</v>
      </c>
      <c r="E141" s="42" t="s">
        <v>336</v>
      </c>
      <c r="F141" s="42"/>
      <c r="G141" s="11">
        <f>G142</f>
        <v>231.4</v>
      </c>
    </row>
    <row r="142" spans="1:8" ht="15.75" x14ac:dyDescent="0.25">
      <c r="A142" s="31" t="s">
        <v>337</v>
      </c>
      <c r="B142" s="42" t="s">
        <v>481</v>
      </c>
      <c r="C142" s="42" t="s">
        <v>327</v>
      </c>
      <c r="D142" s="42" t="s">
        <v>181</v>
      </c>
      <c r="E142" s="42" t="s">
        <v>338</v>
      </c>
      <c r="F142" s="42"/>
      <c r="G142" s="11">
        <f>'Прил.№4 ведомств.'!G536</f>
        <v>231.4</v>
      </c>
      <c r="H142" s="139"/>
    </row>
    <row r="143" spans="1:8" ht="47.25" x14ac:dyDescent="0.25">
      <c r="A143" s="31" t="s">
        <v>467</v>
      </c>
      <c r="B143" s="42" t="s">
        <v>481</v>
      </c>
      <c r="C143" s="42" t="s">
        <v>327</v>
      </c>
      <c r="D143" s="42" t="s">
        <v>181</v>
      </c>
      <c r="E143" s="42"/>
      <c r="F143" s="42" t="s">
        <v>734</v>
      </c>
      <c r="G143" s="11">
        <f>G142+G134+G138</f>
        <v>6202.2999999999993</v>
      </c>
    </row>
    <row r="144" spans="1:8" ht="47.25" x14ac:dyDescent="0.25">
      <c r="A144" s="43" t="s">
        <v>494</v>
      </c>
      <c r="B144" s="8" t="s">
        <v>495</v>
      </c>
      <c r="C144" s="8"/>
      <c r="D144" s="8"/>
      <c r="E144" s="8"/>
      <c r="F144" s="8"/>
      <c r="G144" s="4">
        <f>G165</f>
        <v>4273</v>
      </c>
    </row>
    <row r="145" spans="1:7" ht="70.5" hidden="1" customHeight="1" x14ac:dyDescent="0.25">
      <c r="A145" s="31" t="s">
        <v>675</v>
      </c>
      <c r="B145" s="42" t="s">
        <v>681</v>
      </c>
      <c r="C145" s="42" t="s">
        <v>327</v>
      </c>
      <c r="D145" s="42" t="s">
        <v>276</v>
      </c>
      <c r="E145" s="42"/>
      <c r="F145" s="42"/>
      <c r="G145" s="11">
        <f>G146</f>
        <v>0</v>
      </c>
    </row>
    <row r="146" spans="1:7" ht="63" hidden="1" x14ac:dyDescent="0.25">
      <c r="A146" s="31" t="s">
        <v>335</v>
      </c>
      <c r="B146" s="42" t="s">
        <v>681</v>
      </c>
      <c r="C146" s="42" t="s">
        <v>327</v>
      </c>
      <c r="D146" s="42" t="s">
        <v>276</v>
      </c>
      <c r="E146" s="42" t="s">
        <v>336</v>
      </c>
      <c r="F146" s="42"/>
      <c r="G146" s="11">
        <f>G148</f>
        <v>0</v>
      </c>
    </row>
    <row r="147" spans="1:7" ht="18.75" hidden="1" customHeight="1" x14ac:dyDescent="0.25">
      <c r="A147" s="31" t="s">
        <v>337</v>
      </c>
      <c r="B147" s="42" t="s">
        <v>681</v>
      </c>
      <c r="C147" s="42" t="s">
        <v>327</v>
      </c>
      <c r="D147" s="42" t="s">
        <v>276</v>
      </c>
      <c r="E147" s="42" t="s">
        <v>338</v>
      </c>
      <c r="F147" s="42"/>
      <c r="G147" s="11"/>
    </row>
    <row r="148" spans="1:7" ht="47.25" hidden="1" x14ac:dyDescent="0.25">
      <c r="A148" s="31" t="s">
        <v>467</v>
      </c>
      <c r="B148" s="42" t="s">
        <v>681</v>
      </c>
      <c r="C148" s="42" t="s">
        <v>327</v>
      </c>
      <c r="D148" s="42" t="s">
        <v>276</v>
      </c>
      <c r="E148" s="42"/>
      <c r="F148" s="42" t="s">
        <v>734</v>
      </c>
      <c r="G148" s="11"/>
    </row>
    <row r="149" spans="1:7" ht="78.75" hidden="1" x14ac:dyDescent="0.25">
      <c r="A149" s="26" t="s">
        <v>496</v>
      </c>
      <c r="B149" s="42" t="s">
        <v>497</v>
      </c>
      <c r="C149" s="42" t="s">
        <v>327</v>
      </c>
      <c r="D149" s="42" t="s">
        <v>276</v>
      </c>
      <c r="E149" s="42"/>
      <c r="F149" s="42"/>
      <c r="G149" s="11">
        <f>G150</f>
        <v>0</v>
      </c>
    </row>
    <row r="150" spans="1:7" ht="63" hidden="1" x14ac:dyDescent="0.25">
      <c r="A150" s="31" t="s">
        <v>335</v>
      </c>
      <c r="B150" s="42" t="s">
        <v>497</v>
      </c>
      <c r="C150" s="42" t="s">
        <v>327</v>
      </c>
      <c r="D150" s="42" t="s">
        <v>276</v>
      </c>
      <c r="E150" s="42" t="s">
        <v>336</v>
      </c>
      <c r="F150" s="42"/>
      <c r="G150" s="11">
        <f>G151</f>
        <v>0</v>
      </c>
    </row>
    <row r="151" spans="1:7" ht="15.75" hidden="1" x14ac:dyDescent="0.25">
      <c r="A151" s="31" t="s">
        <v>337</v>
      </c>
      <c r="B151" s="42" t="s">
        <v>497</v>
      </c>
      <c r="C151" s="42" t="s">
        <v>327</v>
      </c>
      <c r="D151" s="42" t="s">
        <v>276</v>
      </c>
      <c r="E151" s="42" t="s">
        <v>338</v>
      </c>
      <c r="F151" s="42"/>
      <c r="G151" s="11"/>
    </row>
    <row r="152" spans="1:7" ht="54.75" hidden="1" customHeight="1" x14ac:dyDescent="0.25">
      <c r="A152" s="31" t="s">
        <v>467</v>
      </c>
      <c r="B152" s="42" t="s">
        <v>497</v>
      </c>
      <c r="C152" s="42" t="s">
        <v>327</v>
      </c>
      <c r="D152" s="42" t="s">
        <v>276</v>
      </c>
      <c r="E152" s="42"/>
      <c r="F152" s="42" t="s">
        <v>734</v>
      </c>
      <c r="G152" s="11">
        <f>G149</f>
        <v>0</v>
      </c>
    </row>
    <row r="153" spans="1:7" ht="31.5" hidden="1" x14ac:dyDescent="0.25">
      <c r="A153" s="26" t="s">
        <v>498</v>
      </c>
      <c r="B153" s="21" t="s">
        <v>499</v>
      </c>
      <c r="C153" s="42" t="s">
        <v>327</v>
      </c>
      <c r="D153" s="42" t="s">
        <v>276</v>
      </c>
      <c r="E153" s="42"/>
      <c r="F153" s="42"/>
      <c r="G153" s="11">
        <f>G154</f>
        <v>0</v>
      </c>
    </row>
    <row r="154" spans="1:7" ht="65.25" hidden="1" customHeight="1" x14ac:dyDescent="0.25">
      <c r="A154" s="26" t="s">
        <v>335</v>
      </c>
      <c r="B154" s="21" t="s">
        <v>499</v>
      </c>
      <c r="C154" s="42" t="s">
        <v>327</v>
      </c>
      <c r="D154" s="42" t="s">
        <v>276</v>
      </c>
      <c r="E154" s="42" t="s">
        <v>336</v>
      </c>
      <c r="F154" s="42"/>
      <c r="G154" s="11">
        <f>G155</f>
        <v>0</v>
      </c>
    </row>
    <row r="155" spans="1:7" ht="15.75" hidden="1" x14ac:dyDescent="0.25">
      <c r="A155" s="26" t="s">
        <v>337</v>
      </c>
      <c r="B155" s="21" t="s">
        <v>499</v>
      </c>
      <c r="C155" s="42" t="s">
        <v>327</v>
      </c>
      <c r="D155" s="42" t="s">
        <v>276</v>
      </c>
      <c r="E155" s="42" t="s">
        <v>338</v>
      </c>
      <c r="F155" s="42"/>
      <c r="G155" s="11"/>
    </row>
    <row r="156" spans="1:7" ht="47.25" hidden="1" x14ac:dyDescent="0.25">
      <c r="A156" s="31" t="s">
        <v>467</v>
      </c>
      <c r="B156" s="21" t="s">
        <v>499</v>
      </c>
      <c r="C156" s="42" t="s">
        <v>327</v>
      </c>
      <c r="D156" s="42" t="s">
        <v>276</v>
      </c>
      <c r="E156" s="42"/>
      <c r="F156" s="42" t="s">
        <v>734</v>
      </c>
      <c r="G156" s="11">
        <f>G153</f>
        <v>0</v>
      </c>
    </row>
    <row r="157" spans="1:7" ht="63" hidden="1" x14ac:dyDescent="0.25">
      <c r="A157" s="26" t="s">
        <v>502</v>
      </c>
      <c r="B157" s="21" t="s">
        <v>503</v>
      </c>
      <c r="C157" s="42" t="s">
        <v>327</v>
      </c>
      <c r="D157" s="42" t="s">
        <v>276</v>
      </c>
      <c r="E157" s="42"/>
      <c r="F157" s="42"/>
      <c r="G157" s="11">
        <f>G158</f>
        <v>0</v>
      </c>
    </row>
    <row r="158" spans="1:7" ht="63" hidden="1" x14ac:dyDescent="0.25">
      <c r="A158" s="31" t="s">
        <v>335</v>
      </c>
      <c r="B158" s="21" t="s">
        <v>503</v>
      </c>
      <c r="C158" s="42" t="s">
        <v>327</v>
      </c>
      <c r="D158" s="42" t="s">
        <v>276</v>
      </c>
      <c r="E158" s="42" t="s">
        <v>336</v>
      </c>
      <c r="F158" s="42"/>
      <c r="G158" s="11">
        <f>G159</f>
        <v>0</v>
      </c>
    </row>
    <row r="159" spans="1:7" ht="15.75" hidden="1" x14ac:dyDescent="0.25">
      <c r="A159" s="31" t="s">
        <v>337</v>
      </c>
      <c r="B159" s="21" t="s">
        <v>503</v>
      </c>
      <c r="C159" s="42" t="s">
        <v>327</v>
      </c>
      <c r="D159" s="42" t="s">
        <v>276</v>
      </c>
      <c r="E159" s="42" t="s">
        <v>338</v>
      </c>
      <c r="F159" s="42"/>
      <c r="G159" s="11"/>
    </row>
    <row r="160" spans="1:7" ht="47.25" hidden="1" x14ac:dyDescent="0.25">
      <c r="A160" s="31" t="s">
        <v>467</v>
      </c>
      <c r="B160" s="21" t="s">
        <v>503</v>
      </c>
      <c r="C160" s="42" t="s">
        <v>327</v>
      </c>
      <c r="D160" s="42" t="s">
        <v>276</v>
      </c>
      <c r="E160" s="42"/>
      <c r="F160" s="42" t="s">
        <v>734</v>
      </c>
      <c r="G160" s="11">
        <f>G159</f>
        <v>0</v>
      </c>
    </row>
    <row r="161" spans="1:8" ht="47.25" hidden="1" x14ac:dyDescent="0.25">
      <c r="A161" s="26" t="s">
        <v>684</v>
      </c>
      <c r="B161" s="21" t="s">
        <v>506</v>
      </c>
      <c r="C161" s="42" t="s">
        <v>327</v>
      </c>
      <c r="D161" s="42" t="s">
        <v>276</v>
      </c>
      <c r="E161" s="42"/>
      <c r="F161" s="42"/>
      <c r="G161" s="11">
        <f>G162</f>
        <v>0</v>
      </c>
    </row>
    <row r="162" spans="1:8" ht="63" hidden="1" x14ac:dyDescent="0.25">
      <c r="A162" s="26" t="s">
        <v>335</v>
      </c>
      <c r="B162" s="21" t="s">
        <v>506</v>
      </c>
      <c r="C162" s="42" t="s">
        <v>327</v>
      </c>
      <c r="D162" s="42" t="s">
        <v>276</v>
      </c>
      <c r="E162" s="42" t="s">
        <v>336</v>
      </c>
      <c r="F162" s="42"/>
      <c r="G162" s="11">
        <f>G163</f>
        <v>0</v>
      </c>
    </row>
    <row r="163" spans="1:8" ht="15.75" hidden="1" x14ac:dyDescent="0.25">
      <c r="A163" s="26" t="s">
        <v>337</v>
      </c>
      <c r="B163" s="21" t="s">
        <v>506</v>
      </c>
      <c r="C163" s="42" t="s">
        <v>327</v>
      </c>
      <c r="D163" s="42" t="s">
        <v>276</v>
      </c>
      <c r="E163" s="42" t="s">
        <v>338</v>
      </c>
      <c r="F163" s="42"/>
      <c r="G163" s="11"/>
    </row>
    <row r="164" spans="1:8" ht="47.25" hidden="1" x14ac:dyDescent="0.25">
      <c r="A164" s="31" t="s">
        <v>467</v>
      </c>
      <c r="B164" s="21" t="s">
        <v>506</v>
      </c>
      <c r="C164" s="42" t="s">
        <v>327</v>
      </c>
      <c r="D164" s="42" t="s">
        <v>276</v>
      </c>
      <c r="E164" s="42"/>
      <c r="F164" s="42" t="s">
        <v>734</v>
      </c>
      <c r="G164" s="11">
        <f>G162</f>
        <v>0</v>
      </c>
    </row>
    <row r="165" spans="1:8" ht="15.75" x14ac:dyDescent="0.25">
      <c r="A165" s="31" t="s">
        <v>326</v>
      </c>
      <c r="B165" s="42" t="s">
        <v>495</v>
      </c>
      <c r="C165" s="42" t="s">
        <v>327</v>
      </c>
      <c r="D165" s="42"/>
      <c r="E165" s="42"/>
      <c r="F165" s="42"/>
      <c r="G165" s="11">
        <f>G166</f>
        <v>4273</v>
      </c>
    </row>
    <row r="166" spans="1:8" ht="15.75" x14ac:dyDescent="0.25">
      <c r="A166" s="31" t="s">
        <v>489</v>
      </c>
      <c r="B166" s="42" t="s">
        <v>495</v>
      </c>
      <c r="C166" s="42" t="s">
        <v>327</v>
      </c>
      <c r="D166" s="42" t="s">
        <v>276</v>
      </c>
      <c r="E166" s="42"/>
      <c r="F166" s="42"/>
      <c r="G166" s="11">
        <f>G167+G170+G176+G173+G179</f>
        <v>4273</v>
      </c>
    </row>
    <row r="167" spans="1:8" ht="78.75" x14ac:dyDescent="0.25">
      <c r="A167" s="31" t="s">
        <v>683</v>
      </c>
      <c r="B167" s="21" t="s">
        <v>501</v>
      </c>
      <c r="C167" s="42" t="s">
        <v>327</v>
      </c>
      <c r="D167" s="42" t="s">
        <v>276</v>
      </c>
      <c r="E167" s="42"/>
      <c r="F167" s="42"/>
      <c r="G167" s="11">
        <f>G168</f>
        <v>2690</v>
      </c>
    </row>
    <row r="168" spans="1:8" ht="63" x14ac:dyDescent="0.25">
      <c r="A168" s="31" t="s">
        <v>335</v>
      </c>
      <c r="B168" s="21" t="s">
        <v>501</v>
      </c>
      <c r="C168" s="42" t="s">
        <v>327</v>
      </c>
      <c r="D168" s="42" t="s">
        <v>276</v>
      </c>
      <c r="E168" s="42" t="s">
        <v>336</v>
      </c>
      <c r="F168" s="42"/>
      <c r="G168" s="11">
        <f>G169</f>
        <v>2690</v>
      </c>
    </row>
    <row r="169" spans="1:8" ht="24" customHeight="1" x14ac:dyDescent="0.25">
      <c r="A169" s="31" t="s">
        <v>337</v>
      </c>
      <c r="B169" s="21" t="s">
        <v>501</v>
      </c>
      <c r="C169" s="42" t="s">
        <v>327</v>
      </c>
      <c r="D169" s="42" t="s">
        <v>276</v>
      </c>
      <c r="E169" s="42" t="s">
        <v>338</v>
      </c>
      <c r="F169" s="42"/>
      <c r="G169" s="7">
        <f>'Прил.№4 ведомств.'!G572</f>
        <v>2690</v>
      </c>
    </row>
    <row r="170" spans="1:8" ht="63" x14ac:dyDescent="0.25">
      <c r="A170" s="26" t="s">
        <v>502</v>
      </c>
      <c r="B170" s="21" t="s">
        <v>503</v>
      </c>
      <c r="C170" s="42" t="s">
        <v>327</v>
      </c>
      <c r="D170" s="42" t="s">
        <v>276</v>
      </c>
      <c r="E170" s="42"/>
      <c r="F170" s="42"/>
      <c r="G170" s="7">
        <f>G171</f>
        <v>320</v>
      </c>
    </row>
    <row r="171" spans="1:8" ht="63" x14ac:dyDescent="0.25">
      <c r="A171" s="26" t="s">
        <v>335</v>
      </c>
      <c r="B171" s="21" t="s">
        <v>503</v>
      </c>
      <c r="C171" s="42" t="s">
        <v>327</v>
      </c>
      <c r="D171" s="42" t="s">
        <v>276</v>
      </c>
      <c r="E171" s="42" t="s">
        <v>336</v>
      </c>
      <c r="F171" s="42"/>
      <c r="G171" s="7">
        <f>G172</f>
        <v>320</v>
      </c>
    </row>
    <row r="172" spans="1:8" ht="15.75" x14ac:dyDescent="0.25">
      <c r="A172" s="26" t="s">
        <v>337</v>
      </c>
      <c r="B172" s="21" t="s">
        <v>503</v>
      </c>
      <c r="C172" s="42" t="s">
        <v>327</v>
      </c>
      <c r="D172" s="42" t="s">
        <v>276</v>
      </c>
      <c r="E172" s="42" t="s">
        <v>338</v>
      </c>
      <c r="F172" s="42"/>
      <c r="G172" s="7">
        <f>'Прил.№4 ведомств.'!G575</f>
        <v>320</v>
      </c>
    </row>
    <row r="173" spans="1:8" ht="47.25" x14ac:dyDescent="0.25">
      <c r="A173" s="26" t="s">
        <v>341</v>
      </c>
      <c r="B173" s="42" t="s">
        <v>506</v>
      </c>
      <c r="C173" s="42" t="s">
        <v>327</v>
      </c>
      <c r="D173" s="42" t="s">
        <v>276</v>
      </c>
      <c r="E173" s="42"/>
      <c r="F173" s="42"/>
      <c r="G173" s="7">
        <f>G174</f>
        <v>841</v>
      </c>
    </row>
    <row r="174" spans="1:8" ht="63" x14ac:dyDescent="0.25">
      <c r="A174" s="26" t="s">
        <v>335</v>
      </c>
      <c r="B174" s="42" t="s">
        <v>506</v>
      </c>
      <c r="C174" s="42" t="s">
        <v>327</v>
      </c>
      <c r="D174" s="42" t="s">
        <v>276</v>
      </c>
      <c r="E174" s="42" t="s">
        <v>336</v>
      </c>
      <c r="F174" s="42"/>
      <c r="G174" s="7">
        <f>G175</f>
        <v>841</v>
      </c>
    </row>
    <row r="175" spans="1:8" ht="15.75" x14ac:dyDescent="0.25">
      <c r="A175" s="26" t="s">
        <v>337</v>
      </c>
      <c r="B175" s="42" t="s">
        <v>506</v>
      </c>
      <c r="C175" s="42" t="s">
        <v>327</v>
      </c>
      <c r="D175" s="42" t="s">
        <v>276</v>
      </c>
      <c r="E175" s="42" t="s">
        <v>338</v>
      </c>
      <c r="F175" s="42"/>
      <c r="G175" s="7">
        <f>'Прил.№4 ведомств.'!G581</f>
        <v>841</v>
      </c>
      <c r="H175" s="139"/>
    </row>
    <row r="176" spans="1:8" ht="47.25" x14ac:dyDescent="0.25">
      <c r="A176" s="31" t="s">
        <v>345</v>
      </c>
      <c r="B176" s="42" t="s">
        <v>508</v>
      </c>
      <c r="C176" s="42" t="s">
        <v>327</v>
      </c>
      <c r="D176" s="42" t="s">
        <v>276</v>
      </c>
      <c r="E176" s="42"/>
      <c r="F176" s="42"/>
      <c r="G176" s="11">
        <f>G177</f>
        <v>192.6</v>
      </c>
    </row>
    <row r="177" spans="1:8" ht="63" x14ac:dyDescent="0.25">
      <c r="A177" s="31" t="s">
        <v>335</v>
      </c>
      <c r="B177" s="42" t="s">
        <v>508</v>
      </c>
      <c r="C177" s="42" t="s">
        <v>327</v>
      </c>
      <c r="D177" s="42" t="s">
        <v>276</v>
      </c>
      <c r="E177" s="42" t="s">
        <v>336</v>
      </c>
      <c r="F177" s="42"/>
      <c r="G177" s="11">
        <f>G178</f>
        <v>192.6</v>
      </c>
    </row>
    <row r="178" spans="1:8" ht="26.25" customHeight="1" x14ac:dyDescent="0.25">
      <c r="A178" s="31" t="s">
        <v>337</v>
      </c>
      <c r="B178" s="42" t="s">
        <v>508</v>
      </c>
      <c r="C178" s="42" t="s">
        <v>327</v>
      </c>
      <c r="D178" s="42" t="s">
        <v>276</v>
      </c>
      <c r="E178" s="42" t="s">
        <v>338</v>
      </c>
      <c r="F178" s="42"/>
      <c r="G178" s="11">
        <f>'Прил.№4 ведомств.'!G587</f>
        <v>192.6</v>
      </c>
      <c r="H178" s="139" t="s">
        <v>986</v>
      </c>
    </row>
    <row r="179" spans="1:8" ht="31.5" x14ac:dyDescent="0.25">
      <c r="A179" s="31" t="s">
        <v>347</v>
      </c>
      <c r="B179" s="42" t="s">
        <v>509</v>
      </c>
      <c r="C179" s="42" t="s">
        <v>327</v>
      </c>
      <c r="D179" s="42" t="s">
        <v>276</v>
      </c>
      <c r="E179" s="42"/>
      <c r="F179" s="42"/>
      <c r="G179" s="11">
        <f>G180</f>
        <v>229.4</v>
      </c>
    </row>
    <row r="180" spans="1:8" ht="63" x14ac:dyDescent="0.25">
      <c r="A180" s="31" t="s">
        <v>335</v>
      </c>
      <c r="B180" s="42" t="s">
        <v>509</v>
      </c>
      <c r="C180" s="42" t="s">
        <v>327</v>
      </c>
      <c r="D180" s="42" t="s">
        <v>276</v>
      </c>
      <c r="E180" s="42" t="s">
        <v>336</v>
      </c>
      <c r="F180" s="42"/>
      <c r="G180" s="11">
        <f>G181</f>
        <v>229.4</v>
      </c>
    </row>
    <row r="181" spans="1:8" ht="26.25" customHeight="1" x14ac:dyDescent="0.25">
      <c r="A181" s="31" t="s">
        <v>337</v>
      </c>
      <c r="B181" s="42" t="s">
        <v>509</v>
      </c>
      <c r="C181" s="42" t="s">
        <v>327</v>
      </c>
      <c r="D181" s="42" t="s">
        <v>276</v>
      </c>
      <c r="E181" s="42" t="s">
        <v>338</v>
      </c>
      <c r="F181" s="42"/>
      <c r="G181" s="11">
        <f>'Прил.№4 ведомств.'!G590</f>
        <v>229.4</v>
      </c>
    </row>
    <row r="182" spans="1:8" ht="47.25" x14ac:dyDescent="0.25">
      <c r="A182" s="31" t="s">
        <v>467</v>
      </c>
      <c r="B182" s="42" t="s">
        <v>495</v>
      </c>
      <c r="C182" s="42" t="s">
        <v>327</v>
      </c>
      <c r="D182" s="42" t="s">
        <v>276</v>
      </c>
      <c r="E182" s="42"/>
      <c r="F182" s="42" t="s">
        <v>734</v>
      </c>
      <c r="G182" s="11">
        <f>G144</f>
        <v>4273</v>
      </c>
    </row>
    <row r="183" spans="1:8" ht="31.5" hidden="1" x14ac:dyDescent="0.25">
      <c r="A183" s="31" t="s">
        <v>347</v>
      </c>
      <c r="B183" s="42" t="s">
        <v>685</v>
      </c>
      <c r="C183" s="42" t="s">
        <v>327</v>
      </c>
      <c r="D183" s="42" t="s">
        <v>276</v>
      </c>
      <c r="E183" s="42"/>
      <c r="F183" s="42"/>
      <c r="G183" s="11">
        <f>G184</f>
        <v>0</v>
      </c>
    </row>
    <row r="184" spans="1:8" ht="63" hidden="1" x14ac:dyDescent="0.25">
      <c r="A184" s="31" t="s">
        <v>335</v>
      </c>
      <c r="B184" s="42" t="s">
        <v>685</v>
      </c>
      <c r="C184" s="42" t="s">
        <v>327</v>
      </c>
      <c r="D184" s="42" t="s">
        <v>276</v>
      </c>
      <c r="E184" s="42" t="s">
        <v>336</v>
      </c>
      <c r="F184" s="42"/>
      <c r="G184" s="11">
        <f>G185</f>
        <v>0</v>
      </c>
    </row>
    <row r="185" spans="1:8" ht="15.75" hidden="1" x14ac:dyDescent="0.25">
      <c r="A185" s="31" t="s">
        <v>337</v>
      </c>
      <c r="B185" s="42" t="s">
        <v>685</v>
      </c>
      <c r="C185" s="42" t="s">
        <v>327</v>
      </c>
      <c r="D185" s="42" t="s">
        <v>276</v>
      </c>
      <c r="E185" s="42" t="s">
        <v>338</v>
      </c>
      <c r="F185" s="42"/>
      <c r="G185" s="11"/>
    </row>
    <row r="186" spans="1:8" ht="47.25" hidden="1" x14ac:dyDescent="0.25">
      <c r="A186" s="31" t="s">
        <v>467</v>
      </c>
      <c r="B186" s="42" t="s">
        <v>685</v>
      </c>
      <c r="C186" s="42" t="s">
        <v>327</v>
      </c>
      <c r="D186" s="42" t="s">
        <v>276</v>
      </c>
      <c r="E186" s="42"/>
      <c r="F186" s="42" t="s">
        <v>734</v>
      </c>
      <c r="G186" s="11">
        <v>0</v>
      </c>
    </row>
    <row r="187" spans="1:8" ht="47.25" hidden="1" x14ac:dyDescent="0.25">
      <c r="A187" s="31" t="s">
        <v>735</v>
      </c>
      <c r="B187" s="42" t="s">
        <v>687</v>
      </c>
      <c r="C187" s="42" t="s">
        <v>327</v>
      </c>
      <c r="D187" s="42" t="s">
        <v>276</v>
      </c>
      <c r="E187" s="42"/>
      <c r="F187" s="42"/>
      <c r="G187" s="11">
        <f>G188</f>
        <v>0</v>
      </c>
    </row>
    <row r="188" spans="1:8" ht="63" hidden="1" x14ac:dyDescent="0.25">
      <c r="A188" s="31" t="s">
        <v>335</v>
      </c>
      <c r="B188" s="42" t="s">
        <v>687</v>
      </c>
      <c r="C188" s="42" t="s">
        <v>327</v>
      </c>
      <c r="D188" s="42" t="s">
        <v>276</v>
      </c>
      <c r="E188" s="42" t="s">
        <v>336</v>
      </c>
      <c r="F188" s="42"/>
      <c r="G188" s="11">
        <f>G189</f>
        <v>0</v>
      </c>
    </row>
    <row r="189" spans="1:8" ht="15.75" hidden="1" x14ac:dyDescent="0.25">
      <c r="A189" s="31" t="s">
        <v>337</v>
      </c>
      <c r="B189" s="42" t="s">
        <v>687</v>
      </c>
      <c r="C189" s="42" t="s">
        <v>327</v>
      </c>
      <c r="D189" s="42" t="s">
        <v>276</v>
      </c>
      <c r="E189" s="42" t="s">
        <v>338</v>
      </c>
      <c r="F189" s="42"/>
      <c r="G189" s="11"/>
    </row>
    <row r="190" spans="1:8" ht="47.25" hidden="1" x14ac:dyDescent="0.25">
      <c r="A190" s="31" t="s">
        <v>467</v>
      </c>
      <c r="B190" s="42" t="s">
        <v>687</v>
      </c>
      <c r="C190" s="42" t="s">
        <v>327</v>
      </c>
      <c r="D190" s="42" t="s">
        <v>276</v>
      </c>
      <c r="E190" s="42"/>
      <c r="F190" s="42" t="s">
        <v>734</v>
      </c>
      <c r="G190" s="11">
        <v>0</v>
      </c>
    </row>
    <row r="191" spans="1:8" ht="45.75" customHeight="1" x14ac:dyDescent="0.25">
      <c r="A191" s="43" t="s">
        <v>510</v>
      </c>
      <c r="B191" s="8" t="s">
        <v>511</v>
      </c>
      <c r="C191" s="8"/>
      <c r="D191" s="8"/>
      <c r="E191" s="8"/>
      <c r="F191" s="8"/>
      <c r="G191" s="68">
        <f>G192</f>
        <v>200.5</v>
      </c>
    </row>
    <row r="192" spans="1:8" ht="21" customHeight="1" x14ac:dyDescent="0.25">
      <c r="A192" s="31" t="s">
        <v>326</v>
      </c>
      <c r="B192" s="42" t="s">
        <v>511</v>
      </c>
      <c r="C192" s="42" t="s">
        <v>327</v>
      </c>
      <c r="D192" s="42"/>
      <c r="E192" s="42"/>
      <c r="F192" s="42"/>
      <c r="G192" s="11">
        <f>G193</f>
        <v>200.5</v>
      </c>
    </row>
    <row r="193" spans="1:8" ht="22.5" customHeight="1" x14ac:dyDescent="0.25">
      <c r="A193" s="31" t="s">
        <v>328</v>
      </c>
      <c r="B193" s="42" t="s">
        <v>511</v>
      </c>
      <c r="C193" s="42" t="s">
        <v>327</v>
      </c>
      <c r="D193" s="42" t="s">
        <v>278</v>
      </c>
      <c r="E193" s="42"/>
      <c r="F193" s="42"/>
      <c r="G193" s="11">
        <f>G197+G194</f>
        <v>200.5</v>
      </c>
    </row>
    <row r="194" spans="1:8" ht="31.5" x14ac:dyDescent="0.25">
      <c r="A194" s="26" t="s">
        <v>347</v>
      </c>
      <c r="B194" s="21" t="s">
        <v>920</v>
      </c>
      <c r="C194" s="42" t="s">
        <v>327</v>
      </c>
      <c r="D194" s="42" t="s">
        <v>278</v>
      </c>
      <c r="E194" s="42"/>
      <c r="F194" s="42"/>
      <c r="G194" s="11">
        <f>G195</f>
        <v>200.5</v>
      </c>
    </row>
    <row r="195" spans="1:8" ht="63" x14ac:dyDescent="0.25">
      <c r="A195" s="26" t="s">
        <v>335</v>
      </c>
      <c r="B195" s="21" t="s">
        <v>920</v>
      </c>
      <c r="C195" s="42" t="s">
        <v>327</v>
      </c>
      <c r="D195" s="42" t="s">
        <v>278</v>
      </c>
      <c r="E195" s="42" t="s">
        <v>336</v>
      </c>
      <c r="F195" s="42"/>
      <c r="G195" s="11">
        <f>G196</f>
        <v>200.5</v>
      </c>
    </row>
    <row r="196" spans="1:8" ht="15.75" x14ac:dyDescent="0.25">
      <c r="A196" s="26" t="s">
        <v>337</v>
      </c>
      <c r="B196" s="21" t="s">
        <v>920</v>
      </c>
      <c r="C196" s="42" t="s">
        <v>327</v>
      </c>
      <c r="D196" s="42" t="s">
        <v>278</v>
      </c>
      <c r="E196" s="42" t="s">
        <v>338</v>
      </c>
      <c r="F196" s="42"/>
      <c r="G196" s="11">
        <f>'Прил.№4 ведомств.'!G632</f>
        <v>200.5</v>
      </c>
      <c r="H196" s="139"/>
    </row>
    <row r="197" spans="1:8" ht="31.5" hidden="1" x14ac:dyDescent="0.25">
      <c r="A197" s="47" t="s">
        <v>832</v>
      </c>
      <c r="B197" s="21" t="s">
        <v>833</v>
      </c>
      <c r="C197" s="42" t="s">
        <v>327</v>
      </c>
      <c r="D197" s="42" t="s">
        <v>278</v>
      </c>
      <c r="E197" s="42"/>
      <c r="F197" s="42"/>
      <c r="G197" s="11">
        <f>G198</f>
        <v>0</v>
      </c>
    </row>
    <row r="198" spans="1:8" ht="63" hidden="1" x14ac:dyDescent="0.25">
      <c r="A198" s="31" t="s">
        <v>335</v>
      </c>
      <c r="B198" s="21" t="s">
        <v>833</v>
      </c>
      <c r="C198" s="42" t="s">
        <v>327</v>
      </c>
      <c r="D198" s="42" t="s">
        <v>278</v>
      </c>
      <c r="E198" s="42" t="s">
        <v>336</v>
      </c>
      <c r="F198" s="42"/>
      <c r="G198" s="11">
        <f>G199</f>
        <v>0</v>
      </c>
    </row>
    <row r="199" spans="1:8" ht="15.75" hidden="1" x14ac:dyDescent="0.25">
      <c r="A199" s="31" t="s">
        <v>337</v>
      </c>
      <c r="B199" s="21" t="s">
        <v>833</v>
      </c>
      <c r="C199" s="42" t="s">
        <v>327</v>
      </c>
      <c r="D199" s="42" t="s">
        <v>278</v>
      </c>
      <c r="E199" s="42" t="s">
        <v>338</v>
      </c>
      <c r="F199" s="42"/>
      <c r="G199" s="11">
        <f>'Прил.№4 ведомств.'!G635</f>
        <v>0</v>
      </c>
      <c r="H199" s="139" t="s">
        <v>941</v>
      </c>
    </row>
    <row r="200" spans="1:8" ht="47.25" x14ac:dyDescent="0.25">
      <c r="A200" s="31" t="s">
        <v>467</v>
      </c>
      <c r="B200" s="21" t="s">
        <v>833</v>
      </c>
      <c r="C200" s="42" t="s">
        <v>327</v>
      </c>
      <c r="D200" s="42" t="s">
        <v>278</v>
      </c>
      <c r="E200" s="42"/>
      <c r="F200" s="42" t="s">
        <v>734</v>
      </c>
      <c r="G200" s="11">
        <f>G192</f>
        <v>200.5</v>
      </c>
    </row>
    <row r="201" spans="1:8" ht="47.25" hidden="1" x14ac:dyDescent="0.25">
      <c r="A201" s="31" t="s">
        <v>736</v>
      </c>
      <c r="B201" s="42" t="s">
        <v>688</v>
      </c>
      <c r="C201" s="42" t="s">
        <v>327</v>
      </c>
      <c r="D201" s="42" t="s">
        <v>276</v>
      </c>
      <c r="E201" s="42"/>
      <c r="F201" s="42"/>
      <c r="G201" s="11">
        <f>G205</f>
        <v>0</v>
      </c>
    </row>
    <row r="202" spans="1:8" ht="63" hidden="1" x14ac:dyDescent="0.25">
      <c r="A202" s="31" t="s">
        <v>335</v>
      </c>
      <c r="B202" s="42" t="s">
        <v>688</v>
      </c>
      <c r="C202" s="42" t="s">
        <v>532</v>
      </c>
      <c r="D202" s="42" t="s">
        <v>737</v>
      </c>
      <c r="E202" s="42" t="s">
        <v>336</v>
      </c>
      <c r="F202" s="42"/>
      <c r="G202" s="11">
        <f>G203</f>
        <v>0</v>
      </c>
    </row>
    <row r="203" spans="1:8" ht="15.75" hidden="1" x14ac:dyDescent="0.25">
      <c r="A203" s="31" t="s">
        <v>337</v>
      </c>
      <c r="B203" s="42" t="s">
        <v>688</v>
      </c>
      <c r="C203" s="42" t="s">
        <v>532</v>
      </c>
      <c r="D203" s="42" t="s">
        <v>737</v>
      </c>
      <c r="E203" s="42" t="s">
        <v>338</v>
      </c>
      <c r="F203" s="42"/>
      <c r="G203" s="11">
        <f>G204</f>
        <v>0</v>
      </c>
    </row>
    <row r="204" spans="1:8" ht="31.5" hidden="1" x14ac:dyDescent="0.25">
      <c r="A204" s="31" t="s">
        <v>678</v>
      </c>
      <c r="B204" s="42" t="s">
        <v>688</v>
      </c>
      <c r="C204" s="42" t="s">
        <v>532</v>
      </c>
      <c r="D204" s="42" t="s">
        <v>737</v>
      </c>
      <c r="E204" s="42" t="s">
        <v>679</v>
      </c>
      <c r="F204" s="42"/>
      <c r="G204" s="11">
        <f>G205</f>
        <v>0</v>
      </c>
    </row>
    <row r="205" spans="1:8" ht="47.25" hidden="1" x14ac:dyDescent="0.25">
      <c r="A205" s="31" t="s">
        <v>467</v>
      </c>
      <c r="B205" s="42" t="s">
        <v>688</v>
      </c>
      <c r="C205" s="42" t="s">
        <v>327</v>
      </c>
      <c r="D205" s="42" t="s">
        <v>276</v>
      </c>
      <c r="E205" s="42"/>
      <c r="F205" s="42" t="s">
        <v>734</v>
      </c>
      <c r="G205" s="11"/>
    </row>
    <row r="206" spans="1:8" ht="47.25" hidden="1" x14ac:dyDescent="0.25">
      <c r="A206" s="31" t="s">
        <v>738</v>
      </c>
      <c r="B206" s="21" t="s">
        <v>512</v>
      </c>
      <c r="C206" s="42" t="s">
        <v>327</v>
      </c>
      <c r="D206" s="42" t="s">
        <v>276</v>
      </c>
      <c r="E206" s="42"/>
      <c r="F206" s="42"/>
      <c r="G206" s="11">
        <f>G207</f>
        <v>0</v>
      </c>
    </row>
    <row r="207" spans="1:8" ht="31.5" hidden="1" x14ac:dyDescent="0.25">
      <c r="A207" s="31" t="s">
        <v>343</v>
      </c>
      <c r="B207" s="21" t="s">
        <v>512</v>
      </c>
      <c r="C207" s="42" t="s">
        <v>327</v>
      </c>
      <c r="D207" s="42" t="s">
        <v>276</v>
      </c>
      <c r="E207" s="42" t="s">
        <v>336</v>
      </c>
      <c r="F207" s="42"/>
      <c r="G207" s="11">
        <f>G208</f>
        <v>0</v>
      </c>
    </row>
    <row r="208" spans="1:8" ht="15.75" hidden="1" x14ac:dyDescent="0.25">
      <c r="A208" s="31" t="s">
        <v>337</v>
      </c>
      <c r="B208" s="21" t="s">
        <v>512</v>
      </c>
      <c r="C208" s="42" t="s">
        <v>327</v>
      </c>
      <c r="D208" s="42" t="s">
        <v>276</v>
      </c>
      <c r="E208" s="42" t="s">
        <v>338</v>
      </c>
      <c r="F208" s="42"/>
      <c r="G208" s="11"/>
    </row>
    <row r="209" spans="1:7" ht="31.5" hidden="1" x14ac:dyDescent="0.25">
      <c r="A209" s="31" t="s">
        <v>678</v>
      </c>
      <c r="B209" s="21" t="s">
        <v>512</v>
      </c>
      <c r="C209" s="42" t="s">
        <v>327</v>
      </c>
      <c r="D209" s="42" t="s">
        <v>276</v>
      </c>
      <c r="E209" s="42" t="s">
        <v>679</v>
      </c>
      <c r="F209" s="42"/>
      <c r="G209" s="11"/>
    </row>
    <row r="210" spans="1:7" ht="47.25" hidden="1" x14ac:dyDescent="0.25">
      <c r="A210" s="31" t="s">
        <v>467</v>
      </c>
      <c r="B210" s="21" t="s">
        <v>512</v>
      </c>
      <c r="C210" s="42" t="s">
        <v>327</v>
      </c>
      <c r="D210" s="42" t="s">
        <v>276</v>
      </c>
      <c r="E210" s="42"/>
      <c r="F210" s="42" t="s">
        <v>734</v>
      </c>
      <c r="G210" s="7">
        <f>G206</f>
        <v>0</v>
      </c>
    </row>
    <row r="211" spans="1:7" ht="47.25" hidden="1" x14ac:dyDescent="0.25">
      <c r="A211" s="31" t="s">
        <v>684</v>
      </c>
      <c r="B211" s="42" t="s">
        <v>513</v>
      </c>
      <c r="C211" s="42" t="s">
        <v>327</v>
      </c>
      <c r="D211" s="42" t="s">
        <v>276</v>
      </c>
      <c r="E211" s="42"/>
      <c r="F211" s="42"/>
      <c r="G211" s="11">
        <f>G212</f>
        <v>0</v>
      </c>
    </row>
    <row r="212" spans="1:7" ht="63" hidden="1" x14ac:dyDescent="0.25">
      <c r="A212" s="31" t="s">
        <v>335</v>
      </c>
      <c r="B212" s="42" t="s">
        <v>513</v>
      </c>
      <c r="C212" s="42" t="s">
        <v>327</v>
      </c>
      <c r="D212" s="42" t="s">
        <v>276</v>
      </c>
      <c r="E212" s="42" t="s">
        <v>336</v>
      </c>
      <c r="F212" s="42"/>
      <c r="G212" s="11">
        <f>G213</f>
        <v>0</v>
      </c>
    </row>
    <row r="213" spans="1:7" ht="15.75" hidden="1" x14ac:dyDescent="0.25">
      <c r="A213" s="31" t="s">
        <v>337</v>
      </c>
      <c r="B213" s="42" t="s">
        <v>513</v>
      </c>
      <c r="C213" s="42" t="s">
        <v>327</v>
      </c>
      <c r="D213" s="42" t="s">
        <v>276</v>
      </c>
      <c r="E213" s="42" t="s">
        <v>338</v>
      </c>
      <c r="F213" s="42" t="s">
        <v>734</v>
      </c>
      <c r="G213" s="11"/>
    </row>
    <row r="214" spans="1:7" ht="15.75" hidden="1" x14ac:dyDescent="0.25">
      <c r="A214" s="31"/>
      <c r="B214" s="42"/>
      <c r="C214" s="42"/>
      <c r="D214" s="42"/>
      <c r="E214" s="42"/>
      <c r="F214" s="42"/>
      <c r="G214" s="11"/>
    </row>
    <row r="215" spans="1:7" ht="15.75" hidden="1" x14ac:dyDescent="0.25">
      <c r="A215" s="31"/>
      <c r="B215" s="42"/>
      <c r="C215" s="42"/>
      <c r="D215" s="42"/>
      <c r="E215" s="42"/>
      <c r="F215" s="42"/>
      <c r="G215" s="11"/>
    </row>
    <row r="216" spans="1:7" ht="47.25" x14ac:dyDescent="0.25">
      <c r="A216" s="43" t="s">
        <v>531</v>
      </c>
      <c r="B216" s="8" t="s">
        <v>533</v>
      </c>
      <c r="C216" s="8"/>
      <c r="D216" s="8"/>
      <c r="E216" s="8"/>
      <c r="F216" s="8"/>
      <c r="G216" s="68">
        <f>G217</f>
        <v>3484.8</v>
      </c>
    </row>
    <row r="217" spans="1:7" ht="15.75" x14ac:dyDescent="0.25">
      <c r="A217" s="31" t="s">
        <v>326</v>
      </c>
      <c r="B217" s="42" t="s">
        <v>533</v>
      </c>
      <c r="C217" s="42" t="s">
        <v>327</v>
      </c>
      <c r="D217" s="42"/>
      <c r="E217" s="42"/>
      <c r="F217" s="42"/>
      <c r="G217" s="11">
        <f>G218</f>
        <v>3484.8</v>
      </c>
    </row>
    <row r="218" spans="1:7" ht="31.5" x14ac:dyDescent="0.25">
      <c r="A218" s="31" t="s">
        <v>530</v>
      </c>
      <c r="B218" s="42" t="s">
        <v>533</v>
      </c>
      <c r="C218" s="42" t="s">
        <v>327</v>
      </c>
      <c r="D218" s="42" t="s">
        <v>327</v>
      </c>
      <c r="E218" s="42"/>
      <c r="F218" s="42"/>
      <c r="G218" s="11">
        <f>G219</f>
        <v>3484.8</v>
      </c>
    </row>
    <row r="219" spans="1:7" ht="47.25" x14ac:dyDescent="0.25">
      <c r="A219" s="26" t="s">
        <v>692</v>
      </c>
      <c r="B219" s="21" t="s">
        <v>535</v>
      </c>
      <c r="C219" s="42" t="s">
        <v>327</v>
      </c>
      <c r="D219" s="42" t="s">
        <v>327</v>
      </c>
      <c r="E219" s="42"/>
      <c r="F219" s="42"/>
      <c r="G219" s="11">
        <f>G220</f>
        <v>3484.8</v>
      </c>
    </row>
    <row r="220" spans="1:7" ht="63" x14ac:dyDescent="0.25">
      <c r="A220" s="31" t="s">
        <v>335</v>
      </c>
      <c r="B220" s="21" t="s">
        <v>535</v>
      </c>
      <c r="C220" s="42" t="s">
        <v>327</v>
      </c>
      <c r="D220" s="42" t="s">
        <v>327</v>
      </c>
      <c r="E220" s="42" t="s">
        <v>336</v>
      </c>
      <c r="F220" s="42"/>
      <c r="G220" s="11">
        <f>G221</f>
        <v>3484.8</v>
      </c>
    </row>
    <row r="221" spans="1:7" ht="15.75" x14ac:dyDescent="0.25">
      <c r="A221" s="31" t="s">
        <v>337</v>
      </c>
      <c r="B221" s="21" t="s">
        <v>535</v>
      </c>
      <c r="C221" s="42" t="s">
        <v>327</v>
      </c>
      <c r="D221" s="42" t="s">
        <v>327</v>
      </c>
      <c r="E221" s="42" t="s">
        <v>338</v>
      </c>
      <c r="F221" s="42"/>
      <c r="G221" s="11">
        <f>'Прил.№4 ведомств.'!G652</f>
        <v>3484.8</v>
      </c>
    </row>
    <row r="222" spans="1:7" ht="47.25" x14ac:dyDescent="0.25">
      <c r="A222" s="31" t="s">
        <v>467</v>
      </c>
      <c r="B222" s="21" t="s">
        <v>533</v>
      </c>
      <c r="C222" s="42" t="s">
        <v>327</v>
      </c>
      <c r="D222" s="42" t="s">
        <v>327</v>
      </c>
      <c r="E222" s="42"/>
      <c r="F222" s="42" t="s">
        <v>734</v>
      </c>
      <c r="G222" s="11">
        <f>G216</f>
        <v>3484.8</v>
      </c>
    </row>
    <row r="223" spans="1:7" ht="78.75" x14ac:dyDescent="0.25">
      <c r="A223" s="64" t="s">
        <v>218</v>
      </c>
      <c r="B223" s="149" t="s">
        <v>219</v>
      </c>
      <c r="C223" s="8"/>
      <c r="D223" s="5"/>
      <c r="E223" s="5"/>
      <c r="F223" s="5"/>
      <c r="G223" s="68">
        <f>G226</f>
        <v>250</v>
      </c>
    </row>
    <row r="224" spans="1:7" ht="15.75" x14ac:dyDescent="0.25">
      <c r="A224" s="47" t="s">
        <v>180</v>
      </c>
      <c r="B224" s="6" t="s">
        <v>219</v>
      </c>
      <c r="C224" s="42" t="s">
        <v>181</v>
      </c>
      <c r="D224" s="6"/>
      <c r="E224" s="6"/>
      <c r="F224" s="6"/>
      <c r="G224" s="11">
        <f>G225</f>
        <v>250</v>
      </c>
    </row>
    <row r="225" spans="1:7" ht="31.5" x14ac:dyDescent="0.25">
      <c r="A225" s="79" t="s">
        <v>202</v>
      </c>
      <c r="B225" s="78" t="s">
        <v>219</v>
      </c>
      <c r="C225" s="42" t="s">
        <v>181</v>
      </c>
      <c r="D225" s="78">
        <v>13</v>
      </c>
      <c r="E225" s="78"/>
      <c r="F225" s="78"/>
      <c r="G225" s="11">
        <f>G226</f>
        <v>250</v>
      </c>
    </row>
    <row r="226" spans="1:7" ht="47.25" x14ac:dyDescent="0.25">
      <c r="A226" s="31" t="s">
        <v>220</v>
      </c>
      <c r="B226" s="78" t="s">
        <v>221</v>
      </c>
      <c r="C226" s="42" t="s">
        <v>181</v>
      </c>
      <c r="D226" s="42" t="s">
        <v>203</v>
      </c>
      <c r="E226" s="42"/>
      <c r="F226" s="42"/>
      <c r="G226" s="11">
        <f>G227</f>
        <v>250</v>
      </c>
    </row>
    <row r="227" spans="1:7" ht="47.25" x14ac:dyDescent="0.25">
      <c r="A227" s="31" t="s">
        <v>194</v>
      </c>
      <c r="B227" s="78" t="s">
        <v>221</v>
      </c>
      <c r="C227" s="42" t="s">
        <v>181</v>
      </c>
      <c r="D227" s="42" t="s">
        <v>203</v>
      </c>
      <c r="E227" s="42" t="s">
        <v>208</v>
      </c>
      <c r="F227" s="42"/>
      <c r="G227" s="11">
        <f>G228</f>
        <v>250</v>
      </c>
    </row>
    <row r="228" spans="1:7" ht="69" customHeight="1" x14ac:dyDescent="0.25">
      <c r="A228" s="31" t="s">
        <v>247</v>
      </c>
      <c r="B228" s="78" t="s">
        <v>221</v>
      </c>
      <c r="C228" s="42" t="s">
        <v>181</v>
      </c>
      <c r="D228" s="42" t="s">
        <v>203</v>
      </c>
      <c r="E228" s="42" t="s">
        <v>223</v>
      </c>
      <c r="F228" s="42"/>
      <c r="G228" s="11">
        <f>'Прил.№4 ведомств.'!G60</f>
        <v>250</v>
      </c>
    </row>
    <row r="229" spans="1:7" ht="31.5" x14ac:dyDescent="0.25">
      <c r="A229" s="31" t="s">
        <v>211</v>
      </c>
      <c r="B229" s="78" t="s">
        <v>219</v>
      </c>
      <c r="C229" s="42" t="s">
        <v>181</v>
      </c>
      <c r="D229" s="42" t="s">
        <v>203</v>
      </c>
      <c r="E229" s="42"/>
      <c r="F229" s="42" t="s">
        <v>739</v>
      </c>
      <c r="G229" s="11">
        <f>G223</f>
        <v>250</v>
      </c>
    </row>
    <row r="230" spans="1:7" ht="73.5" customHeight="1" x14ac:dyDescent="0.25">
      <c r="A230" s="43" t="s">
        <v>224</v>
      </c>
      <c r="B230" s="149" t="s">
        <v>225</v>
      </c>
      <c r="C230" s="8"/>
      <c r="D230" s="8"/>
      <c r="E230" s="8"/>
      <c r="F230" s="8"/>
      <c r="G230" s="68">
        <f>G231</f>
        <v>654</v>
      </c>
    </row>
    <row r="231" spans="1:7" ht="15.75" x14ac:dyDescent="0.25">
      <c r="A231" s="47" t="s">
        <v>180</v>
      </c>
      <c r="B231" s="6" t="s">
        <v>225</v>
      </c>
      <c r="C231" s="42" t="s">
        <v>181</v>
      </c>
      <c r="D231" s="6"/>
      <c r="E231" s="6"/>
      <c r="F231" s="42"/>
      <c r="G231" s="11">
        <f>G232</f>
        <v>654</v>
      </c>
    </row>
    <row r="232" spans="1:7" ht="31.5" x14ac:dyDescent="0.25">
      <c r="A232" s="79" t="s">
        <v>202</v>
      </c>
      <c r="B232" s="78" t="s">
        <v>225</v>
      </c>
      <c r="C232" s="42" t="s">
        <v>181</v>
      </c>
      <c r="D232" s="78">
        <v>13</v>
      </c>
      <c r="E232" s="78"/>
      <c r="F232" s="42"/>
      <c r="G232" s="11">
        <f>G233+G236+G241+G244</f>
        <v>654</v>
      </c>
    </row>
    <row r="233" spans="1:7" ht="31.5" x14ac:dyDescent="0.25">
      <c r="A233" s="31" t="s">
        <v>226</v>
      </c>
      <c r="B233" s="42" t="s">
        <v>227</v>
      </c>
      <c r="C233" s="42" t="s">
        <v>181</v>
      </c>
      <c r="D233" s="42" t="s">
        <v>203</v>
      </c>
      <c r="E233" s="42"/>
      <c r="F233" s="42"/>
      <c r="G233" s="11">
        <f>G234</f>
        <v>428.1</v>
      </c>
    </row>
    <row r="234" spans="1:7" ht="47.25" x14ac:dyDescent="0.25">
      <c r="A234" s="31" t="s">
        <v>194</v>
      </c>
      <c r="B234" s="42" t="s">
        <v>227</v>
      </c>
      <c r="C234" s="42" t="s">
        <v>181</v>
      </c>
      <c r="D234" s="42" t="s">
        <v>203</v>
      </c>
      <c r="E234" s="42" t="s">
        <v>195</v>
      </c>
      <c r="F234" s="42"/>
      <c r="G234" s="11">
        <f>G235</f>
        <v>428.1</v>
      </c>
    </row>
    <row r="235" spans="1:7" ht="47.25" x14ac:dyDescent="0.25">
      <c r="A235" s="31" t="s">
        <v>196</v>
      </c>
      <c r="B235" s="42" t="s">
        <v>227</v>
      </c>
      <c r="C235" s="42" t="s">
        <v>181</v>
      </c>
      <c r="D235" s="42" t="s">
        <v>203</v>
      </c>
      <c r="E235" s="42" t="s">
        <v>197</v>
      </c>
      <c r="F235" s="42"/>
      <c r="G235" s="11">
        <f>'Прил.№4 ведомств.'!G64</f>
        <v>428.1</v>
      </c>
    </row>
    <row r="236" spans="1:7" ht="78.75" x14ac:dyDescent="0.25">
      <c r="A236" s="123" t="s">
        <v>228</v>
      </c>
      <c r="B236" s="42" t="s">
        <v>229</v>
      </c>
      <c r="C236" s="42" t="s">
        <v>181</v>
      </c>
      <c r="D236" s="42" t="s">
        <v>203</v>
      </c>
      <c r="E236" s="42"/>
      <c r="F236" s="42"/>
      <c r="G236" s="11">
        <f>G237+G239</f>
        <v>224.89999999999998</v>
      </c>
    </row>
    <row r="237" spans="1:7" ht="110.25" x14ac:dyDescent="0.25">
      <c r="A237" s="31" t="s">
        <v>190</v>
      </c>
      <c r="B237" s="42" t="s">
        <v>229</v>
      </c>
      <c r="C237" s="42" t="s">
        <v>181</v>
      </c>
      <c r="D237" s="42" t="s">
        <v>203</v>
      </c>
      <c r="E237" s="42" t="s">
        <v>191</v>
      </c>
      <c r="F237" s="42"/>
      <c r="G237" s="11">
        <f>G238</f>
        <v>159.69999999999999</v>
      </c>
    </row>
    <row r="238" spans="1:7" ht="47.25" x14ac:dyDescent="0.25">
      <c r="A238" s="31" t="s">
        <v>192</v>
      </c>
      <c r="B238" s="42" t="s">
        <v>229</v>
      </c>
      <c r="C238" s="42" t="s">
        <v>181</v>
      </c>
      <c r="D238" s="42" t="s">
        <v>203</v>
      </c>
      <c r="E238" s="42" t="s">
        <v>193</v>
      </c>
      <c r="F238" s="42"/>
      <c r="G238" s="11">
        <f>'Прил.№4 ведомств.'!G67</f>
        <v>159.69999999999999</v>
      </c>
    </row>
    <row r="239" spans="1:7" ht="47.25" x14ac:dyDescent="0.25">
      <c r="A239" s="31" t="s">
        <v>194</v>
      </c>
      <c r="B239" s="42" t="s">
        <v>229</v>
      </c>
      <c r="C239" s="42" t="s">
        <v>181</v>
      </c>
      <c r="D239" s="42" t="s">
        <v>203</v>
      </c>
      <c r="E239" s="42" t="s">
        <v>195</v>
      </c>
      <c r="F239" s="42"/>
      <c r="G239" s="11">
        <f>G240</f>
        <v>65.2</v>
      </c>
    </row>
    <row r="240" spans="1:7" ht="47.25" x14ac:dyDescent="0.25">
      <c r="A240" s="31" t="s">
        <v>196</v>
      </c>
      <c r="B240" s="42" t="s">
        <v>229</v>
      </c>
      <c r="C240" s="42" t="s">
        <v>181</v>
      </c>
      <c r="D240" s="42" t="s">
        <v>203</v>
      </c>
      <c r="E240" s="42" t="s">
        <v>197</v>
      </c>
      <c r="F240" s="42"/>
      <c r="G240" s="11">
        <f>'Прил.№4 ведомств.'!G69</f>
        <v>65.2</v>
      </c>
    </row>
    <row r="241" spans="1:7" ht="63" x14ac:dyDescent="0.25">
      <c r="A241" s="33" t="s">
        <v>802</v>
      </c>
      <c r="B241" s="42" t="s">
        <v>803</v>
      </c>
      <c r="C241" s="42" t="s">
        <v>181</v>
      </c>
      <c r="D241" s="42" t="s">
        <v>203</v>
      </c>
      <c r="E241" s="42"/>
      <c r="F241" s="42"/>
      <c r="G241" s="11">
        <f>G242</f>
        <v>0.5</v>
      </c>
    </row>
    <row r="242" spans="1:7" ht="47.25" x14ac:dyDescent="0.25">
      <c r="A242" s="26" t="s">
        <v>194</v>
      </c>
      <c r="B242" s="42" t="s">
        <v>803</v>
      </c>
      <c r="C242" s="42" t="s">
        <v>181</v>
      </c>
      <c r="D242" s="42" t="s">
        <v>203</v>
      </c>
      <c r="E242" s="42" t="s">
        <v>195</v>
      </c>
      <c r="F242" s="42"/>
      <c r="G242" s="11">
        <f>G243</f>
        <v>0.5</v>
      </c>
    </row>
    <row r="243" spans="1:7" ht="47.25" x14ac:dyDescent="0.25">
      <c r="A243" s="26" t="s">
        <v>196</v>
      </c>
      <c r="B243" s="42" t="s">
        <v>803</v>
      </c>
      <c r="C243" s="42" t="s">
        <v>181</v>
      </c>
      <c r="D243" s="42" t="s">
        <v>203</v>
      </c>
      <c r="E243" s="42" t="s">
        <v>197</v>
      </c>
      <c r="F243" s="42"/>
      <c r="G243" s="11">
        <f>'Прил.№4 ведомств.'!G978</f>
        <v>0.5</v>
      </c>
    </row>
    <row r="244" spans="1:7" ht="63" x14ac:dyDescent="0.25">
      <c r="A244" s="35" t="s">
        <v>254</v>
      </c>
      <c r="B244" s="42" t="s">
        <v>789</v>
      </c>
      <c r="C244" s="42" t="s">
        <v>181</v>
      </c>
      <c r="D244" s="42" t="s">
        <v>203</v>
      </c>
      <c r="E244" s="42"/>
      <c r="F244" s="42"/>
      <c r="G244" s="11">
        <f>G245</f>
        <v>0.5</v>
      </c>
    </row>
    <row r="245" spans="1:7" ht="47.25" x14ac:dyDescent="0.25">
      <c r="A245" s="26" t="s">
        <v>194</v>
      </c>
      <c r="B245" s="42" t="s">
        <v>789</v>
      </c>
      <c r="C245" s="42" t="s">
        <v>181</v>
      </c>
      <c r="D245" s="42" t="s">
        <v>203</v>
      </c>
      <c r="E245" s="42" t="s">
        <v>195</v>
      </c>
      <c r="F245" s="42"/>
      <c r="G245" s="11">
        <f>G246</f>
        <v>0.5</v>
      </c>
    </row>
    <row r="246" spans="1:7" ht="47.25" x14ac:dyDescent="0.25">
      <c r="A246" s="26" t="s">
        <v>196</v>
      </c>
      <c r="B246" s="42" t="s">
        <v>789</v>
      </c>
      <c r="C246" s="42" t="s">
        <v>181</v>
      </c>
      <c r="D246" s="42" t="s">
        <v>203</v>
      </c>
      <c r="E246" s="42" t="s">
        <v>197</v>
      </c>
      <c r="F246" s="42"/>
      <c r="G246" s="11">
        <f>'Прил.№4 ведомств.'!G72</f>
        <v>0.5</v>
      </c>
    </row>
    <row r="247" spans="1:7" ht="31.5" x14ac:dyDescent="0.25">
      <c r="A247" s="31" t="s">
        <v>211</v>
      </c>
      <c r="B247" s="42" t="s">
        <v>225</v>
      </c>
      <c r="C247" s="42" t="s">
        <v>181</v>
      </c>
      <c r="D247" s="42" t="s">
        <v>203</v>
      </c>
      <c r="E247" s="42"/>
      <c r="F247" s="42" t="s">
        <v>739</v>
      </c>
      <c r="G247" s="11">
        <f>G230</f>
        <v>654</v>
      </c>
    </row>
    <row r="248" spans="1:7" ht="94.5" x14ac:dyDescent="0.25">
      <c r="A248" s="43" t="s">
        <v>316</v>
      </c>
      <c r="B248" s="149" t="s">
        <v>317</v>
      </c>
      <c r="C248" s="42"/>
      <c r="D248" s="42"/>
      <c r="E248" s="42"/>
      <c r="F248" s="42"/>
      <c r="G248" s="68">
        <f>G249</f>
        <v>10</v>
      </c>
    </row>
    <row r="249" spans="1:7" ht="15.75" x14ac:dyDescent="0.25">
      <c r="A249" s="31" t="s">
        <v>306</v>
      </c>
      <c r="B249" s="6" t="s">
        <v>317</v>
      </c>
      <c r="C249" s="42" t="s">
        <v>307</v>
      </c>
      <c r="D249" s="42"/>
      <c r="E249" s="42"/>
      <c r="F249" s="42"/>
      <c r="G249" s="11">
        <f>G250</f>
        <v>10</v>
      </c>
    </row>
    <row r="250" spans="1:7" ht="22.5" customHeight="1" x14ac:dyDescent="0.25">
      <c r="A250" s="31" t="s">
        <v>315</v>
      </c>
      <c r="B250" s="6" t="s">
        <v>317</v>
      </c>
      <c r="C250" s="42" t="s">
        <v>307</v>
      </c>
      <c r="D250" s="42" t="s">
        <v>278</v>
      </c>
      <c r="E250" s="42"/>
      <c r="F250" s="42"/>
      <c r="G250" s="11">
        <f>G251</f>
        <v>10</v>
      </c>
    </row>
    <row r="251" spans="1:7" ht="47.25" x14ac:dyDescent="0.25">
      <c r="A251" s="31" t="s">
        <v>220</v>
      </c>
      <c r="B251" s="78" t="s">
        <v>318</v>
      </c>
      <c r="C251" s="42" t="s">
        <v>307</v>
      </c>
      <c r="D251" s="42" t="s">
        <v>278</v>
      </c>
      <c r="E251" s="42"/>
      <c r="F251" s="42"/>
      <c r="G251" s="11">
        <f>G252</f>
        <v>10</v>
      </c>
    </row>
    <row r="252" spans="1:7" ht="38.25" customHeight="1" x14ac:dyDescent="0.25">
      <c r="A252" s="31" t="s">
        <v>311</v>
      </c>
      <c r="B252" s="78" t="s">
        <v>318</v>
      </c>
      <c r="C252" s="42" t="s">
        <v>307</v>
      </c>
      <c r="D252" s="42" t="s">
        <v>278</v>
      </c>
      <c r="E252" s="42" t="s">
        <v>312</v>
      </c>
      <c r="F252" s="42"/>
      <c r="G252" s="11">
        <f>G253</f>
        <v>10</v>
      </c>
    </row>
    <row r="253" spans="1:7" ht="47.25" x14ac:dyDescent="0.25">
      <c r="A253" s="31" t="s">
        <v>313</v>
      </c>
      <c r="B253" s="78" t="s">
        <v>318</v>
      </c>
      <c r="C253" s="42" t="s">
        <v>307</v>
      </c>
      <c r="D253" s="42" t="s">
        <v>278</v>
      </c>
      <c r="E253" s="42" t="s">
        <v>314</v>
      </c>
      <c r="F253" s="42"/>
      <c r="G253" s="11">
        <f>'Прил.№4 ведомств.'!G209</f>
        <v>10</v>
      </c>
    </row>
    <row r="254" spans="1:7" ht="31.5" x14ac:dyDescent="0.25">
      <c r="A254" s="47" t="s">
        <v>211</v>
      </c>
      <c r="B254" s="78" t="s">
        <v>317</v>
      </c>
      <c r="C254" s="42" t="s">
        <v>307</v>
      </c>
      <c r="D254" s="42" t="s">
        <v>278</v>
      </c>
      <c r="E254" s="42"/>
      <c r="F254" s="42" t="s">
        <v>739</v>
      </c>
      <c r="G254" s="11">
        <f>G248</f>
        <v>10</v>
      </c>
    </row>
    <row r="255" spans="1:7" ht="141.75" x14ac:dyDescent="0.25">
      <c r="A255" s="43" t="s">
        <v>666</v>
      </c>
      <c r="B255" s="149" t="s">
        <v>231</v>
      </c>
      <c r="C255" s="8"/>
      <c r="D255" s="8"/>
      <c r="E255" s="8"/>
      <c r="F255" s="8"/>
      <c r="G255" s="68">
        <f>G256+G263+G270</f>
        <v>80</v>
      </c>
    </row>
    <row r="256" spans="1:7" ht="110.25" x14ac:dyDescent="0.25">
      <c r="A256" s="43" t="s">
        <v>232</v>
      </c>
      <c r="B256" s="149" t="s">
        <v>233</v>
      </c>
      <c r="C256" s="8"/>
      <c r="D256" s="8"/>
      <c r="E256" s="8"/>
      <c r="F256" s="8"/>
      <c r="G256" s="68">
        <f>G257</f>
        <v>15</v>
      </c>
    </row>
    <row r="257" spans="1:7" ht="15.75" x14ac:dyDescent="0.25">
      <c r="A257" s="47" t="s">
        <v>180</v>
      </c>
      <c r="B257" s="6" t="s">
        <v>233</v>
      </c>
      <c r="C257" s="42" t="s">
        <v>181</v>
      </c>
      <c r="D257" s="42"/>
      <c r="E257" s="42"/>
      <c r="F257" s="42"/>
      <c r="G257" s="11">
        <f>G258</f>
        <v>15</v>
      </c>
    </row>
    <row r="258" spans="1:7" ht="33.75" customHeight="1" x14ac:dyDescent="0.25">
      <c r="A258" s="79" t="s">
        <v>202</v>
      </c>
      <c r="B258" s="6" t="s">
        <v>233</v>
      </c>
      <c r="C258" s="42" t="s">
        <v>181</v>
      </c>
      <c r="D258" s="42" t="s">
        <v>203</v>
      </c>
      <c r="E258" s="42"/>
      <c r="F258" s="42"/>
      <c r="G258" s="11">
        <f>G259</f>
        <v>15</v>
      </c>
    </row>
    <row r="259" spans="1:7" ht="47.25" x14ac:dyDescent="0.25">
      <c r="A259" s="123" t="s">
        <v>234</v>
      </c>
      <c r="B259" s="6" t="s">
        <v>235</v>
      </c>
      <c r="C259" s="42" t="s">
        <v>181</v>
      </c>
      <c r="D259" s="42" t="s">
        <v>203</v>
      </c>
      <c r="E259" s="42"/>
      <c r="F259" s="42"/>
      <c r="G259" s="11">
        <f>G260</f>
        <v>15</v>
      </c>
    </row>
    <row r="260" spans="1:7" ht="47.25" x14ac:dyDescent="0.25">
      <c r="A260" s="31" t="s">
        <v>194</v>
      </c>
      <c r="B260" s="6" t="s">
        <v>235</v>
      </c>
      <c r="C260" s="42" t="s">
        <v>181</v>
      </c>
      <c r="D260" s="42" t="s">
        <v>203</v>
      </c>
      <c r="E260" s="42" t="s">
        <v>195</v>
      </c>
      <c r="F260" s="42"/>
      <c r="G260" s="11">
        <f>G261</f>
        <v>15</v>
      </c>
    </row>
    <row r="261" spans="1:7" ht="47.25" x14ac:dyDescent="0.25">
      <c r="A261" s="31" t="s">
        <v>196</v>
      </c>
      <c r="B261" s="6" t="s">
        <v>235</v>
      </c>
      <c r="C261" s="42" t="s">
        <v>181</v>
      </c>
      <c r="D261" s="42" t="s">
        <v>203</v>
      </c>
      <c r="E261" s="42" t="s">
        <v>197</v>
      </c>
      <c r="F261" s="42"/>
      <c r="G261" s="11">
        <f>'Прил.№4 ведомств.'!G77</f>
        <v>15</v>
      </c>
    </row>
    <row r="262" spans="1:7" ht="31.5" x14ac:dyDescent="0.25">
      <c r="A262" s="31" t="s">
        <v>211</v>
      </c>
      <c r="B262" s="6" t="s">
        <v>233</v>
      </c>
      <c r="C262" s="42" t="s">
        <v>181</v>
      </c>
      <c r="D262" s="42" t="s">
        <v>203</v>
      </c>
      <c r="E262" s="42"/>
      <c r="F262" s="42" t="s">
        <v>739</v>
      </c>
      <c r="G262" s="7">
        <f>G256</f>
        <v>15</v>
      </c>
    </row>
    <row r="263" spans="1:7" ht="94.5" x14ac:dyDescent="0.25">
      <c r="A263" s="43" t="s">
        <v>236</v>
      </c>
      <c r="B263" s="149" t="s">
        <v>237</v>
      </c>
      <c r="C263" s="8"/>
      <c r="D263" s="8"/>
      <c r="E263" s="8"/>
      <c r="F263" s="8"/>
      <c r="G263" s="68">
        <f>G264</f>
        <v>50</v>
      </c>
    </row>
    <row r="264" spans="1:7" ht="15.75" x14ac:dyDescent="0.25">
      <c r="A264" s="47" t="s">
        <v>180</v>
      </c>
      <c r="B264" s="6" t="s">
        <v>237</v>
      </c>
      <c r="C264" s="42" t="s">
        <v>181</v>
      </c>
      <c r="D264" s="42"/>
      <c r="E264" s="42"/>
      <c r="F264" s="42"/>
      <c r="G264" s="7">
        <f>G265</f>
        <v>50</v>
      </c>
    </row>
    <row r="265" spans="1:7" ht="31.5" x14ac:dyDescent="0.25">
      <c r="A265" s="79" t="s">
        <v>202</v>
      </c>
      <c r="B265" s="6" t="s">
        <v>237</v>
      </c>
      <c r="C265" s="42" t="s">
        <v>181</v>
      </c>
      <c r="D265" s="42" t="s">
        <v>203</v>
      </c>
      <c r="E265" s="42"/>
      <c r="F265" s="42"/>
      <c r="G265" s="7">
        <f>G266</f>
        <v>50</v>
      </c>
    </row>
    <row r="266" spans="1:7" ht="31.5" x14ac:dyDescent="0.25">
      <c r="A266" s="47" t="s">
        <v>238</v>
      </c>
      <c r="B266" s="6" t="s">
        <v>239</v>
      </c>
      <c r="C266" s="10" t="s">
        <v>181</v>
      </c>
      <c r="D266" s="10" t="s">
        <v>203</v>
      </c>
      <c r="E266" s="10"/>
      <c r="F266" s="27"/>
      <c r="G266" s="27">
        <f>G267</f>
        <v>50</v>
      </c>
    </row>
    <row r="267" spans="1:7" ht="47.25" x14ac:dyDescent="0.25">
      <c r="A267" s="26" t="s">
        <v>194</v>
      </c>
      <c r="B267" s="6" t="s">
        <v>239</v>
      </c>
      <c r="C267" s="10" t="s">
        <v>181</v>
      </c>
      <c r="D267" s="10" t="s">
        <v>203</v>
      </c>
      <c r="E267" s="10" t="s">
        <v>195</v>
      </c>
      <c r="F267" s="27"/>
      <c r="G267" s="27">
        <f>G268</f>
        <v>50</v>
      </c>
    </row>
    <row r="268" spans="1:7" ht="47.25" x14ac:dyDescent="0.25">
      <c r="A268" s="26" t="s">
        <v>196</v>
      </c>
      <c r="B268" s="6" t="s">
        <v>239</v>
      </c>
      <c r="C268" s="10" t="s">
        <v>181</v>
      </c>
      <c r="D268" s="10" t="s">
        <v>203</v>
      </c>
      <c r="E268" s="10" t="s">
        <v>197</v>
      </c>
      <c r="F268" s="27"/>
      <c r="G268" s="27">
        <f>'Прил.№4 ведомств.'!G81</f>
        <v>50</v>
      </c>
    </row>
    <row r="269" spans="1:7" ht="31.5" x14ac:dyDescent="0.25">
      <c r="A269" s="31" t="s">
        <v>211</v>
      </c>
      <c r="B269" s="6" t="s">
        <v>237</v>
      </c>
      <c r="C269" s="42" t="s">
        <v>181</v>
      </c>
      <c r="D269" s="42" t="s">
        <v>203</v>
      </c>
      <c r="E269" s="42"/>
      <c r="F269" s="42" t="s">
        <v>739</v>
      </c>
      <c r="G269" s="7">
        <f>G263</f>
        <v>50</v>
      </c>
    </row>
    <row r="270" spans="1:7" ht="63" x14ac:dyDescent="0.25">
      <c r="A270" s="24" t="s">
        <v>240</v>
      </c>
      <c r="B270" s="149" t="s">
        <v>241</v>
      </c>
      <c r="C270" s="8"/>
      <c r="D270" s="8"/>
      <c r="E270" s="8"/>
      <c r="F270" s="8"/>
      <c r="G270" s="68">
        <f>G271</f>
        <v>15</v>
      </c>
    </row>
    <row r="271" spans="1:7" ht="15.75" x14ac:dyDescent="0.25">
      <c r="A271" s="47" t="s">
        <v>180</v>
      </c>
      <c r="B271" s="6" t="s">
        <v>241</v>
      </c>
      <c r="C271" s="42" t="s">
        <v>181</v>
      </c>
      <c r="D271" s="42"/>
      <c r="E271" s="42"/>
      <c r="F271" s="42"/>
      <c r="G271" s="11">
        <f>G272</f>
        <v>15</v>
      </c>
    </row>
    <row r="272" spans="1:7" ht="31.5" x14ac:dyDescent="0.25">
      <c r="A272" s="79" t="s">
        <v>202</v>
      </c>
      <c r="B272" s="6" t="s">
        <v>241</v>
      </c>
      <c r="C272" s="42" t="s">
        <v>181</v>
      </c>
      <c r="D272" s="42" t="s">
        <v>203</v>
      </c>
      <c r="E272" s="42"/>
      <c r="F272" s="42"/>
      <c r="G272" s="11">
        <f>G273</f>
        <v>15</v>
      </c>
    </row>
    <row r="273" spans="1:8" ht="32.25" customHeight="1" x14ac:dyDescent="0.25">
      <c r="A273" s="47" t="s">
        <v>242</v>
      </c>
      <c r="B273" s="6" t="s">
        <v>243</v>
      </c>
      <c r="C273" s="42" t="s">
        <v>181</v>
      </c>
      <c r="D273" s="42" t="s">
        <v>203</v>
      </c>
      <c r="E273" s="42"/>
      <c r="F273" s="42"/>
      <c r="G273" s="11">
        <f>G274</f>
        <v>15</v>
      </c>
    </row>
    <row r="274" spans="1:8" ht="47.25" x14ac:dyDescent="0.25">
      <c r="A274" s="31" t="s">
        <v>194</v>
      </c>
      <c r="B274" s="6" t="s">
        <v>243</v>
      </c>
      <c r="C274" s="42" t="s">
        <v>181</v>
      </c>
      <c r="D274" s="42" t="s">
        <v>203</v>
      </c>
      <c r="E274" s="42" t="s">
        <v>195</v>
      </c>
      <c r="F274" s="42"/>
      <c r="G274" s="11">
        <f>G275</f>
        <v>15</v>
      </c>
    </row>
    <row r="275" spans="1:8" ht="47.25" x14ac:dyDescent="0.25">
      <c r="A275" s="31" t="s">
        <v>196</v>
      </c>
      <c r="B275" s="6" t="s">
        <v>243</v>
      </c>
      <c r="C275" s="42" t="s">
        <v>181</v>
      </c>
      <c r="D275" s="42" t="s">
        <v>203</v>
      </c>
      <c r="E275" s="42" t="s">
        <v>197</v>
      </c>
      <c r="F275" s="42"/>
      <c r="G275" s="11">
        <f>'Прил.№4 ведомств.'!G85</f>
        <v>15</v>
      </c>
    </row>
    <row r="276" spans="1:8" ht="31.5" x14ac:dyDescent="0.25">
      <c r="A276" s="31" t="s">
        <v>211</v>
      </c>
      <c r="B276" s="6" t="s">
        <v>241</v>
      </c>
      <c r="C276" s="42" t="s">
        <v>181</v>
      </c>
      <c r="D276" s="42" t="s">
        <v>203</v>
      </c>
      <c r="E276" s="42"/>
      <c r="F276" s="42" t="s">
        <v>739</v>
      </c>
      <c r="G276" s="11">
        <f>G270</f>
        <v>15</v>
      </c>
    </row>
    <row r="277" spans="1:8" ht="69" customHeight="1" x14ac:dyDescent="0.25">
      <c r="A277" s="43" t="s">
        <v>545</v>
      </c>
      <c r="B277" s="3" t="s">
        <v>546</v>
      </c>
      <c r="C277" s="80"/>
      <c r="D277" s="80"/>
      <c r="E277" s="80"/>
      <c r="F277" s="80"/>
      <c r="G277" s="4">
        <f>G279+G300+G323</f>
        <v>36496.700000000004</v>
      </c>
    </row>
    <row r="278" spans="1:8" ht="94.5" x14ac:dyDescent="0.25">
      <c r="A278" s="43" t="s">
        <v>740</v>
      </c>
      <c r="B278" s="3" t="s">
        <v>548</v>
      </c>
      <c r="C278" s="81"/>
      <c r="D278" s="81"/>
      <c r="E278" s="81"/>
      <c r="F278" s="81"/>
      <c r="G278" s="68">
        <f>G279</f>
        <v>10705.5</v>
      </c>
    </row>
    <row r="279" spans="1:8" ht="15.75" x14ac:dyDescent="0.25">
      <c r="A279" s="31" t="s">
        <v>326</v>
      </c>
      <c r="B279" s="42" t="s">
        <v>548</v>
      </c>
      <c r="C279" s="42" t="s">
        <v>327</v>
      </c>
      <c r="D279" s="80"/>
      <c r="E279" s="80"/>
      <c r="F279" s="80"/>
      <c r="G279" s="11">
        <f>G280</f>
        <v>10705.5</v>
      </c>
    </row>
    <row r="280" spans="1:8" ht="15.75" x14ac:dyDescent="0.25">
      <c r="A280" s="31" t="s">
        <v>328</v>
      </c>
      <c r="B280" s="42" t="s">
        <v>548</v>
      </c>
      <c r="C280" s="42" t="s">
        <v>327</v>
      </c>
      <c r="D280" s="42" t="s">
        <v>278</v>
      </c>
      <c r="E280" s="80"/>
      <c r="F280" s="80"/>
      <c r="G280" s="11">
        <f>G281+G296</f>
        <v>10705.5</v>
      </c>
    </row>
    <row r="281" spans="1:8" ht="63" x14ac:dyDescent="0.25">
      <c r="A281" s="31" t="s">
        <v>333</v>
      </c>
      <c r="B281" s="42" t="s">
        <v>549</v>
      </c>
      <c r="C281" s="42" t="s">
        <v>327</v>
      </c>
      <c r="D281" s="42" t="s">
        <v>278</v>
      </c>
      <c r="E281" s="80"/>
      <c r="F281" s="80"/>
      <c r="G281" s="11">
        <f>G282</f>
        <v>10669.5</v>
      </c>
    </row>
    <row r="282" spans="1:8" ht="63" x14ac:dyDescent="0.25">
      <c r="A282" s="31" t="s">
        <v>335</v>
      </c>
      <c r="B282" s="42" t="s">
        <v>549</v>
      </c>
      <c r="C282" s="42" t="s">
        <v>327</v>
      </c>
      <c r="D282" s="42" t="s">
        <v>278</v>
      </c>
      <c r="E282" s="42" t="s">
        <v>336</v>
      </c>
      <c r="F282" s="80"/>
      <c r="G282" s="11">
        <f>G283</f>
        <v>10669.5</v>
      </c>
    </row>
    <row r="283" spans="1:8" ht="15.75" x14ac:dyDescent="0.25">
      <c r="A283" s="31" t="s">
        <v>337</v>
      </c>
      <c r="B283" s="42" t="s">
        <v>549</v>
      </c>
      <c r="C283" s="42" t="s">
        <v>327</v>
      </c>
      <c r="D283" s="42" t="s">
        <v>278</v>
      </c>
      <c r="E283" s="42" t="s">
        <v>338</v>
      </c>
      <c r="F283" s="80"/>
      <c r="G283" s="11">
        <f>'Прил.№4 ведомств.'!G694</f>
        <v>10669.5</v>
      </c>
      <c r="H283" s="139"/>
    </row>
    <row r="284" spans="1:8" ht="78.75" hidden="1" customHeight="1" x14ac:dyDescent="0.25">
      <c r="A284" s="31" t="s">
        <v>675</v>
      </c>
      <c r="B284" s="42" t="s">
        <v>741</v>
      </c>
      <c r="C284" s="42" t="s">
        <v>327</v>
      </c>
      <c r="D284" s="42" t="s">
        <v>278</v>
      </c>
      <c r="E284" s="42"/>
      <c r="F284" s="80"/>
      <c r="G284" s="11">
        <f>G285</f>
        <v>0</v>
      </c>
    </row>
    <row r="285" spans="1:8" ht="63" hidden="1" x14ac:dyDescent="0.25">
      <c r="A285" s="31" t="s">
        <v>335</v>
      </c>
      <c r="B285" s="42" t="s">
        <v>741</v>
      </c>
      <c r="C285" s="42" t="s">
        <v>327</v>
      </c>
      <c r="D285" s="42" t="s">
        <v>278</v>
      </c>
      <c r="E285" s="42" t="s">
        <v>336</v>
      </c>
      <c r="F285" s="80"/>
      <c r="G285" s="11">
        <f>G286</f>
        <v>0</v>
      </c>
    </row>
    <row r="286" spans="1:8" ht="15.75" hidden="1" x14ac:dyDescent="0.25">
      <c r="A286" s="31" t="s">
        <v>337</v>
      </c>
      <c r="B286" s="42" t="s">
        <v>741</v>
      </c>
      <c r="C286" s="42" t="s">
        <v>327</v>
      </c>
      <c r="D286" s="42" t="s">
        <v>278</v>
      </c>
      <c r="E286" s="42" t="s">
        <v>338</v>
      </c>
      <c r="F286" s="80"/>
      <c r="G286" s="11">
        <f>G287</f>
        <v>0</v>
      </c>
    </row>
    <row r="287" spans="1:8" ht="47.25" hidden="1" x14ac:dyDescent="0.25">
      <c r="A287" s="48" t="s">
        <v>544</v>
      </c>
      <c r="B287" s="42" t="s">
        <v>741</v>
      </c>
      <c r="C287" s="42" t="s">
        <v>327</v>
      </c>
      <c r="D287" s="42" t="s">
        <v>278</v>
      </c>
      <c r="E287" s="42"/>
      <c r="F287" s="2">
        <v>907</v>
      </c>
      <c r="G287" s="11">
        <f>1500-1500</f>
        <v>0</v>
      </c>
    </row>
    <row r="288" spans="1:8" ht="47.25" hidden="1" x14ac:dyDescent="0.25">
      <c r="A288" s="31" t="s">
        <v>341</v>
      </c>
      <c r="B288" s="42" t="s">
        <v>742</v>
      </c>
      <c r="C288" s="42" t="s">
        <v>327</v>
      </c>
      <c r="D288" s="42" t="s">
        <v>278</v>
      </c>
      <c r="E288" s="42"/>
      <c r="F288" s="80"/>
      <c r="G288" s="11">
        <f>G289</f>
        <v>0</v>
      </c>
    </row>
    <row r="289" spans="1:7" ht="63" hidden="1" x14ac:dyDescent="0.25">
      <c r="A289" s="31" t="s">
        <v>335</v>
      </c>
      <c r="B289" s="42" t="s">
        <v>742</v>
      </c>
      <c r="C289" s="42" t="s">
        <v>327</v>
      </c>
      <c r="D289" s="42" t="s">
        <v>278</v>
      </c>
      <c r="E289" s="42" t="s">
        <v>336</v>
      </c>
      <c r="F289" s="80"/>
      <c r="G289" s="11">
        <f>G290</f>
        <v>0</v>
      </c>
    </row>
    <row r="290" spans="1:7" ht="15.75" hidden="1" x14ac:dyDescent="0.25">
      <c r="A290" s="31" t="s">
        <v>337</v>
      </c>
      <c r="B290" s="42" t="s">
        <v>742</v>
      </c>
      <c r="C290" s="42" t="s">
        <v>327</v>
      </c>
      <c r="D290" s="42" t="s">
        <v>278</v>
      </c>
      <c r="E290" s="42" t="s">
        <v>338</v>
      </c>
      <c r="F290" s="80"/>
      <c r="G290" s="11"/>
    </row>
    <row r="291" spans="1:7" ht="47.25" hidden="1" x14ac:dyDescent="0.25">
      <c r="A291" s="48" t="s">
        <v>544</v>
      </c>
      <c r="B291" s="42" t="s">
        <v>742</v>
      </c>
      <c r="C291" s="42" t="s">
        <v>327</v>
      </c>
      <c r="D291" s="42" t="s">
        <v>278</v>
      </c>
      <c r="E291" s="42"/>
      <c r="F291" s="2">
        <v>907</v>
      </c>
      <c r="G291" s="11">
        <v>0</v>
      </c>
    </row>
    <row r="292" spans="1:7" ht="31.5" hidden="1" x14ac:dyDescent="0.25">
      <c r="A292" s="31" t="s">
        <v>343</v>
      </c>
      <c r="B292" s="42" t="s">
        <v>743</v>
      </c>
      <c r="C292" s="42" t="s">
        <v>327</v>
      </c>
      <c r="D292" s="42" t="s">
        <v>278</v>
      </c>
      <c r="E292" s="42"/>
      <c r="F292" s="80"/>
      <c r="G292" s="11">
        <f>G293</f>
        <v>0</v>
      </c>
    </row>
    <row r="293" spans="1:7" ht="63" hidden="1" x14ac:dyDescent="0.25">
      <c r="A293" s="31" t="s">
        <v>335</v>
      </c>
      <c r="B293" s="42" t="s">
        <v>743</v>
      </c>
      <c r="C293" s="42" t="s">
        <v>327</v>
      </c>
      <c r="D293" s="42" t="s">
        <v>278</v>
      </c>
      <c r="E293" s="42" t="s">
        <v>336</v>
      </c>
      <c r="F293" s="80"/>
      <c r="G293" s="11">
        <f>G294</f>
        <v>0</v>
      </c>
    </row>
    <row r="294" spans="1:7" ht="15.75" hidden="1" x14ac:dyDescent="0.25">
      <c r="A294" s="31" t="s">
        <v>337</v>
      </c>
      <c r="B294" s="42" t="s">
        <v>743</v>
      </c>
      <c r="C294" s="42" t="s">
        <v>327</v>
      </c>
      <c r="D294" s="42" t="s">
        <v>278</v>
      </c>
      <c r="E294" s="42" t="s">
        <v>338</v>
      </c>
      <c r="F294" s="80"/>
      <c r="G294" s="11"/>
    </row>
    <row r="295" spans="1:7" ht="47.25" hidden="1" x14ac:dyDescent="0.25">
      <c r="A295" s="48" t="s">
        <v>544</v>
      </c>
      <c r="B295" s="42" t="s">
        <v>743</v>
      </c>
      <c r="C295" s="42" t="s">
        <v>327</v>
      </c>
      <c r="D295" s="42" t="s">
        <v>278</v>
      </c>
      <c r="E295" s="42"/>
      <c r="F295" s="2">
        <v>907</v>
      </c>
      <c r="G295" s="11">
        <v>0</v>
      </c>
    </row>
    <row r="296" spans="1:7" ht="47.25" x14ac:dyDescent="0.25">
      <c r="A296" s="31" t="s">
        <v>345</v>
      </c>
      <c r="B296" s="42" t="s">
        <v>552</v>
      </c>
      <c r="C296" s="42" t="s">
        <v>327</v>
      </c>
      <c r="D296" s="42" t="s">
        <v>278</v>
      </c>
      <c r="E296" s="42"/>
      <c r="F296" s="80"/>
      <c r="G296" s="11">
        <f>G297</f>
        <v>36</v>
      </c>
    </row>
    <row r="297" spans="1:7" ht="63" x14ac:dyDescent="0.25">
      <c r="A297" s="31" t="s">
        <v>335</v>
      </c>
      <c r="B297" s="42" t="s">
        <v>552</v>
      </c>
      <c r="C297" s="42" t="s">
        <v>327</v>
      </c>
      <c r="D297" s="42" t="s">
        <v>278</v>
      </c>
      <c r="E297" s="42" t="s">
        <v>336</v>
      </c>
      <c r="F297" s="80"/>
      <c r="G297" s="11">
        <f>G298</f>
        <v>36</v>
      </c>
    </row>
    <row r="298" spans="1:7" ht="15.75" x14ac:dyDescent="0.25">
      <c r="A298" s="31" t="s">
        <v>337</v>
      </c>
      <c r="B298" s="42" t="s">
        <v>552</v>
      </c>
      <c r="C298" s="42" t="s">
        <v>327</v>
      </c>
      <c r="D298" s="42" t="s">
        <v>278</v>
      </c>
      <c r="E298" s="42" t="s">
        <v>338</v>
      </c>
      <c r="F298" s="80"/>
      <c r="G298" s="11">
        <f>'Прил.№4 ведомств.'!G703</f>
        <v>36</v>
      </c>
    </row>
    <row r="299" spans="1:7" ht="58.5" customHeight="1" x14ac:dyDescent="0.25">
      <c r="A299" s="82" t="s">
        <v>544</v>
      </c>
      <c r="B299" s="42" t="s">
        <v>548</v>
      </c>
      <c r="C299" s="42" t="s">
        <v>327</v>
      </c>
      <c r="D299" s="42" t="s">
        <v>278</v>
      </c>
      <c r="E299" s="42"/>
      <c r="F299" s="2">
        <v>907</v>
      </c>
      <c r="G299" s="11">
        <f>G278</f>
        <v>10705.5</v>
      </c>
    </row>
    <row r="300" spans="1:7" ht="63" x14ac:dyDescent="0.25">
      <c r="A300" s="64" t="s">
        <v>557</v>
      </c>
      <c r="B300" s="8" t="s">
        <v>558</v>
      </c>
      <c r="C300" s="8"/>
      <c r="D300" s="8"/>
      <c r="E300" s="8"/>
      <c r="F300" s="3"/>
      <c r="G300" s="68">
        <f>G301</f>
        <v>22994.200000000004</v>
      </c>
    </row>
    <row r="301" spans="1:7" ht="15.75" x14ac:dyDescent="0.25">
      <c r="A301" s="31" t="s">
        <v>554</v>
      </c>
      <c r="B301" s="42" t="s">
        <v>558</v>
      </c>
      <c r="C301" s="2">
        <v>11</v>
      </c>
      <c r="D301" s="80"/>
      <c r="E301" s="80"/>
      <c r="F301" s="80"/>
      <c r="G301" s="11">
        <f>G302</f>
        <v>22994.200000000004</v>
      </c>
    </row>
    <row r="302" spans="1:7" ht="20.25" customHeight="1" x14ac:dyDescent="0.25">
      <c r="A302" s="31" t="s">
        <v>556</v>
      </c>
      <c r="B302" s="42" t="s">
        <v>558</v>
      </c>
      <c r="C302" s="42" t="s">
        <v>555</v>
      </c>
      <c r="D302" s="42" t="s">
        <v>181</v>
      </c>
      <c r="E302" s="83"/>
      <c r="F302" s="6"/>
      <c r="G302" s="11">
        <f>G303+G307+G311+G315+G319</f>
        <v>22994.200000000004</v>
      </c>
    </row>
    <row r="303" spans="1:7" ht="47.25" x14ac:dyDescent="0.25">
      <c r="A303" s="31" t="s">
        <v>559</v>
      </c>
      <c r="B303" s="42" t="s">
        <v>560</v>
      </c>
      <c r="C303" s="42" t="s">
        <v>555</v>
      </c>
      <c r="D303" s="42" t="s">
        <v>181</v>
      </c>
      <c r="E303" s="83"/>
      <c r="F303" s="6"/>
      <c r="G303" s="11">
        <f>G304</f>
        <v>22696.700000000004</v>
      </c>
    </row>
    <row r="304" spans="1:7" ht="65.25" customHeight="1" x14ac:dyDescent="0.25">
      <c r="A304" s="31" t="s">
        <v>335</v>
      </c>
      <c r="B304" s="42" t="s">
        <v>560</v>
      </c>
      <c r="C304" s="42" t="s">
        <v>555</v>
      </c>
      <c r="D304" s="42" t="s">
        <v>181</v>
      </c>
      <c r="E304" s="42" t="s">
        <v>336</v>
      </c>
      <c r="F304" s="6"/>
      <c r="G304" s="11">
        <f>G305</f>
        <v>22696.700000000004</v>
      </c>
    </row>
    <row r="305" spans="1:8" ht="15.75" x14ac:dyDescent="0.25">
      <c r="A305" s="31" t="s">
        <v>337</v>
      </c>
      <c r="B305" s="42" t="s">
        <v>560</v>
      </c>
      <c r="C305" s="42" t="s">
        <v>555</v>
      </c>
      <c r="D305" s="42" t="s">
        <v>181</v>
      </c>
      <c r="E305" s="42" t="s">
        <v>338</v>
      </c>
      <c r="F305" s="6"/>
      <c r="G305" s="11">
        <f>'Прил.№4 ведомств.'!G724</f>
        <v>22696.700000000004</v>
      </c>
      <c r="H305" s="139"/>
    </row>
    <row r="306" spans="1:8" ht="47.25" hidden="1" x14ac:dyDescent="0.25">
      <c r="A306" s="48" t="s">
        <v>544</v>
      </c>
      <c r="B306" s="42" t="s">
        <v>558</v>
      </c>
      <c r="C306" s="42" t="s">
        <v>555</v>
      </c>
      <c r="D306" s="42" t="s">
        <v>181</v>
      </c>
      <c r="E306" s="42"/>
      <c r="F306" s="6">
        <v>907</v>
      </c>
      <c r="G306" s="11">
        <f>G300</f>
        <v>22994.200000000004</v>
      </c>
    </row>
    <row r="307" spans="1:8" ht="63" hidden="1" x14ac:dyDescent="0.25">
      <c r="A307" s="31" t="s">
        <v>675</v>
      </c>
      <c r="B307" s="42" t="s">
        <v>744</v>
      </c>
      <c r="C307" s="42" t="s">
        <v>555</v>
      </c>
      <c r="D307" s="42" t="s">
        <v>181</v>
      </c>
      <c r="E307" s="42"/>
      <c r="F307" s="6"/>
      <c r="G307" s="11">
        <f>G308</f>
        <v>0</v>
      </c>
    </row>
    <row r="308" spans="1:8" ht="63" hidden="1" x14ac:dyDescent="0.25">
      <c r="A308" s="31" t="s">
        <v>335</v>
      </c>
      <c r="B308" s="42" t="s">
        <v>744</v>
      </c>
      <c r="C308" s="42" t="s">
        <v>555</v>
      </c>
      <c r="D308" s="42" t="s">
        <v>181</v>
      </c>
      <c r="E308" s="42" t="s">
        <v>336</v>
      </c>
      <c r="F308" s="6"/>
      <c r="G308" s="11">
        <f>G309</f>
        <v>0</v>
      </c>
    </row>
    <row r="309" spans="1:8" ht="15.75" hidden="1" x14ac:dyDescent="0.25">
      <c r="A309" s="31" t="s">
        <v>337</v>
      </c>
      <c r="B309" s="42" t="s">
        <v>744</v>
      </c>
      <c r="C309" s="42" t="s">
        <v>555</v>
      </c>
      <c r="D309" s="42" t="s">
        <v>181</v>
      </c>
      <c r="E309" s="42" t="s">
        <v>338</v>
      </c>
      <c r="F309" s="6"/>
      <c r="G309" s="11">
        <f>G310</f>
        <v>0</v>
      </c>
    </row>
    <row r="310" spans="1:8" ht="47.25" hidden="1" x14ac:dyDescent="0.25">
      <c r="A310" s="82" t="s">
        <v>544</v>
      </c>
      <c r="B310" s="42" t="s">
        <v>744</v>
      </c>
      <c r="C310" s="42" t="s">
        <v>555</v>
      </c>
      <c r="D310" s="42" t="s">
        <v>181</v>
      </c>
      <c r="E310" s="42"/>
      <c r="F310" s="6">
        <v>907</v>
      </c>
      <c r="G310" s="11">
        <f>1500-1500</f>
        <v>0</v>
      </c>
    </row>
    <row r="311" spans="1:8" ht="47.25" x14ac:dyDescent="0.25">
      <c r="A311" s="31" t="s">
        <v>341</v>
      </c>
      <c r="B311" s="42" t="s">
        <v>561</v>
      </c>
      <c r="C311" s="42" t="s">
        <v>555</v>
      </c>
      <c r="D311" s="42" t="s">
        <v>181</v>
      </c>
      <c r="E311" s="42"/>
      <c r="F311" s="6"/>
      <c r="G311" s="11">
        <f>G312</f>
        <v>297.5</v>
      </c>
    </row>
    <row r="312" spans="1:8" ht="63" x14ac:dyDescent="0.25">
      <c r="A312" s="31" t="s">
        <v>335</v>
      </c>
      <c r="B312" s="42" t="s">
        <v>561</v>
      </c>
      <c r="C312" s="42" t="s">
        <v>555</v>
      </c>
      <c r="D312" s="42" t="s">
        <v>181</v>
      </c>
      <c r="E312" s="42" t="s">
        <v>336</v>
      </c>
      <c r="F312" s="6"/>
      <c r="G312" s="11">
        <f>G313</f>
        <v>297.5</v>
      </c>
    </row>
    <row r="313" spans="1:8" ht="15.75" x14ac:dyDescent="0.25">
      <c r="A313" s="31" t="s">
        <v>337</v>
      </c>
      <c r="B313" s="42" t="s">
        <v>561</v>
      </c>
      <c r="C313" s="42" t="s">
        <v>555</v>
      </c>
      <c r="D313" s="42" t="s">
        <v>181</v>
      </c>
      <c r="E313" s="42" t="s">
        <v>338</v>
      </c>
      <c r="F313" s="6"/>
      <c r="G313" s="11">
        <f>'Прил.№4 ведомств.'!G727</f>
        <v>297.5</v>
      </c>
      <c r="H313" s="139"/>
    </row>
    <row r="314" spans="1:8" ht="47.25" x14ac:dyDescent="0.25">
      <c r="A314" s="48" t="s">
        <v>544</v>
      </c>
      <c r="B314" s="42" t="s">
        <v>558</v>
      </c>
      <c r="C314" s="42" t="s">
        <v>555</v>
      </c>
      <c r="D314" s="42" t="s">
        <v>181</v>
      </c>
      <c r="E314" s="42"/>
      <c r="F314" s="6">
        <v>907</v>
      </c>
      <c r="G314" s="11">
        <f>G305+G313</f>
        <v>22994.200000000004</v>
      </c>
    </row>
    <row r="315" spans="1:8" ht="31.5" hidden="1" x14ac:dyDescent="0.25">
      <c r="A315" s="31" t="s">
        <v>343</v>
      </c>
      <c r="B315" s="42" t="s">
        <v>745</v>
      </c>
      <c r="C315" s="42" t="s">
        <v>555</v>
      </c>
      <c r="D315" s="42" t="s">
        <v>181</v>
      </c>
      <c r="E315" s="42"/>
      <c r="F315" s="6"/>
      <c r="G315" s="11">
        <f>G316</f>
        <v>0</v>
      </c>
    </row>
    <row r="316" spans="1:8" ht="63" hidden="1" x14ac:dyDescent="0.25">
      <c r="A316" s="31" t="s">
        <v>335</v>
      </c>
      <c r="B316" s="42" t="s">
        <v>745</v>
      </c>
      <c r="C316" s="42" t="s">
        <v>555</v>
      </c>
      <c r="D316" s="42" t="s">
        <v>181</v>
      </c>
      <c r="E316" s="42" t="s">
        <v>336</v>
      </c>
      <c r="F316" s="6"/>
      <c r="G316" s="11">
        <f>G317</f>
        <v>0</v>
      </c>
    </row>
    <row r="317" spans="1:8" ht="15.75" hidden="1" x14ac:dyDescent="0.25">
      <c r="A317" s="31" t="s">
        <v>337</v>
      </c>
      <c r="B317" s="42" t="s">
        <v>745</v>
      </c>
      <c r="C317" s="42" t="s">
        <v>555</v>
      </c>
      <c r="D317" s="42" t="s">
        <v>181</v>
      </c>
      <c r="E317" s="42" t="s">
        <v>338</v>
      </c>
      <c r="F317" s="6"/>
      <c r="G317" s="11"/>
    </row>
    <row r="318" spans="1:8" ht="47.25" hidden="1" x14ac:dyDescent="0.25">
      <c r="A318" s="48" t="s">
        <v>544</v>
      </c>
      <c r="B318" s="42" t="s">
        <v>745</v>
      </c>
      <c r="C318" s="42" t="s">
        <v>555</v>
      </c>
      <c r="D318" s="42" t="s">
        <v>181</v>
      </c>
      <c r="E318" s="42"/>
      <c r="F318" s="6">
        <v>907</v>
      </c>
      <c r="G318" s="11">
        <v>0</v>
      </c>
    </row>
    <row r="319" spans="1:8" ht="71.25" hidden="1" customHeight="1" x14ac:dyDescent="0.25">
      <c r="A319" s="31" t="s">
        <v>347</v>
      </c>
      <c r="B319" s="42" t="s">
        <v>746</v>
      </c>
      <c r="C319" s="42" t="s">
        <v>555</v>
      </c>
      <c r="D319" s="42" t="s">
        <v>181</v>
      </c>
      <c r="E319" s="42"/>
      <c r="F319" s="6"/>
      <c r="G319" s="11">
        <f>G320</f>
        <v>0</v>
      </c>
    </row>
    <row r="320" spans="1:8" ht="63" hidden="1" x14ac:dyDescent="0.25">
      <c r="A320" s="31" t="s">
        <v>335</v>
      </c>
      <c r="B320" s="42" t="s">
        <v>746</v>
      </c>
      <c r="C320" s="42" t="s">
        <v>555</v>
      </c>
      <c r="D320" s="42" t="s">
        <v>181</v>
      </c>
      <c r="E320" s="42" t="s">
        <v>336</v>
      </c>
      <c r="F320" s="6"/>
      <c r="G320" s="11">
        <f>G321</f>
        <v>0</v>
      </c>
    </row>
    <row r="321" spans="1:8" ht="15.75" hidden="1" x14ac:dyDescent="0.25">
      <c r="A321" s="31" t="s">
        <v>337</v>
      </c>
      <c r="B321" s="42" t="s">
        <v>746</v>
      </c>
      <c r="C321" s="42" t="s">
        <v>555</v>
      </c>
      <c r="D321" s="42" t="s">
        <v>181</v>
      </c>
      <c r="E321" s="42" t="s">
        <v>338</v>
      </c>
      <c r="F321" s="6"/>
      <c r="G321" s="11"/>
    </row>
    <row r="322" spans="1:8" ht="47.25" hidden="1" x14ac:dyDescent="0.25">
      <c r="A322" s="48" t="s">
        <v>544</v>
      </c>
      <c r="B322" s="42" t="s">
        <v>746</v>
      </c>
      <c r="C322" s="42" t="s">
        <v>555</v>
      </c>
      <c r="D322" s="42" t="s">
        <v>181</v>
      </c>
      <c r="E322" s="42"/>
      <c r="F322" s="6">
        <v>907</v>
      </c>
      <c r="G322" s="11">
        <v>0</v>
      </c>
    </row>
    <row r="323" spans="1:8" ht="63" x14ac:dyDescent="0.25">
      <c r="A323" s="64" t="s">
        <v>565</v>
      </c>
      <c r="B323" s="8" t="s">
        <v>566</v>
      </c>
      <c r="C323" s="8"/>
      <c r="D323" s="8"/>
      <c r="E323" s="8"/>
      <c r="F323" s="5"/>
      <c r="G323" s="4">
        <f>G324</f>
        <v>2797</v>
      </c>
    </row>
    <row r="324" spans="1:8" ht="15.75" x14ac:dyDescent="0.25">
      <c r="A324" s="31" t="s">
        <v>554</v>
      </c>
      <c r="B324" s="42" t="s">
        <v>566</v>
      </c>
      <c r="C324" s="2">
        <v>11</v>
      </c>
      <c r="D324" s="42"/>
      <c r="E324" s="42"/>
      <c r="F324" s="6"/>
      <c r="G324" s="7">
        <f>G325</f>
        <v>2797</v>
      </c>
    </row>
    <row r="325" spans="1:8" ht="31.5" x14ac:dyDescent="0.25">
      <c r="A325" s="26" t="s">
        <v>564</v>
      </c>
      <c r="B325" s="42" t="s">
        <v>566</v>
      </c>
      <c r="C325" s="42" t="s">
        <v>555</v>
      </c>
      <c r="D325" s="42" t="s">
        <v>297</v>
      </c>
      <c r="E325" s="42"/>
      <c r="F325" s="6"/>
      <c r="G325" s="7">
        <f>G326</f>
        <v>2797</v>
      </c>
    </row>
    <row r="326" spans="1:8" ht="47.25" x14ac:dyDescent="0.25">
      <c r="A326" s="31" t="s">
        <v>220</v>
      </c>
      <c r="B326" s="42" t="s">
        <v>567</v>
      </c>
      <c r="C326" s="42" t="s">
        <v>555</v>
      </c>
      <c r="D326" s="42" t="s">
        <v>297</v>
      </c>
      <c r="E326" s="42"/>
      <c r="F326" s="6"/>
      <c r="G326" s="7">
        <f>G329+G327</f>
        <v>2797</v>
      </c>
    </row>
    <row r="327" spans="1:8" ht="110.25" x14ac:dyDescent="0.25">
      <c r="A327" s="26" t="s">
        <v>190</v>
      </c>
      <c r="B327" s="42" t="s">
        <v>567</v>
      </c>
      <c r="C327" s="42" t="s">
        <v>555</v>
      </c>
      <c r="D327" s="42" t="s">
        <v>297</v>
      </c>
      <c r="E327" s="42" t="s">
        <v>191</v>
      </c>
      <c r="F327" s="6"/>
      <c r="G327" s="7">
        <f>G328</f>
        <v>1805</v>
      </c>
    </row>
    <row r="328" spans="1:8" ht="55.5" customHeight="1" x14ac:dyDescent="0.25">
      <c r="A328" s="26" t="s">
        <v>192</v>
      </c>
      <c r="B328" s="42" t="s">
        <v>567</v>
      </c>
      <c r="C328" s="42" t="s">
        <v>555</v>
      </c>
      <c r="D328" s="42" t="s">
        <v>297</v>
      </c>
      <c r="E328" s="42" t="s">
        <v>193</v>
      </c>
      <c r="F328" s="6"/>
      <c r="G328" s="7">
        <f>'Прил.№4 ведомств.'!G744</f>
        <v>1805</v>
      </c>
      <c r="H328" s="139" t="s">
        <v>996</v>
      </c>
    </row>
    <row r="329" spans="1:8" ht="47.25" x14ac:dyDescent="0.25">
      <c r="A329" s="31" t="s">
        <v>194</v>
      </c>
      <c r="B329" s="42" t="s">
        <v>567</v>
      </c>
      <c r="C329" s="42" t="s">
        <v>555</v>
      </c>
      <c r="D329" s="42" t="s">
        <v>297</v>
      </c>
      <c r="E329" s="42" t="s">
        <v>195</v>
      </c>
      <c r="F329" s="6"/>
      <c r="G329" s="7">
        <f>G330</f>
        <v>992</v>
      </c>
    </row>
    <row r="330" spans="1:8" ht="47.25" x14ac:dyDescent="0.25">
      <c r="A330" s="31" t="s">
        <v>196</v>
      </c>
      <c r="B330" s="42" t="s">
        <v>567</v>
      </c>
      <c r="C330" s="42" t="s">
        <v>555</v>
      </c>
      <c r="D330" s="42" t="s">
        <v>297</v>
      </c>
      <c r="E330" s="42" t="s">
        <v>197</v>
      </c>
      <c r="F330" s="6"/>
      <c r="G330" s="7">
        <f>'Прил.№4 ведомств.'!G746</f>
        <v>992</v>
      </c>
      <c r="H330" s="139" t="s">
        <v>894</v>
      </c>
    </row>
    <row r="331" spans="1:8" ht="47.25" x14ac:dyDescent="0.25">
      <c r="A331" s="82" t="s">
        <v>544</v>
      </c>
      <c r="B331" s="42" t="s">
        <v>566</v>
      </c>
      <c r="C331" s="42" t="s">
        <v>555</v>
      </c>
      <c r="D331" s="42" t="s">
        <v>297</v>
      </c>
      <c r="E331" s="42"/>
      <c r="F331" s="6">
        <v>907</v>
      </c>
      <c r="G331" s="11">
        <f>G323</f>
        <v>2797</v>
      </c>
    </row>
    <row r="332" spans="1:8" ht="63" x14ac:dyDescent="0.25">
      <c r="A332" s="43" t="s">
        <v>329</v>
      </c>
      <c r="B332" s="8" t="s">
        <v>330</v>
      </c>
      <c r="C332" s="84"/>
      <c r="D332" s="84"/>
      <c r="E332" s="84"/>
      <c r="F332" s="3"/>
      <c r="G332" s="68">
        <f>G333+G359+G380</f>
        <v>57558.3</v>
      </c>
    </row>
    <row r="333" spans="1:8" ht="78.75" x14ac:dyDescent="0.25">
      <c r="A333" s="43" t="s">
        <v>331</v>
      </c>
      <c r="B333" s="8" t="s">
        <v>332</v>
      </c>
      <c r="C333" s="84"/>
      <c r="D333" s="84"/>
      <c r="E333" s="84"/>
      <c r="F333" s="3"/>
      <c r="G333" s="68">
        <f>G334</f>
        <v>13657.099999999999</v>
      </c>
    </row>
    <row r="334" spans="1:8" ht="15.75" x14ac:dyDescent="0.25">
      <c r="A334" s="31" t="s">
        <v>326</v>
      </c>
      <c r="B334" s="42" t="s">
        <v>332</v>
      </c>
      <c r="C334" s="42" t="s">
        <v>327</v>
      </c>
      <c r="D334" s="84"/>
      <c r="E334" s="84"/>
      <c r="F334" s="3"/>
      <c r="G334" s="11">
        <f>G335</f>
        <v>13657.099999999999</v>
      </c>
    </row>
    <row r="335" spans="1:8" ht="15.75" x14ac:dyDescent="0.25">
      <c r="A335" s="31" t="s">
        <v>489</v>
      </c>
      <c r="B335" s="42" t="s">
        <v>332</v>
      </c>
      <c r="C335" s="42" t="s">
        <v>327</v>
      </c>
      <c r="D335" s="42" t="s">
        <v>278</v>
      </c>
      <c r="E335" s="84"/>
      <c r="F335" s="3"/>
      <c r="G335" s="11">
        <f>G336+G351</f>
        <v>13657.099999999999</v>
      </c>
    </row>
    <row r="336" spans="1:8" ht="63" x14ac:dyDescent="0.25">
      <c r="A336" s="31" t="s">
        <v>333</v>
      </c>
      <c r="B336" s="42" t="s">
        <v>334</v>
      </c>
      <c r="C336" s="42" t="s">
        <v>327</v>
      </c>
      <c r="D336" s="42" t="s">
        <v>278</v>
      </c>
      <c r="E336" s="84"/>
      <c r="F336" s="3"/>
      <c r="G336" s="11">
        <f>G337</f>
        <v>13607.099999999999</v>
      </c>
    </row>
    <row r="337" spans="1:8" ht="63" x14ac:dyDescent="0.25">
      <c r="A337" s="31" t="s">
        <v>335</v>
      </c>
      <c r="B337" s="42" t="s">
        <v>334</v>
      </c>
      <c r="C337" s="42" t="s">
        <v>327</v>
      </c>
      <c r="D337" s="42" t="s">
        <v>278</v>
      </c>
      <c r="E337" s="42" t="s">
        <v>336</v>
      </c>
      <c r="F337" s="3"/>
      <c r="G337" s="11">
        <f>G338</f>
        <v>13607.099999999999</v>
      </c>
    </row>
    <row r="338" spans="1:8" ht="15.75" x14ac:dyDescent="0.25">
      <c r="A338" s="31" t="s">
        <v>337</v>
      </c>
      <c r="B338" s="42" t="s">
        <v>334</v>
      </c>
      <c r="C338" s="42" t="s">
        <v>327</v>
      </c>
      <c r="D338" s="42" t="s">
        <v>278</v>
      </c>
      <c r="E338" s="42" t="s">
        <v>338</v>
      </c>
      <c r="F338" s="3"/>
      <c r="G338" s="7">
        <f>'Прил.№4 ведомств.'!G244</f>
        <v>13607.099999999999</v>
      </c>
      <c r="H338" s="139"/>
    </row>
    <row r="339" spans="1:8" ht="63" hidden="1" x14ac:dyDescent="0.25">
      <c r="A339" s="31" t="s">
        <v>339</v>
      </c>
      <c r="B339" s="42" t="s">
        <v>747</v>
      </c>
      <c r="C339" s="42" t="s">
        <v>327</v>
      </c>
      <c r="D339" s="42" t="s">
        <v>278</v>
      </c>
      <c r="E339" s="42"/>
      <c r="F339" s="3"/>
      <c r="G339" s="11">
        <f>G340</f>
        <v>0</v>
      </c>
    </row>
    <row r="340" spans="1:8" ht="63" hidden="1" x14ac:dyDescent="0.25">
      <c r="A340" s="31" t="s">
        <v>335</v>
      </c>
      <c r="B340" s="42" t="s">
        <v>747</v>
      </c>
      <c r="C340" s="42" t="s">
        <v>327</v>
      </c>
      <c r="D340" s="42" t="s">
        <v>278</v>
      </c>
      <c r="E340" s="42" t="s">
        <v>336</v>
      </c>
      <c r="F340" s="3"/>
      <c r="G340" s="11">
        <f>G341</f>
        <v>0</v>
      </c>
    </row>
    <row r="341" spans="1:8" ht="15.75" hidden="1" x14ac:dyDescent="0.25">
      <c r="A341" s="31" t="s">
        <v>337</v>
      </c>
      <c r="B341" s="42" t="s">
        <v>747</v>
      </c>
      <c r="C341" s="42" t="s">
        <v>327</v>
      </c>
      <c r="D341" s="42" t="s">
        <v>278</v>
      </c>
      <c r="E341" s="42" t="s">
        <v>338</v>
      </c>
      <c r="F341" s="3"/>
      <c r="G341" s="11"/>
    </row>
    <row r="342" spans="1:8" ht="63" hidden="1" x14ac:dyDescent="0.25">
      <c r="A342" s="47" t="s">
        <v>324</v>
      </c>
      <c r="B342" s="42" t="s">
        <v>747</v>
      </c>
      <c r="C342" s="42" t="s">
        <v>327</v>
      </c>
      <c r="D342" s="42" t="s">
        <v>278</v>
      </c>
      <c r="E342" s="42"/>
      <c r="F342" s="2">
        <v>903</v>
      </c>
      <c r="G342" s="11">
        <v>0</v>
      </c>
    </row>
    <row r="343" spans="1:8" ht="47.25" hidden="1" x14ac:dyDescent="0.25">
      <c r="A343" s="31" t="s">
        <v>341</v>
      </c>
      <c r="B343" s="42" t="s">
        <v>748</v>
      </c>
      <c r="C343" s="42" t="s">
        <v>327</v>
      </c>
      <c r="D343" s="42" t="s">
        <v>278</v>
      </c>
      <c r="E343" s="42"/>
      <c r="F343" s="3"/>
      <c r="G343" s="11">
        <f>G344</f>
        <v>0</v>
      </c>
    </row>
    <row r="344" spans="1:8" ht="63" hidden="1" x14ac:dyDescent="0.25">
      <c r="A344" s="31" t="s">
        <v>335</v>
      </c>
      <c r="B344" s="42" t="s">
        <v>748</v>
      </c>
      <c r="C344" s="42" t="s">
        <v>327</v>
      </c>
      <c r="D344" s="42" t="s">
        <v>278</v>
      </c>
      <c r="E344" s="42" t="s">
        <v>336</v>
      </c>
      <c r="F344" s="3"/>
      <c r="G344" s="11">
        <f>G345</f>
        <v>0</v>
      </c>
    </row>
    <row r="345" spans="1:8" ht="15.75" hidden="1" x14ac:dyDescent="0.25">
      <c r="A345" s="31" t="s">
        <v>337</v>
      </c>
      <c r="B345" s="42" t="s">
        <v>748</v>
      </c>
      <c r="C345" s="42" t="s">
        <v>327</v>
      </c>
      <c r="D345" s="42" t="s">
        <v>278</v>
      </c>
      <c r="E345" s="42" t="s">
        <v>338</v>
      </c>
      <c r="F345" s="3"/>
      <c r="G345" s="11"/>
    </row>
    <row r="346" spans="1:8" ht="63" hidden="1" x14ac:dyDescent="0.25">
      <c r="A346" s="47" t="s">
        <v>324</v>
      </c>
      <c r="B346" s="42" t="s">
        <v>748</v>
      </c>
      <c r="C346" s="42" t="s">
        <v>327</v>
      </c>
      <c r="D346" s="42" t="s">
        <v>278</v>
      </c>
      <c r="E346" s="42"/>
      <c r="F346" s="2">
        <v>903</v>
      </c>
      <c r="G346" s="11">
        <v>0</v>
      </c>
    </row>
    <row r="347" spans="1:8" ht="31.5" hidden="1" x14ac:dyDescent="0.25">
      <c r="A347" s="31" t="s">
        <v>343</v>
      </c>
      <c r="B347" s="42" t="s">
        <v>749</v>
      </c>
      <c r="C347" s="42" t="s">
        <v>327</v>
      </c>
      <c r="D347" s="42" t="s">
        <v>278</v>
      </c>
      <c r="E347" s="42"/>
      <c r="F347" s="3"/>
      <c r="G347" s="11">
        <f>G348</f>
        <v>0</v>
      </c>
    </row>
    <row r="348" spans="1:8" ht="69" hidden="1" customHeight="1" x14ac:dyDescent="0.25">
      <c r="A348" s="31" t="s">
        <v>335</v>
      </c>
      <c r="B348" s="42" t="s">
        <v>749</v>
      </c>
      <c r="C348" s="42" t="s">
        <v>327</v>
      </c>
      <c r="D348" s="42" t="s">
        <v>278</v>
      </c>
      <c r="E348" s="42" t="s">
        <v>336</v>
      </c>
      <c r="F348" s="3"/>
      <c r="G348" s="11">
        <f>G349</f>
        <v>0</v>
      </c>
    </row>
    <row r="349" spans="1:8" ht="15.75" hidden="1" x14ac:dyDescent="0.25">
      <c r="A349" s="31" t="s">
        <v>337</v>
      </c>
      <c r="B349" s="42" t="s">
        <v>749</v>
      </c>
      <c r="C349" s="42" t="s">
        <v>327</v>
      </c>
      <c r="D349" s="42" t="s">
        <v>278</v>
      </c>
      <c r="E349" s="42" t="s">
        <v>338</v>
      </c>
      <c r="F349" s="3"/>
      <c r="G349" s="11"/>
    </row>
    <row r="350" spans="1:8" ht="63" hidden="1" x14ac:dyDescent="0.25">
      <c r="A350" s="47" t="s">
        <v>324</v>
      </c>
      <c r="B350" s="42" t="s">
        <v>749</v>
      </c>
      <c r="C350" s="42" t="s">
        <v>327</v>
      </c>
      <c r="D350" s="42" t="s">
        <v>278</v>
      </c>
      <c r="E350" s="42"/>
      <c r="F350" s="2">
        <v>903</v>
      </c>
      <c r="G350" s="11">
        <v>0</v>
      </c>
    </row>
    <row r="351" spans="1:8" ht="47.25" x14ac:dyDescent="0.25">
      <c r="A351" s="31" t="s">
        <v>345</v>
      </c>
      <c r="B351" s="42" t="s">
        <v>346</v>
      </c>
      <c r="C351" s="42" t="s">
        <v>327</v>
      </c>
      <c r="D351" s="42" t="s">
        <v>278</v>
      </c>
      <c r="E351" s="42"/>
      <c r="F351" s="3"/>
      <c r="G351" s="11">
        <f>G352</f>
        <v>50</v>
      </c>
    </row>
    <row r="352" spans="1:8" ht="63" x14ac:dyDescent="0.25">
      <c r="A352" s="31" t="s">
        <v>335</v>
      </c>
      <c r="B352" s="42" t="s">
        <v>346</v>
      </c>
      <c r="C352" s="42" t="s">
        <v>327</v>
      </c>
      <c r="D352" s="42" t="s">
        <v>278</v>
      </c>
      <c r="E352" s="42" t="s">
        <v>336</v>
      </c>
      <c r="F352" s="3"/>
      <c r="G352" s="11">
        <f>G353</f>
        <v>50</v>
      </c>
    </row>
    <row r="353" spans="1:8" ht="15.75" x14ac:dyDescent="0.25">
      <c r="A353" s="31" t="s">
        <v>337</v>
      </c>
      <c r="B353" s="42" t="s">
        <v>346</v>
      </c>
      <c r="C353" s="42" t="s">
        <v>327</v>
      </c>
      <c r="D353" s="42" t="s">
        <v>278</v>
      </c>
      <c r="E353" s="42" t="s">
        <v>338</v>
      </c>
      <c r="F353" s="3"/>
      <c r="G353" s="7">
        <f>'Прил.№4 ведомств.'!G256</f>
        <v>50</v>
      </c>
    </row>
    <row r="354" spans="1:8" ht="63" x14ac:dyDescent="0.25">
      <c r="A354" s="47" t="s">
        <v>324</v>
      </c>
      <c r="B354" s="42" t="s">
        <v>332</v>
      </c>
      <c r="C354" s="42" t="s">
        <v>327</v>
      </c>
      <c r="D354" s="42" t="s">
        <v>278</v>
      </c>
      <c r="E354" s="42"/>
      <c r="F354" s="2">
        <v>903</v>
      </c>
      <c r="G354" s="11">
        <f>G333</f>
        <v>13657.099999999999</v>
      </c>
    </row>
    <row r="355" spans="1:8" ht="47.25" hidden="1" x14ac:dyDescent="0.25">
      <c r="A355" s="31" t="s">
        <v>689</v>
      </c>
      <c r="B355" s="42" t="s">
        <v>690</v>
      </c>
      <c r="C355" s="42" t="s">
        <v>327</v>
      </c>
      <c r="D355" s="42" t="s">
        <v>276</v>
      </c>
      <c r="E355" s="42"/>
      <c r="F355" s="3"/>
      <c r="G355" s="11">
        <f>G356</f>
        <v>0</v>
      </c>
    </row>
    <row r="356" spans="1:8" ht="63" hidden="1" x14ac:dyDescent="0.25">
      <c r="A356" s="31" t="s">
        <v>335</v>
      </c>
      <c r="B356" s="42" t="s">
        <v>690</v>
      </c>
      <c r="C356" s="42" t="s">
        <v>327</v>
      </c>
      <c r="D356" s="42" t="s">
        <v>276</v>
      </c>
      <c r="E356" s="42" t="s">
        <v>336</v>
      </c>
      <c r="F356" s="3"/>
      <c r="G356" s="11">
        <f>G357</f>
        <v>0</v>
      </c>
    </row>
    <row r="357" spans="1:8" ht="15.75" hidden="1" x14ac:dyDescent="0.25">
      <c r="A357" s="31" t="s">
        <v>337</v>
      </c>
      <c r="B357" s="42" t="s">
        <v>690</v>
      </c>
      <c r="C357" s="42" t="s">
        <v>327</v>
      </c>
      <c r="D357" s="42" t="s">
        <v>276</v>
      </c>
      <c r="E357" s="42" t="s">
        <v>338</v>
      </c>
      <c r="F357" s="3"/>
      <c r="G357" s="11"/>
    </row>
    <row r="358" spans="1:8" ht="63" hidden="1" x14ac:dyDescent="0.25">
      <c r="A358" s="47" t="s">
        <v>324</v>
      </c>
      <c r="B358" s="42" t="s">
        <v>690</v>
      </c>
      <c r="C358" s="42" t="s">
        <v>327</v>
      </c>
      <c r="D358" s="42" t="s">
        <v>276</v>
      </c>
      <c r="E358" s="84"/>
      <c r="F358" s="2">
        <v>903</v>
      </c>
      <c r="G358" s="11">
        <v>0</v>
      </c>
    </row>
    <row r="359" spans="1:8" ht="79.5" customHeight="1" x14ac:dyDescent="0.25">
      <c r="A359" s="43" t="s">
        <v>364</v>
      </c>
      <c r="B359" s="8" t="s">
        <v>365</v>
      </c>
      <c r="C359" s="8"/>
      <c r="D359" s="8"/>
      <c r="E359" s="84"/>
      <c r="F359" s="3"/>
      <c r="G359" s="68">
        <f>G360</f>
        <v>25842.500000000004</v>
      </c>
    </row>
    <row r="360" spans="1:8" ht="15.75" x14ac:dyDescent="0.25">
      <c r="A360" s="85" t="s">
        <v>361</v>
      </c>
      <c r="B360" s="42" t="s">
        <v>365</v>
      </c>
      <c r="C360" s="42" t="s">
        <v>362</v>
      </c>
      <c r="D360" s="85"/>
      <c r="E360" s="85"/>
      <c r="F360" s="2"/>
      <c r="G360" s="11">
        <f>G361</f>
        <v>25842.500000000004</v>
      </c>
    </row>
    <row r="361" spans="1:8" ht="15.75" x14ac:dyDescent="0.25">
      <c r="A361" s="85" t="s">
        <v>363</v>
      </c>
      <c r="B361" s="42" t="s">
        <v>365</v>
      </c>
      <c r="C361" s="42" t="s">
        <v>362</v>
      </c>
      <c r="D361" s="42" t="s">
        <v>181</v>
      </c>
      <c r="E361" s="85"/>
      <c r="F361" s="2"/>
      <c r="G361" s="11">
        <f>G362+G369+G372</f>
        <v>25842.500000000004</v>
      </c>
    </row>
    <row r="362" spans="1:8" ht="63" x14ac:dyDescent="0.25">
      <c r="A362" s="31" t="s">
        <v>366</v>
      </c>
      <c r="B362" s="42" t="s">
        <v>367</v>
      </c>
      <c r="C362" s="42" t="s">
        <v>362</v>
      </c>
      <c r="D362" s="42" t="s">
        <v>181</v>
      </c>
      <c r="E362" s="85"/>
      <c r="F362" s="2"/>
      <c r="G362" s="11">
        <f>G363</f>
        <v>23705.000000000004</v>
      </c>
    </row>
    <row r="363" spans="1:8" ht="63" x14ac:dyDescent="0.25">
      <c r="A363" s="31" t="s">
        <v>335</v>
      </c>
      <c r="B363" s="42" t="s">
        <v>367</v>
      </c>
      <c r="C363" s="42" t="s">
        <v>362</v>
      </c>
      <c r="D363" s="42" t="s">
        <v>181</v>
      </c>
      <c r="E363" s="42" t="s">
        <v>336</v>
      </c>
      <c r="F363" s="2"/>
      <c r="G363" s="11">
        <f>G364</f>
        <v>23705.000000000004</v>
      </c>
    </row>
    <row r="364" spans="1:8" ht="15.75" x14ac:dyDescent="0.25">
      <c r="A364" s="31" t="s">
        <v>337</v>
      </c>
      <c r="B364" s="42" t="s">
        <v>367</v>
      </c>
      <c r="C364" s="42" t="s">
        <v>362</v>
      </c>
      <c r="D364" s="42" t="s">
        <v>181</v>
      </c>
      <c r="E364" s="42" t="s">
        <v>338</v>
      </c>
      <c r="F364" s="2"/>
      <c r="G364" s="11">
        <f>'Прил.№4 ведомств.'!G286</f>
        <v>23705.000000000004</v>
      </c>
      <c r="H364" s="139" t="s">
        <v>1028</v>
      </c>
    </row>
    <row r="365" spans="1:8" ht="63" hidden="1" x14ac:dyDescent="0.25">
      <c r="A365" s="31" t="s">
        <v>339</v>
      </c>
      <c r="B365" s="42" t="s">
        <v>694</v>
      </c>
      <c r="C365" s="42" t="s">
        <v>362</v>
      </c>
      <c r="D365" s="42" t="s">
        <v>181</v>
      </c>
      <c r="E365" s="42"/>
      <c r="F365" s="2"/>
      <c r="G365" s="11">
        <f>G366</f>
        <v>0</v>
      </c>
    </row>
    <row r="366" spans="1:8" ht="63" hidden="1" x14ac:dyDescent="0.25">
      <c r="A366" s="31" t="s">
        <v>335</v>
      </c>
      <c r="B366" s="42" t="s">
        <v>694</v>
      </c>
      <c r="C366" s="42" t="s">
        <v>362</v>
      </c>
      <c r="D366" s="42" t="s">
        <v>181</v>
      </c>
      <c r="E366" s="42" t="s">
        <v>336</v>
      </c>
      <c r="F366" s="2"/>
      <c r="G366" s="11">
        <f>G367</f>
        <v>0</v>
      </c>
    </row>
    <row r="367" spans="1:8" ht="15.75" hidden="1" x14ac:dyDescent="0.25">
      <c r="A367" s="31" t="s">
        <v>337</v>
      </c>
      <c r="B367" s="42" t="s">
        <v>694</v>
      </c>
      <c r="C367" s="42" t="s">
        <v>362</v>
      </c>
      <c r="D367" s="42" t="s">
        <v>181</v>
      </c>
      <c r="E367" s="42" t="s">
        <v>338</v>
      </c>
      <c r="F367" s="2"/>
      <c r="G367" s="11"/>
    </row>
    <row r="368" spans="1:8" ht="63" hidden="1" x14ac:dyDescent="0.25">
      <c r="A368" s="47" t="s">
        <v>324</v>
      </c>
      <c r="B368" s="42" t="s">
        <v>694</v>
      </c>
      <c r="C368" s="42" t="s">
        <v>362</v>
      </c>
      <c r="D368" s="42" t="s">
        <v>181</v>
      </c>
      <c r="E368" s="42"/>
      <c r="F368" s="2">
        <v>903</v>
      </c>
      <c r="G368" s="11">
        <v>0</v>
      </c>
    </row>
    <row r="369" spans="1:8" ht="31.5" x14ac:dyDescent="0.25">
      <c r="A369" s="31" t="s">
        <v>698</v>
      </c>
      <c r="B369" s="42" t="s">
        <v>369</v>
      </c>
      <c r="C369" s="42" t="s">
        <v>362</v>
      </c>
      <c r="D369" s="42" t="s">
        <v>181</v>
      </c>
      <c r="E369" s="42"/>
      <c r="F369" s="2"/>
      <c r="G369" s="11">
        <f>G370</f>
        <v>142.1</v>
      </c>
    </row>
    <row r="370" spans="1:8" ht="71.25" customHeight="1" x14ac:dyDescent="0.25">
      <c r="A370" s="31" t="s">
        <v>335</v>
      </c>
      <c r="B370" s="42" t="s">
        <v>369</v>
      </c>
      <c r="C370" s="42" t="s">
        <v>362</v>
      </c>
      <c r="D370" s="42" t="s">
        <v>181</v>
      </c>
      <c r="E370" s="42" t="s">
        <v>336</v>
      </c>
      <c r="F370" s="2"/>
      <c r="G370" s="11">
        <f>G371</f>
        <v>142.1</v>
      </c>
    </row>
    <row r="371" spans="1:8" ht="15.75" x14ac:dyDescent="0.25">
      <c r="A371" s="31" t="s">
        <v>337</v>
      </c>
      <c r="B371" s="42" t="s">
        <v>369</v>
      </c>
      <c r="C371" s="42" t="s">
        <v>362</v>
      </c>
      <c r="D371" s="42" t="s">
        <v>181</v>
      </c>
      <c r="E371" s="42" t="s">
        <v>338</v>
      </c>
      <c r="F371" s="2"/>
      <c r="G371" s="11">
        <f>'Прил.№4 ведомств.'!G292</f>
        <v>142.1</v>
      </c>
    </row>
    <row r="372" spans="1:8" ht="31.5" x14ac:dyDescent="0.25">
      <c r="A372" s="31" t="s">
        <v>370</v>
      </c>
      <c r="B372" s="42" t="s">
        <v>371</v>
      </c>
      <c r="C372" s="42" t="s">
        <v>362</v>
      </c>
      <c r="D372" s="42" t="s">
        <v>181</v>
      </c>
      <c r="E372" s="42"/>
      <c r="F372" s="2"/>
      <c r="G372" s="11">
        <f>G373</f>
        <v>1995.4</v>
      </c>
    </row>
    <row r="373" spans="1:8" ht="63" x14ac:dyDescent="0.25">
      <c r="A373" s="31" t="s">
        <v>335</v>
      </c>
      <c r="B373" s="42" t="s">
        <v>371</v>
      </c>
      <c r="C373" s="42" t="s">
        <v>362</v>
      </c>
      <c r="D373" s="42" t="s">
        <v>181</v>
      </c>
      <c r="E373" s="42" t="s">
        <v>336</v>
      </c>
      <c r="F373" s="2"/>
      <c r="G373" s="11">
        <f>G374</f>
        <v>1995.4</v>
      </c>
    </row>
    <row r="374" spans="1:8" ht="15.75" x14ac:dyDescent="0.25">
      <c r="A374" s="31" t="s">
        <v>337</v>
      </c>
      <c r="B374" s="42" t="s">
        <v>371</v>
      </c>
      <c r="C374" s="42" t="s">
        <v>362</v>
      </c>
      <c r="D374" s="42" t="s">
        <v>181</v>
      </c>
      <c r="E374" s="42" t="s">
        <v>338</v>
      </c>
      <c r="F374" s="2"/>
      <c r="G374" s="11">
        <f>'Прил.№4 ведомств.'!G295</f>
        <v>1995.4</v>
      </c>
      <c r="H374" s="139"/>
    </row>
    <row r="375" spans="1:8" ht="63" x14ac:dyDescent="0.25">
      <c r="A375" s="47" t="s">
        <v>324</v>
      </c>
      <c r="B375" s="42" t="s">
        <v>365</v>
      </c>
      <c r="C375" s="42" t="s">
        <v>362</v>
      </c>
      <c r="D375" s="42" t="s">
        <v>181</v>
      </c>
      <c r="E375" s="42"/>
      <c r="F375" s="2">
        <v>903</v>
      </c>
      <c r="G375" s="11">
        <f>G359</f>
        <v>25842.500000000004</v>
      </c>
    </row>
    <row r="376" spans="1:8" ht="31.5" hidden="1" x14ac:dyDescent="0.25">
      <c r="A376" s="31" t="s">
        <v>347</v>
      </c>
      <c r="B376" s="42" t="s">
        <v>697</v>
      </c>
      <c r="C376" s="42" t="s">
        <v>362</v>
      </c>
      <c r="D376" s="42" t="s">
        <v>181</v>
      </c>
      <c r="E376" s="42"/>
      <c r="F376" s="2"/>
      <c r="G376" s="11">
        <f>G377</f>
        <v>0</v>
      </c>
    </row>
    <row r="377" spans="1:8" ht="63" hidden="1" x14ac:dyDescent="0.25">
      <c r="A377" s="31" t="s">
        <v>335</v>
      </c>
      <c r="B377" s="42" t="s">
        <v>697</v>
      </c>
      <c r="C377" s="42" t="s">
        <v>362</v>
      </c>
      <c r="D377" s="42" t="s">
        <v>181</v>
      </c>
      <c r="E377" s="42" t="s">
        <v>336</v>
      </c>
      <c r="F377" s="2"/>
      <c r="G377" s="11">
        <f>G378</f>
        <v>0</v>
      </c>
    </row>
    <row r="378" spans="1:8" ht="15.75" hidden="1" x14ac:dyDescent="0.25">
      <c r="A378" s="31" t="s">
        <v>337</v>
      </c>
      <c r="B378" s="42" t="s">
        <v>697</v>
      </c>
      <c r="C378" s="42" t="s">
        <v>362</v>
      </c>
      <c r="D378" s="42" t="s">
        <v>181</v>
      </c>
      <c r="E378" s="42" t="s">
        <v>338</v>
      </c>
      <c r="F378" s="2"/>
      <c r="G378" s="11"/>
    </row>
    <row r="379" spans="1:8" ht="63" hidden="1" x14ac:dyDescent="0.25">
      <c r="A379" s="47" t="s">
        <v>324</v>
      </c>
      <c r="B379" s="42" t="s">
        <v>697</v>
      </c>
      <c r="C379" s="42" t="s">
        <v>362</v>
      </c>
      <c r="D379" s="42" t="s">
        <v>181</v>
      </c>
      <c r="E379" s="42"/>
      <c r="F379" s="2">
        <v>903</v>
      </c>
      <c r="G379" s="11">
        <v>0</v>
      </c>
    </row>
    <row r="380" spans="1:8" ht="63" x14ac:dyDescent="0.25">
      <c r="A380" s="43" t="s">
        <v>375</v>
      </c>
      <c r="B380" s="8" t="s">
        <v>376</v>
      </c>
      <c r="C380" s="8"/>
      <c r="D380" s="8"/>
      <c r="E380" s="8"/>
      <c r="F380" s="87"/>
      <c r="G380" s="68">
        <f>G381</f>
        <v>18058.7</v>
      </c>
    </row>
    <row r="381" spans="1:8" ht="15.75" x14ac:dyDescent="0.25">
      <c r="A381" s="85" t="s">
        <v>361</v>
      </c>
      <c r="B381" s="42" t="s">
        <v>376</v>
      </c>
      <c r="C381" s="42" t="s">
        <v>362</v>
      </c>
      <c r="D381" s="42"/>
      <c r="E381" s="8"/>
      <c r="F381" s="87"/>
      <c r="G381" s="11">
        <f>G382</f>
        <v>18058.7</v>
      </c>
    </row>
    <row r="382" spans="1:8" ht="15.75" x14ac:dyDescent="0.25">
      <c r="A382" s="85" t="s">
        <v>363</v>
      </c>
      <c r="B382" s="42" t="s">
        <v>376</v>
      </c>
      <c r="C382" s="42" t="s">
        <v>362</v>
      </c>
      <c r="D382" s="42" t="s">
        <v>181</v>
      </c>
      <c r="E382" s="8"/>
      <c r="F382" s="87"/>
      <c r="G382" s="11">
        <f>G383+G402+G407+G386</f>
        <v>18058.7</v>
      </c>
    </row>
    <row r="383" spans="1:8" ht="63" x14ac:dyDescent="0.25">
      <c r="A383" s="31" t="s">
        <v>366</v>
      </c>
      <c r="B383" s="42" t="s">
        <v>377</v>
      </c>
      <c r="C383" s="42" t="s">
        <v>362</v>
      </c>
      <c r="D383" s="42" t="s">
        <v>181</v>
      </c>
      <c r="E383" s="42"/>
      <c r="F383" s="86"/>
      <c r="G383" s="11">
        <f>G384</f>
        <v>17957.2</v>
      </c>
    </row>
    <row r="384" spans="1:8" ht="63" x14ac:dyDescent="0.25">
      <c r="A384" s="31" t="s">
        <v>335</v>
      </c>
      <c r="B384" s="42" t="s">
        <v>377</v>
      </c>
      <c r="C384" s="42" t="s">
        <v>362</v>
      </c>
      <c r="D384" s="42" t="s">
        <v>181</v>
      </c>
      <c r="E384" s="42" t="s">
        <v>336</v>
      </c>
      <c r="F384" s="86"/>
      <c r="G384" s="11">
        <f>G385</f>
        <v>17957.2</v>
      </c>
    </row>
    <row r="385" spans="1:8" ht="15.75" x14ac:dyDescent="0.25">
      <c r="A385" s="31" t="s">
        <v>337</v>
      </c>
      <c r="B385" s="42" t="s">
        <v>377</v>
      </c>
      <c r="C385" s="42" t="s">
        <v>362</v>
      </c>
      <c r="D385" s="42" t="s">
        <v>181</v>
      </c>
      <c r="E385" s="42" t="s">
        <v>338</v>
      </c>
      <c r="F385" s="86"/>
      <c r="G385" s="7">
        <f>'Прил.№4 ведомств.'!G312</f>
        <v>17957.2</v>
      </c>
      <c r="H385" s="139" t="s">
        <v>1017</v>
      </c>
    </row>
    <row r="386" spans="1:8" ht="63" x14ac:dyDescent="0.25">
      <c r="A386" s="31" t="s">
        <v>339</v>
      </c>
      <c r="B386" s="42" t="s">
        <v>380</v>
      </c>
      <c r="C386" s="42" t="s">
        <v>362</v>
      </c>
      <c r="D386" s="42" t="s">
        <v>181</v>
      </c>
      <c r="E386" s="42"/>
      <c r="F386" s="86"/>
      <c r="G386" s="11">
        <f>G387</f>
        <v>96.1</v>
      </c>
    </row>
    <row r="387" spans="1:8" ht="63" x14ac:dyDescent="0.25">
      <c r="A387" s="31" t="s">
        <v>335</v>
      </c>
      <c r="B387" s="42" t="s">
        <v>380</v>
      </c>
      <c r="C387" s="42" t="s">
        <v>362</v>
      </c>
      <c r="D387" s="42" t="s">
        <v>181</v>
      </c>
      <c r="E387" s="42" t="s">
        <v>336</v>
      </c>
      <c r="F387" s="86"/>
      <c r="G387" s="11">
        <f>G388</f>
        <v>96.1</v>
      </c>
    </row>
    <row r="388" spans="1:8" ht="15.75" x14ac:dyDescent="0.25">
      <c r="A388" s="31" t="s">
        <v>337</v>
      </c>
      <c r="B388" s="42" t="s">
        <v>380</v>
      </c>
      <c r="C388" s="42" t="s">
        <v>362</v>
      </c>
      <c r="D388" s="42" t="s">
        <v>181</v>
      </c>
      <c r="E388" s="42" t="s">
        <v>338</v>
      </c>
      <c r="F388" s="86"/>
      <c r="G388" s="11">
        <f>'Прил.№4 ведомств.'!G289</f>
        <v>96.1</v>
      </c>
    </row>
    <row r="389" spans="1:8" ht="63" hidden="1" x14ac:dyDescent="0.25">
      <c r="A389" s="47" t="s">
        <v>324</v>
      </c>
      <c r="B389" s="42" t="s">
        <v>750</v>
      </c>
      <c r="C389" s="42" t="s">
        <v>362</v>
      </c>
      <c r="D389" s="42" t="s">
        <v>181</v>
      </c>
      <c r="E389" s="42"/>
      <c r="F389" s="2">
        <v>903</v>
      </c>
      <c r="G389" s="11">
        <f>G386</f>
        <v>96.1</v>
      </c>
    </row>
    <row r="390" spans="1:8" ht="47.25" hidden="1" x14ac:dyDescent="0.25">
      <c r="A390" s="26" t="s">
        <v>341</v>
      </c>
      <c r="B390" s="42" t="s">
        <v>381</v>
      </c>
      <c r="C390" s="42" t="s">
        <v>362</v>
      </c>
      <c r="D390" s="42" t="s">
        <v>181</v>
      </c>
      <c r="E390" s="42"/>
      <c r="F390" s="86"/>
      <c r="G390" s="11">
        <f>G391</f>
        <v>0</v>
      </c>
    </row>
    <row r="391" spans="1:8" ht="63" hidden="1" x14ac:dyDescent="0.25">
      <c r="A391" s="31" t="s">
        <v>335</v>
      </c>
      <c r="B391" s="42" t="s">
        <v>381</v>
      </c>
      <c r="C391" s="42" t="s">
        <v>362</v>
      </c>
      <c r="D391" s="42" t="s">
        <v>181</v>
      </c>
      <c r="E391" s="42" t="s">
        <v>336</v>
      </c>
      <c r="F391" s="86"/>
      <c r="G391" s="11">
        <f>G392</f>
        <v>0</v>
      </c>
    </row>
    <row r="392" spans="1:8" ht="35.25" hidden="1" customHeight="1" x14ac:dyDescent="0.25">
      <c r="A392" s="31" t="s">
        <v>337</v>
      </c>
      <c r="B392" s="42" t="s">
        <v>381</v>
      </c>
      <c r="C392" s="42" t="s">
        <v>362</v>
      </c>
      <c r="D392" s="42" t="s">
        <v>181</v>
      </c>
      <c r="E392" s="42" t="s">
        <v>338</v>
      </c>
      <c r="F392" s="86"/>
      <c r="G392" s="11"/>
    </row>
    <row r="393" spans="1:8" ht="63" hidden="1" x14ac:dyDescent="0.25">
      <c r="A393" s="47" t="s">
        <v>324</v>
      </c>
      <c r="B393" s="42" t="s">
        <v>381</v>
      </c>
      <c r="C393" s="42" t="s">
        <v>362</v>
      </c>
      <c r="D393" s="42" t="s">
        <v>181</v>
      </c>
      <c r="E393" s="42"/>
      <c r="F393" s="2">
        <v>903</v>
      </c>
      <c r="G393" s="11">
        <f>G390</f>
        <v>0</v>
      </c>
    </row>
    <row r="394" spans="1:8" ht="31.5" hidden="1" x14ac:dyDescent="0.25">
      <c r="A394" s="31" t="s">
        <v>751</v>
      </c>
      <c r="B394" s="42" t="s">
        <v>382</v>
      </c>
      <c r="C394" s="42" t="s">
        <v>362</v>
      </c>
      <c r="D394" s="42" t="s">
        <v>181</v>
      </c>
      <c r="E394" s="42"/>
      <c r="F394" s="86"/>
      <c r="G394" s="11">
        <f>G395</f>
        <v>0</v>
      </c>
    </row>
    <row r="395" spans="1:8" ht="63" hidden="1" x14ac:dyDescent="0.25">
      <c r="A395" s="31" t="s">
        <v>335</v>
      </c>
      <c r="B395" s="42" t="s">
        <v>382</v>
      </c>
      <c r="C395" s="42" t="s">
        <v>362</v>
      </c>
      <c r="D395" s="42" t="s">
        <v>181</v>
      </c>
      <c r="E395" s="42" t="s">
        <v>336</v>
      </c>
      <c r="F395" s="86"/>
      <c r="G395" s="11">
        <f>G396</f>
        <v>0</v>
      </c>
    </row>
    <row r="396" spans="1:8" ht="15.75" hidden="1" x14ac:dyDescent="0.25">
      <c r="A396" s="31" t="s">
        <v>337</v>
      </c>
      <c r="B396" s="42" t="s">
        <v>382</v>
      </c>
      <c r="C396" s="42" t="s">
        <v>362</v>
      </c>
      <c r="D396" s="42" t="s">
        <v>181</v>
      </c>
      <c r="E396" s="42" t="s">
        <v>338</v>
      </c>
      <c r="F396" s="86"/>
      <c r="G396" s="11"/>
    </row>
    <row r="397" spans="1:8" ht="63" hidden="1" x14ac:dyDescent="0.25">
      <c r="A397" s="47" t="s">
        <v>324</v>
      </c>
      <c r="B397" s="42" t="s">
        <v>382</v>
      </c>
      <c r="C397" s="42" t="s">
        <v>362</v>
      </c>
      <c r="D397" s="42" t="s">
        <v>181</v>
      </c>
      <c r="E397" s="42"/>
      <c r="F397" s="2">
        <v>903</v>
      </c>
      <c r="G397" s="11">
        <f>G394</f>
        <v>0</v>
      </c>
    </row>
    <row r="398" spans="1:8" ht="31.5" hidden="1" x14ac:dyDescent="0.25">
      <c r="A398" s="31" t="s">
        <v>347</v>
      </c>
      <c r="B398" s="42" t="s">
        <v>702</v>
      </c>
      <c r="C398" s="42" t="s">
        <v>362</v>
      </c>
      <c r="D398" s="42" t="s">
        <v>181</v>
      </c>
      <c r="E398" s="42"/>
      <c r="F398" s="86"/>
      <c r="G398" s="11">
        <f>G399</f>
        <v>0</v>
      </c>
    </row>
    <row r="399" spans="1:8" ht="63" hidden="1" x14ac:dyDescent="0.25">
      <c r="A399" s="31" t="s">
        <v>335</v>
      </c>
      <c r="B399" s="42" t="s">
        <v>702</v>
      </c>
      <c r="C399" s="42" t="s">
        <v>362</v>
      </c>
      <c r="D399" s="42" t="s">
        <v>181</v>
      </c>
      <c r="E399" s="42" t="s">
        <v>336</v>
      </c>
      <c r="F399" s="86"/>
      <c r="G399" s="11">
        <f>G400</f>
        <v>0</v>
      </c>
    </row>
    <row r="400" spans="1:8" ht="15.75" hidden="1" x14ac:dyDescent="0.25">
      <c r="A400" s="31" t="s">
        <v>337</v>
      </c>
      <c r="B400" s="42" t="s">
        <v>702</v>
      </c>
      <c r="C400" s="42" t="s">
        <v>362</v>
      </c>
      <c r="D400" s="42" t="s">
        <v>181</v>
      </c>
      <c r="E400" s="42" t="s">
        <v>338</v>
      </c>
      <c r="F400" s="86"/>
      <c r="G400" s="11"/>
    </row>
    <row r="401" spans="1:7" ht="63" hidden="1" x14ac:dyDescent="0.25">
      <c r="A401" s="47" t="s">
        <v>324</v>
      </c>
      <c r="B401" s="42" t="s">
        <v>702</v>
      </c>
      <c r="C401" s="42" t="s">
        <v>362</v>
      </c>
      <c r="D401" s="42" t="s">
        <v>181</v>
      </c>
      <c r="E401" s="42"/>
      <c r="F401" s="2">
        <v>903</v>
      </c>
      <c r="G401" s="11">
        <f>G398</f>
        <v>0</v>
      </c>
    </row>
    <row r="402" spans="1:7" ht="31.5" x14ac:dyDescent="0.25">
      <c r="A402" s="88" t="s">
        <v>752</v>
      </c>
      <c r="B402" s="42" t="s">
        <v>379</v>
      </c>
      <c r="C402" s="42" t="s">
        <v>362</v>
      </c>
      <c r="D402" s="42" t="s">
        <v>181</v>
      </c>
      <c r="E402" s="42"/>
      <c r="F402" s="2"/>
      <c r="G402" s="11">
        <f>G403+G405</f>
        <v>5</v>
      </c>
    </row>
    <row r="403" spans="1:7" ht="47.25" hidden="1" x14ac:dyDescent="0.25">
      <c r="A403" s="31" t="s">
        <v>194</v>
      </c>
      <c r="B403" s="42" t="s">
        <v>379</v>
      </c>
      <c r="C403" s="42" t="s">
        <v>362</v>
      </c>
      <c r="D403" s="42" t="s">
        <v>181</v>
      </c>
      <c r="E403" s="42" t="s">
        <v>195</v>
      </c>
      <c r="F403" s="2"/>
      <c r="G403" s="11">
        <f>G404</f>
        <v>0</v>
      </c>
    </row>
    <row r="404" spans="1:7" ht="47.25" hidden="1" x14ac:dyDescent="0.25">
      <c r="A404" s="31" t="s">
        <v>196</v>
      </c>
      <c r="B404" s="42" t="s">
        <v>379</v>
      </c>
      <c r="C404" s="42" t="s">
        <v>362</v>
      </c>
      <c r="D404" s="42" t="s">
        <v>181</v>
      </c>
      <c r="E404" s="42" t="s">
        <v>197</v>
      </c>
      <c r="F404" s="2"/>
      <c r="G404" s="11">
        <v>0</v>
      </c>
    </row>
    <row r="405" spans="1:7" ht="62.25" customHeight="1" x14ac:dyDescent="0.25">
      <c r="A405" s="31" t="s">
        <v>335</v>
      </c>
      <c r="B405" s="42" t="s">
        <v>379</v>
      </c>
      <c r="C405" s="42" t="s">
        <v>362</v>
      </c>
      <c r="D405" s="42" t="s">
        <v>181</v>
      </c>
      <c r="E405" s="42" t="s">
        <v>336</v>
      </c>
      <c r="F405" s="2"/>
      <c r="G405" s="11">
        <f>G406</f>
        <v>5</v>
      </c>
    </row>
    <row r="406" spans="1:7" ht="15.75" x14ac:dyDescent="0.25">
      <c r="A406" s="31" t="s">
        <v>337</v>
      </c>
      <c r="B406" s="42" t="s">
        <v>379</v>
      </c>
      <c r="C406" s="42" t="s">
        <v>362</v>
      </c>
      <c r="D406" s="42" t="s">
        <v>181</v>
      </c>
      <c r="E406" s="42" t="s">
        <v>338</v>
      </c>
      <c r="F406" s="2"/>
      <c r="G406" s="11">
        <f>'Прил.№4 ведомств.'!G317</f>
        <v>5</v>
      </c>
    </row>
    <row r="407" spans="1:7" ht="15.75" x14ac:dyDescent="0.25">
      <c r="A407" s="26" t="s">
        <v>790</v>
      </c>
      <c r="B407" s="21" t="s">
        <v>791</v>
      </c>
      <c r="C407" s="42" t="s">
        <v>362</v>
      </c>
      <c r="D407" s="42" t="s">
        <v>181</v>
      </c>
      <c r="E407" s="42"/>
      <c r="F407" s="2"/>
      <c r="G407" s="11">
        <f>G408</f>
        <v>0.4</v>
      </c>
    </row>
    <row r="408" spans="1:7" ht="63" x14ac:dyDescent="0.25">
      <c r="A408" s="26" t="s">
        <v>335</v>
      </c>
      <c r="B408" s="21" t="s">
        <v>791</v>
      </c>
      <c r="C408" s="42" t="s">
        <v>362</v>
      </c>
      <c r="D408" s="42" t="s">
        <v>181</v>
      </c>
      <c r="E408" s="42" t="s">
        <v>336</v>
      </c>
      <c r="F408" s="2"/>
      <c r="G408" s="11">
        <f>G409</f>
        <v>0.4</v>
      </c>
    </row>
    <row r="409" spans="1:7" ht="15.75" x14ac:dyDescent="0.25">
      <c r="A409" s="26" t="s">
        <v>337</v>
      </c>
      <c r="B409" s="21" t="s">
        <v>791</v>
      </c>
      <c r="C409" s="42" t="s">
        <v>362</v>
      </c>
      <c r="D409" s="42" t="s">
        <v>181</v>
      </c>
      <c r="E409" s="42" t="s">
        <v>338</v>
      </c>
      <c r="F409" s="2"/>
      <c r="G409" s="11">
        <f>'Прил.№4 ведомств.'!G320</f>
        <v>0.4</v>
      </c>
    </row>
    <row r="410" spans="1:7" ht="63" x14ac:dyDescent="0.25">
      <c r="A410" s="47" t="s">
        <v>324</v>
      </c>
      <c r="B410" s="42" t="s">
        <v>376</v>
      </c>
      <c r="C410" s="42" t="s">
        <v>362</v>
      </c>
      <c r="D410" s="42" t="s">
        <v>181</v>
      </c>
      <c r="E410" s="42"/>
      <c r="F410" s="2">
        <v>903</v>
      </c>
      <c r="G410" s="11">
        <f>G380</f>
        <v>18058.7</v>
      </c>
    </row>
    <row r="411" spans="1:7" ht="47.25" hidden="1" x14ac:dyDescent="0.25">
      <c r="A411" s="70" t="s">
        <v>384</v>
      </c>
      <c r="B411" s="42" t="s">
        <v>385</v>
      </c>
      <c r="C411" s="42" t="s">
        <v>362</v>
      </c>
      <c r="D411" s="42" t="s">
        <v>181</v>
      </c>
      <c r="E411" s="42"/>
      <c r="F411" s="2"/>
      <c r="G411" s="11">
        <f>G412</f>
        <v>0</v>
      </c>
    </row>
    <row r="412" spans="1:7" ht="63" hidden="1" x14ac:dyDescent="0.25">
      <c r="A412" s="31" t="s">
        <v>335</v>
      </c>
      <c r="B412" s="42" t="s">
        <v>385</v>
      </c>
      <c r="C412" s="42" t="s">
        <v>362</v>
      </c>
      <c r="D412" s="42" t="s">
        <v>181</v>
      </c>
      <c r="E412" s="42" t="s">
        <v>336</v>
      </c>
      <c r="F412" s="2"/>
      <c r="G412" s="11"/>
    </row>
    <row r="413" spans="1:7" ht="15.75" hidden="1" x14ac:dyDescent="0.25">
      <c r="A413" s="31" t="s">
        <v>337</v>
      </c>
      <c r="B413" s="42" t="s">
        <v>385</v>
      </c>
      <c r="C413" s="42" t="s">
        <v>362</v>
      </c>
      <c r="D413" s="42" t="s">
        <v>181</v>
      </c>
      <c r="E413" s="42" t="s">
        <v>338</v>
      </c>
      <c r="F413" s="2"/>
      <c r="G413" s="11"/>
    </row>
    <row r="414" spans="1:7" ht="63" hidden="1" x14ac:dyDescent="0.25">
      <c r="A414" s="47" t="s">
        <v>324</v>
      </c>
      <c r="B414" s="42" t="s">
        <v>385</v>
      </c>
      <c r="C414" s="42" t="s">
        <v>362</v>
      </c>
      <c r="D414" s="42" t="s">
        <v>181</v>
      </c>
      <c r="E414" s="42"/>
      <c r="F414" s="2">
        <v>903</v>
      </c>
      <c r="G414" s="11">
        <f>G413</f>
        <v>0</v>
      </c>
    </row>
    <row r="415" spans="1:7" ht="78.75" x14ac:dyDescent="0.25">
      <c r="A415" s="43" t="s">
        <v>386</v>
      </c>
      <c r="B415" s="8" t="s">
        <v>387</v>
      </c>
      <c r="C415" s="84"/>
      <c r="D415" s="84"/>
      <c r="E415" s="84"/>
      <c r="F415" s="84"/>
      <c r="G415" s="68">
        <f>G416</f>
        <v>186.8</v>
      </c>
    </row>
    <row r="416" spans="1:7" ht="15.75" x14ac:dyDescent="0.25">
      <c r="A416" s="85" t="s">
        <v>361</v>
      </c>
      <c r="B416" s="42" t="s">
        <v>387</v>
      </c>
      <c r="C416" s="42" t="s">
        <v>362</v>
      </c>
      <c r="D416" s="85"/>
      <c r="E416" s="85"/>
      <c r="F416" s="85"/>
      <c r="G416" s="11">
        <f>G417</f>
        <v>186.8</v>
      </c>
    </row>
    <row r="417" spans="1:8" ht="15.75" x14ac:dyDescent="0.25">
      <c r="A417" s="85" t="s">
        <v>363</v>
      </c>
      <c r="B417" s="42" t="s">
        <v>387</v>
      </c>
      <c r="C417" s="42" t="s">
        <v>362</v>
      </c>
      <c r="D417" s="42" t="s">
        <v>181</v>
      </c>
      <c r="E417" s="85"/>
      <c r="F417" s="85"/>
      <c r="G417" s="11">
        <f>G418</f>
        <v>186.8</v>
      </c>
    </row>
    <row r="418" spans="1:8" ht="63" x14ac:dyDescent="0.25">
      <c r="A418" s="31" t="s">
        <v>388</v>
      </c>
      <c r="B418" s="42" t="s">
        <v>389</v>
      </c>
      <c r="C418" s="42" t="s">
        <v>362</v>
      </c>
      <c r="D418" s="42" t="s">
        <v>181</v>
      </c>
      <c r="E418" s="85"/>
      <c r="F418" s="85"/>
      <c r="G418" s="11">
        <f>G419</f>
        <v>186.8</v>
      </c>
    </row>
    <row r="419" spans="1:8" ht="63" x14ac:dyDescent="0.25">
      <c r="A419" s="26" t="s">
        <v>335</v>
      </c>
      <c r="B419" s="42" t="s">
        <v>389</v>
      </c>
      <c r="C419" s="42" t="s">
        <v>362</v>
      </c>
      <c r="D419" s="42" t="s">
        <v>181</v>
      </c>
      <c r="E419" s="42" t="s">
        <v>336</v>
      </c>
      <c r="F419" s="85"/>
      <c r="G419" s="11">
        <f>G420</f>
        <v>186.8</v>
      </c>
    </row>
    <row r="420" spans="1:8" ht="15.75" x14ac:dyDescent="0.25">
      <c r="A420" s="26" t="s">
        <v>337</v>
      </c>
      <c r="B420" s="42" t="s">
        <v>389</v>
      </c>
      <c r="C420" s="42" t="s">
        <v>362</v>
      </c>
      <c r="D420" s="42" t="s">
        <v>181</v>
      </c>
      <c r="E420" s="42" t="s">
        <v>338</v>
      </c>
      <c r="F420" s="85"/>
      <c r="G420" s="11">
        <f>'Прил.№4 ведомств.'!G339</f>
        <v>186.8</v>
      </c>
      <c r="H420" s="197" t="s">
        <v>935</v>
      </c>
    </row>
    <row r="421" spans="1:8" ht="63" hidden="1" x14ac:dyDescent="0.25">
      <c r="A421" s="47" t="s">
        <v>753</v>
      </c>
      <c r="B421" s="42" t="s">
        <v>389</v>
      </c>
      <c r="C421" s="42" t="s">
        <v>362</v>
      </c>
      <c r="D421" s="42" t="s">
        <v>181</v>
      </c>
      <c r="E421" s="42"/>
      <c r="F421" s="85"/>
      <c r="G421" s="11">
        <f>G422</f>
        <v>0</v>
      </c>
    </row>
    <row r="422" spans="1:8" ht="63" hidden="1" x14ac:dyDescent="0.25">
      <c r="A422" s="31" t="s">
        <v>335</v>
      </c>
      <c r="B422" s="42" t="s">
        <v>389</v>
      </c>
      <c r="C422" s="42" t="s">
        <v>362</v>
      </c>
      <c r="D422" s="42" t="s">
        <v>181</v>
      </c>
      <c r="E422" s="42" t="s">
        <v>336</v>
      </c>
      <c r="F422" s="85"/>
      <c r="G422" s="11">
        <f>G423</f>
        <v>0</v>
      </c>
    </row>
    <row r="423" spans="1:8" ht="15.75" hidden="1" x14ac:dyDescent="0.25">
      <c r="A423" s="31" t="s">
        <v>337</v>
      </c>
      <c r="B423" s="42" t="s">
        <v>389</v>
      </c>
      <c r="C423" s="42" t="s">
        <v>362</v>
      </c>
      <c r="D423" s="42" t="s">
        <v>181</v>
      </c>
      <c r="E423" s="42" t="s">
        <v>338</v>
      </c>
      <c r="F423" s="85"/>
      <c r="G423" s="11"/>
    </row>
    <row r="424" spans="1:8" ht="63" x14ac:dyDescent="0.25">
      <c r="A424" s="47" t="s">
        <v>324</v>
      </c>
      <c r="B424" s="42" t="s">
        <v>387</v>
      </c>
      <c r="C424" s="42" t="s">
        <v>362</v>
      </c>
      <c r="D424" s="42" t="s">
        <v>181</v>
      </c>
      <c r="E424" s="85"/>
      <c r="F424" s="2">
        <v>903</v>
      </c>
      <c r="G424" s="11">
        <f>G415</f>
        <v>186.8</v>
      </c>
    </row>
    <row r="425" spans="1:8" ht="63" x14ac:dyDescent="0.25">
      <c r="A425" s="43" t="s">
        <v>607</v>
      </c>
      <c r="B425" s="8" t="s">
        <v>608</v>
      </c>
      <c r="C425" s="2"/>
      <c r="D425" s="2"/>
      <c r="E425" s="2"/>
      <c r="F425" s="2"/>
      <c r="G425" s="68">
        <f>G426+G439</f>
        <v>3683.4000000000005</v>
      </c>
    </row>
    <row r="426" spans="1:8" ht="78.75" x14ac:dyDescent="0.25">
      <c r="A426" s="43" t="s">
        <v>609</v>
      </c>
      <c r="B426" s="8" t="s">
        <v>610</v>
      </c>
      <c r="C426" s="8"/>
      <c r="D426" s="8"/>
      <c r="E426" s="3"/>
      <c r="F426" s="3"/>
      <c r="G426" s="68">
        <f>G427</f>
        <v>2583.2000000000007</v>
      </c>
    </row>
    <row r="427" spans="1:8" ht="15.75" x14ac:dyDescent="0.25">
      <c r="A427" s="85" t="s">
        <v>454</v>
      </c>
      <c r="B427" s="42" t="s">
        <v>610</v>
      </c>
      <c r="C427" s="42" t="s">
        <v>297</v>
      </c>
      <c r="D427" s="42"/>
      <c r="E427" s="2"/>
      <c r="F427" s="2"/>
      <c r="G427" s="11">
        <f>G428</f>
        <v>2583.2000000000007</v>
      </c>
    </row>
    <row r="428" spans="1:8" ht="15.75" x14ac:dyDescent="0.25">
      <c r="A428" s="85" t="s">
        <v>606</v>
      </c>
      <c r="B428" s="42" t="s">
        <v>610</v>
      </c>
      <c r="C428" s="42" t="s">
        <v>297</v>
      </c>
      <c r="D428" s="42" t="s">
        <v>278</v>
      </c>
      <c r="E428" s="2"/>
      <c r="F428" s="2"/>
      <c r="G428" s="11">
        <f>G429+G432+G435</f>
        <v>2583.2000000000007</v>
      </c>
    </row>
    <row r="429" spans="1:8" ht="31.5" x14ac:dyDescent="0.25">
      <c r="A429" s="26" t="s">
        <v>611</v>
      </c>
      <c r="B429" s="21" t="s">
        <v>612</v>
      </c>
      <c r="C429" s="42" t="s">
        <v>297</v>
      </c>
      <c r="D429" s="42" t="s">
        <v>278</v>
      </c>
      <c r="E429" s="2"/>
      <c r="F429" s="2"/>
      <c r="G429" s="11">
        <f>G430</f>
        <v>250</v>
      </c>
    </row>
    <row r="430" spans="1:8" ht="51" customHeight="1" x14ac:dyDescent="0.25">
      <c r="A430" s="26" t="s">
        <v>194</v>
      </c>
      <c r="B430" s="21" t="s">
        <v>612</v>
      </c>
      <c r="C430" s="42" t="s">
        <v>297</v>
      </c>
      <c r="D430" s="42" t="s">
        <v>278</v>
      </c>
      <c r="E430" s="2">
        <v>200</v>
      </c>
      <c r="F430" s="2"/>
      <c r="G430" s="11">
        <f>G431</f>
        <v>250</v>
      </c>
    </row>
    <row r="431" spans="1:8" ht="47.25" x14ac:dyDescent="0.25">
      <c r="A431" s="26" t="s">
        <v>196</v>
      </c>
      <c r="B431" s="21" t="s">
        <v>612</v>
      </c>
      <c r="C431" s="42" t="s">
        <v>297</v>
      </c>
      <c r="D431" s="42" t="s">
        <v>278</v>
      </c>
      <c r="E431" s="2">
        <v>240</v>
      </c>
      <c r="F431" s="2"/>
      <c r="G431" s="11">
        <f>'Прил.№4 ведомств.'!G871</f>
        <v>250</v>
      </c>
      <c r="H431" t="s">
        <v>945</v>
      </c>
    </row>
    <row r="432" spans="1:8" ht="31.5" customHeight="1" x14ac:dyDescent="0.25">
      <c r="A432" s="26" t="s">
        <v>613</v>
      </c>
      <c r="B432" s="21" t="s">
        <v>614</v>
      </c>
      <c r="C432" s="42" t="s">
        <v>297</v>
      </c>
      <c r="D432" s="42" t="s">
        <v>278</v>
      </c>
      <c r="E432" s="2"/>
      <c r="F432" s="2"/>
      <c r="G432" s="11">
        <f>G433</f>
        <v>2298.6000000000004</v>
      </c>
    </row>
    <row r="433" spans="1:8" ht="47.25" x14ac:dyDescent="0.25">
      <c r="A433" s="26" t="s">
        <v>194</v>
      </c>
      <c r="B433" s="21" t="s">
        <v>614</v>
      </c>
      <c r="C433" s="42" t="s">
        <v>297</v>
      </c>
      <c r="D433" s="42" t="s">
        <v>278</v>
      </c>
      <c r="E433" s="2">
        <v>200</v>
      </c>
      <c r="F433" s="2"/>
      <c r="G433" s="11">
        <f>G434</f>
        <v>2298.6000000000004</v>
      </c>
    </row>
    <row r="434" spans="1:8" ht="47.25" x14ac:dyDescent="0.25">
      <c r="A434" s="26" t="s">
        <v>196</v>
      </c>
      <c r="B434" s="21" t="s">
        <v>614</v>
      </c>
      <c r="C434" s="42" t="s">
        <v>297</v>
      </c>
      <c r="D434" s="42" t="s">
        <v>278</v>
      </c>
      <c r="E434" s="2">
        <v>240</v>
      </c>
      <c r="F434" s="2"/>
      <c r="G434" s="11">
        <f>'Прил.№4 ведомств.'!G874</f>
        <v>2298.6000000000004</v>
      </c>
      <c r="H434" t="s">
        <v>1010</v>
      </c>
    </row>
    <row r="435" spans="1:8" ht="31.5" x14ac:dyDescent="0.25">
      <c r="A435" s="26" t="s">
        <v>615</v>
      </c>
      <c r="B435" s="21" t="s">
        <v>616</v>
      </c>
      <c r="C435" s="42" t="s">
        <v>297</v>
      </c>
      <c r="D435" s="42" t="s">
        <v>278</v>
      </c>
      <c r="E435" s="2"/>
      <c r="F435" s="2"/>
      <c r="G435" s="11">
        <f>G436</f>
        <v>34.600000000000179</v>
      </c>
    </row>
    <row r="436" spans="1:8" ht="47.25" x14ac:dyDescent="0.25">
      <c r="A436" s="26" t="s">
        <v>194</v>
      </c>
      <c r="B436" s="21" t="s">
        <v>616</v>
      </c>
      <c r="C436" s="42" t="s">
        <v>297</v>
      </c>
      <c r="D436" s="42" t="s">
        <v>278</v>
      </c>
      <c r="E436" s="2">
        <v>200</v>
      </c>
      <c r="F436" s="2"/>
      <c r="G436" s="11">
        <f>G437</f>
        <v>34.600000000000179</v>
      </c>
    </row>
    <row r="437" spans="1:8" ht="47.25" x14ac:dyDescent="0.25">
      <c r="A437" s="26" t="s">
        <v>196</v>
      </c>
      <c r="B437" s="21" t="s">
        <v>616</v>
      </c>
      <c r="C437" s="42" t="s">
        <v>297</v>
      </c>
      <c r="D437" s="42" t="s">
        <v>278</v>
      </c>
      <c r="E437" s="2">
        <v>240</v>
      </c>
      <c r="F437" s="2"/>
      <c r="G437" s="11">
        <f>'Прил.№4 ведомств.'!G877</f>
        <v>34.600000000000179</v>
      </c>
      <c r="H437" t="s">
        <v>1011</v>
      </c>
    </row>
    <row r="438" spans="1:8" ht="47.25" x14ac:dyDescent="0.25">
      <c r="A438" s="47" t="s">
        <v>721</v>
      </c>
      <c r="B438" s="42" t="s">
        <v>610</v>
      </c>
      <c r="C438" s="42" t="s">
        <v>297</v>
      </c>
      <c r="D438" s="42" t="s">
        <v>278</v>
      </c>
      <c r="E438" s="2"/>
      <c r="F438" s="2">
        <v>908</v>
      </c>
      <c r="G438" s="11">
        <f>G426</f>
        <v>2583.2000000000007</v>
      </c>
    </row>
    <row r="439" spans="1:8" ht="63" x14ac:dyDescent="0.25">
      <c r="A439" s="24" t="s">
        <v>617</v>
      </c>
      <c r="B439" s="8" t="s">
        <v>618</v>
      </c>
      <c r="C439" s="8"/>
      <c r="D439" s="8"/>
      <c r="E439" s="3"/>
      <c r="F439" s="3"/>
      <c r="G439" s="68">
        <f>G440</f>
        <v>1100.2</v>
      </c>
    </row>
    <row r="440" spans="1:8" ht="15.75" x14ac:dyDescent="0.25">
      <c r="A440" s="85" t="s">
        <v>454</v>
      </c>
      <c r="B440" s="42" t="s">
        <v>618</v>
      </c>
      <c r="C440" s="42" t="s">
        <v>297</v>
      </c>
      <c r="D440" s="42"/>
      <c r="E440" s="2"/>
      <c r="F440" s="2"/>
      <c r="G440" s="11">
        <f>G441</f>
        <v>1100.2</v>
      </c>
    </row>
    <row r="441" spans="1:8" ht="15.75" x14ac:dyDescent="0.25">
      <c r="A441" s="85" t="s">
        <v>606</v>
      </c>
      <c r="B441" s="42" t="s">
        <v>618</v>
      </c>
      <c r="C441" s="42" t="s">
        <v>297</v>
      </c>
      <c r="D441" s="42" t="s">
        <v>278</v>
      </c>
      <c r="E441" s="2"/>
      <c r="F441" s="2"/>
      <c r="G441" s="11">
        <f>G442+G447+G450+G453</f>
        <v>1100.2</v>
      </c>
    </row>
    <row r="442" spans="1:8" ht="31.5" x14ac:dyDescent="0.25">
      <c r="A442" s="26" t="s">
        <v>615</v>
      </c>
      <c r="B442" s="21" t="s">
        <v>619</v>
      </c>
      <c r="C442" s="42" t="s">
        <v>297</v>
      </c>
      <c r="D442" s="42" t="s">
        <v>278</v>
      </c>
      <c r="E442" s="2"/>
      <c r="F442" s="2"/>
      <c r="G442" s="11">
        <f>G443+G445</f>
        <v>672.3</v>
      </c>
    </row>
    <row r="443" spans="1:8" ht="110.25" x14ac:dyDescent="0.25">
      <c r="A443" s="26" t="s">
        <v>190</v>
      </c>
      <c r="B443" s="21" t="s">
        <v>619</v>
      </c>
      <c r="C443" s="42" t="s">
        <v>297</v>
      </c>
      <c r="D443" s="42" t="s">
        <v>278</v>
      </c>
      <c r="E443" s="2">
        <v>100</v>
      </c>
      <c r="F443" s="2"/>
      <c r="G443" s="11">
        <f>G444</f>
        <v>652.19999999999993</v>
      </c>
    </row>
    <row r="444" spans="1:8" ht="31.5" x14ac:dyDescent="0.25">
      <c r="A444" s="48" t="s">
        <v>405</v>
      </c>
      <c r="B444" s="21" t="s">
        <v>619</v>
      </c>
      <c r="C444" s="42" t="s">
        <v>297</v>
      </c>
      <c r="D444" s="42" t="s">
        <v>278</v>
      </c>
      <c r="E444" s="2">
        <v>110</v>
      </c>
      <c r="F444" s="2"/>
      <c r="G444" s="11">
        <f>'Прил.№4 ведомств.'!G881</f>
        <v>652.19999999999993</v>
      </c>
      <c r="H444" t="s">
        <v>997</v>
      </c>
    </row>
    <row r="445" spans="1:8" ht="47.25" x14ac:dyDescent="0.25">
      <c r="A445" s="26" t="s">
        <v>194</v>
      </c>
      <c r="B445" s="21" t="s">
        <v>619</v>
      </c>
      <c r="C445" s="42" t="s">
        <v>297</v>
      </c>
      <c r="D445" s="42" t="s">
        <v>278</v>
      </c>
      <c r="E445" s="2">
        <v>200</v>
      </c>
      <c r="F445" s="2"/>
      <c r="G445" s="11">
        <f>G446</f>
        <v>20.099999999999994</v>
      </c>
    </row>
    <row r="446" spans="1:8" ht="47.25" x14ac:dyDescent="0.25">
      <c r="A446" s="26" t="s">
        <v>196</v>
      </c>
      <c r="B446" s="21" t="s">
        <v>619</v>
      </c>
      <c r="C446" s="42" t="s">
        <v>297</v>
      </c>
      <c r="D446" s="42" t="s">
        <v>278</v>
      </c>
      <c r="E446" s="2">
        <v>240</v>
      </c>
      <c r="F446" s="2"/>
      <c r="G446" s="11">
        <f>'Прил.№4 ведомств.'!G883</f>
        <v>20.099999999999994</v>
      </c>
    </row>
    <row r="447" spans="1:8" ht="15.75" hidden="1" x14ac:dyDescent="0.25">
      <c r="A447" s="26" t="s">
        <v>620</v>
      </c>
      <c r="B447" s="21" t="s">
        <v>621</v>
      </c>
      <c r="C447" s="42" t="s">
        <v>297</v>
      </c>
      <c r="D447" s="42" t="s">
        <v>278</v>
      </c>
      <c r="E447" s="2"/>
      <c r="F447" s="2"/>
      <c r="G447" s="11">
        <f>G448</f>
        <v>0</v>
      </c>
    </row>
    <row r="448" spans="1:8" ht="47.25" hidden="1" x14ac:dyDescent="0.25">
      <c r="A448" s="26" t="s">
        <v>194</v>
      </c>
      <c r="B448" s="21" t="s">
        <v>621</v>
      </c>
      <c r="C448" s="42" t="s">
        <v>297</v>
      </c>
      <c r="D448" s="42" t="s">
        <v>278</v>
      </c>
      <c r="E448" s="2">
        <v>200</v>
      </c>
      <c r="F448" s="2"/>
      <c r="G448" s="11">
        <f>G449</f>
        <v>0</v>
      </c>
    </row>
    <row r="449" spans="1:8" ht="47.25" hidden="1" x14ac:dyDescent="0.25">
      <c r="A449" s="26" t="s">
        <v>196</v>
      </c>
      <c r="B449" s="21" t="s">
        <v>621</v>
      </c>
      <c r="C449" s="42" t="s">
        <v>297</v>
      </c>
      <c r="D449" s="42" t="s">
        <v>278</v>
      </c>
      <c r="E449" s="2">
        <v>240</v>
      </c>
      <c r="F449" s="2"/>
      <c r="G449" s="11">
        <f>'Прил.№4 ведомств.'!G886</f>
        <v>0</v>
      </c>
      <c r="H449" t="s">
        <v>946</v>
      </c>
    </row>
    <row r="450" spans="1:8" ht="63" hidden="1" x14ac:dyDescent="0.25">
      <c r="A450" s="125" t="s">
        <v>622</v>
      </c>
      <c r="B450" s="21" t="s">
        <v>623</v>
      </c>
      <c r="C450" s="42" t="s">
        <v>297</v>
      </c>
      <c r="D450" s="42" t="s">
        <v>278</v>
      </c>
      <c r="E450" s="2"/>
      <c r="F450" s="2"/>
      <c r="G450" s="11">
        <f>G451</f>
        <v>0</v>
      </c>
    </row>
    <row r="451" spans="1:8" ht="47.25" hidden="1" x14ac:dyDescent="0.25">
      <c r="A451" s="26" t="s">
        <v>194</v>
      </c>
      <c r="B451" s="21" t="s">
        <v>623</v>
      </c>
      <c r="C451" s="42" t="s">
        <v>297</v>
      </c>
      <c r="D451" s="42" t="s">
        <v>278</v>
      </c>
      <c r="E451" s="2">
        <v>200</v>
      </c>
      <c r="F451" s="2"/>
      <c r="G451" s="11">
        <f>G452</f>
        <v>0</v>
      </c>
    </row>
    <row r="452" spans="1:8" ht="47.25" hidden="1" x14ac:dyDescent="0.25">
      <c r="A452" s="26" t="s">
        <v>196</v>
      </c>
      <c r="B452" s="21" t="s">
        <v>623</v>
      </c>
      <c r="C452" s="42" t="s">
        <v>297</v>
      </c>
      <c r="D452" s="42" t="s">
        <v>278</v>
      </c>
      <c r="E452" s="2">
        <v>240</v>
      </c>
      <c r="F452" s="2"/>
      <c r="G452" s="11">
        <f>'Прил.№4 ведомств.'!G889</f>
        <v>0</v>
      </c>
      <c r="H452" t="s">
        <v>947</v>
      </c>
    </row>
    <row r="453" spans="1:8" ht="31.5" x14ac:dyDescent="0.25">
      <c r="A453" s="125" t="s">
        <v>624</v>
      </c>
      <c r="B453" s="21" t="s">
        <v>625</v>
      </c>
      <c r="C453" s="42" t="s">
        <v>297</v>
      </c>
      <c r="D453" s="42" t="s">
        <v>278</v>
      </c>
      <c r="E453" s="2"/>
      <c r="F453" s="2"/>
      <c r="G453" s="11">
        <f>G454</f>
        <v>427.90000000000003</v>
      </c>
    </row>
    <row r="454" spans="1:8" ht="47.25" x14ac:dyDescent="0.25">
      <c r="A454" s="26" t="s">
        <v>194</v>
      </c>
      <c r="B454" s="21" t="s">
        <v>625</v>
      </c>
      <c r="C454" s="42" t="s">
        <v>297</v>
      </c>
      <c r="D454" s="42" t="s">
        <v>278</v>
      </c>
      <c r="E454" s="2">
        <v>200</v>
      </c>
      <c r="F454" s="2"/>
      <c r="G454" s="11">
        <f>G455</f>
        <v>427.90000000000003</v>
      </c>
    </row>
    <row r="455" spans="1:8" ht="47.25" x14ac:dyDescent="0.25">
      <c r="A455" s="26" t="s">
        <v>196</v>
      </c>
      <c r="B455" s="21" t="s">
        <v>625</v>
      </c>
      <c r="C455" s="42" t="s">
        <v>297</v>
      </c>
      <c r="D455" s="42" t="s">
        <v>278</v>
      </c>
      <c r="E455" s="2">
        <v>240</v>
      </c>
      <c r="F455" s="2"/>
      <c r="G455" s="11">
        <f>'Прил.№4 ведомств.'!G892</f>
        <v>427.90000000000003</v>
      </c>
      <c r="H455" t="s">
        <v>1004</v>
      </c>
    </row>
    <row r="456" spans="1:8" ht="47.25" x14ac:dyDescent="0.25">
      <c r="A456" s="47" t="s">
        <v>721</v>
      </c>
      <c r="B456" s="21" t="s">
        <v>618</v>
      </c>
      <c r="C456" s="42" t="s">
        <v>297</v>
      </c>
      <c r="D456" s="42" t="s">
        <v>278</v>
      </c>
      <c r="E456" s="2"/>
      <c r="F456" s="2">
        <v>908</v>
      </c>
      <c r="G456" s="11">
        <f>G439</f>
        <v>1100.2</v>
      </c>
    </row>
    <row r="457" spans="1:8" ht="78.75" x14ac:dyDescent="0.25">
      <c r="A457" s="36" t="s">
        <v>244</v>
      </c>
      <c r="B457" s="149" t="s">
        <v>245</v>
      </c>
      <c r="C457" s="8"/>
      <c r="D457" s="8"/>
      <c r="E457" s="8"/>
      <c r="F457" s="3"/>
      <c r="G457" s="68">
        <f>G458</f>
        <v>50</v>
      </c>
    </row>
    <row r="458" spans="1:8" ht="15.75" x14ac:dyDescent="0.25">
      <c r="A458" s="26" t="s">
        <v>180</v>
      </c>
      <c r="B458" s="6" t="s">
        <v>245</v>
      </c>
      <c r="C458" s="42" t="s">
        <v>181</v>
      </c>
      <c r="D458" s="42"/>
      <c r="E458" s="42"/>
      <c r="F458" s="2"/>
      <c r="G458" s="11">
        <f>G459</f>
        <v>50</v>
      </c>
    </row>
    <row r="459" spans="1:8" ht="31.5" x14ac:dyDescent="0.25">
      <c r="A459" s="26" t="s">
        <v>202</v>
      </c>
      <c r="B459" s="32" t="s">
        <v>245</v>
      </c>
      <c r="C459" s="42" t="s">
        <v>181</v>
      </c>
      <c r="D459" s="42" t="s">
        <v>203</v>
      </c>
      <c r="E459" s="42"/>
      <c r="F459" s="2"/>
      <c r="G459" s="11">
        <f>G460</f>
        <v>50</v>
      </c>
    </row>
    <row r="460" spans="1:8" ht="47.25" x14ac:dyDescent="0.25">
      <c r="A460" s="31" t="s">
        <v>220</v>
      </c>
      <c r="B460" s="21" t="s">
        <v>246</v>
      </c>
      <c r="C460" s="42" t="s">
        <v>181</v>
      </c>
      <c r="D460" s="42" t="s">
        <v>203</v>
      </c>
      <c r="E460" s="42"/>
      <c r="F460" s="2"/>
      <c r="G460" s="11">
        <f>G461</f>
        <v>50</v>
      </c>
    </row>
    <row r="461" spans="1:8" ht="47.25" x14ac:dyDescent="0.25">
      <c r="A461" s="31" t="s">
        <v>194</v>
      </c>
      <c r="B461" s="21" t="s">
        <v>246</v>
      </c>
      <c r="C461" s="42" t="s">
        <v>181</v>
      </c>
      <c r="D461" s="42" t="s">
        <v>203</v>
      </c>
      <c r="E461" s="42" t="s">
        <v>208</v>
      </c>
      <c r="F461" s="2"/>
      <c r="G461" s="11">
        <f>G462</f>
        <v>50</v>
      </c>
    </row>
    <row r="462" spans="1:8" ht="78.75" x14ac:dyDescent="0.25">
      <c r="A462" s="31" t="s">
        <v>247</v>
      </c>
      <c r="B462" s="21" t="s">
        <v>246</v>
      </c>
      <c r="C462" s="42" t="s">
        <v>181</v>
      </c>
      <c r="D462" s="42" t="s">
        <v>203</v>
      </c>
      <c r="E462" s="42" t="s">
        <v>223</v>
      </c>
      <c r="F462" s="2"/>
      <c r="G462" s="11">
        <f>'Прил.№4 ведомств.'!G89</f>
        <v>50</v>
      </c>
      <c r="H462" s="139" t="s">
        <v>927</v>
      </c>
    </row>
    <row r="463" spans="1:8" ht="31.5" x14ac:dyDescent="0.25">
      <c r="A463" s="31" t="s">
        <v>211</v>
      </c>
      <c r="B463" s="32" t="s">
        <v>245</v>
      </c>
      <c r="C463" s="42" t="s">
        <v>181</v>
      </c>
      <c r="D463" s="42" t="s">
        <v>203</v>
      </c>
      <c r="E463" s="42"/>
      <c r="F463" s="2">
        <v>902</v>
      </c>
      <c r="G463" s="11">
        <f>G457</f>
        <v>50</v>
      </c>
    </row>
    <row r="464" spans="1:8" ht="94.5" x14ac:dyDescent="0.25">
      <c r="A464" s="43" t="s">
        <v>754</v>
      </c>
      <c r="B464" s="8" t="s">
        <v>582</v>
      </c>
      <c r="C464" s="8"/>
      <c r="D464" s="8"/>
      <c r="E464" s="84"/>
      <c r="F464" s="3"/>
      <c r="G464" s="68">
        <f>G465</f>
        <v>4565.9000000000005</v>
      </c>
    </row>
    <row r="465" spans="1:8" ht="15.75" x14ac:dyDescent="0.25">
      <c r="A465" s="31" t="s">
        <v>454</v>
      </c>
      <c r="B465" s="42" t="s">
        <v>582</v>
      </c>
      <c r="C465" s="42" t="s">
        <v>297</v>
      </c>
      <c r="D465" s="42"/>
      <c r="E465" s="85"/>
      <c r="F465" s="2"/>
      <c r="G465" s="11">
        <f>G466</f>
        <v>4565.9000000000005</v>
      </c>
    </row>
    <row r="466" spans="1:8" ht="15.75" x14ac:dyDescent="0.25">
      <c r="A466" s="31" t="s">
        <v>581</v>
      </c>
      <c r="B466" s="42" t="s">
        <v>582</v>
      </c>
      <c r="C466" s="42" t="s">
        <v>297</v>
      </c>
      <c r="D466" s="42" t="s">
        <v>276</v>
      </c>
      <c r="E466" s="85"/>
      <c r="F466" s="2"/>
      <c r="G466" s="11">
        <f>G471+G474+G477+G480+G483+G486+G489</f>
        <v>4565.9000000000005</v>
      </c>
    </row>
    <row r="467" spans="1:8" ht="63" hidden="1" x14ac:dyDescent="0.25">
      <c r="A467" s="37" t="s">
        <v>583</v>
      </c>
      <c r="B467" s="21" t="s">
        <v>584</v>
      </c>
      <c r="C467" s="42" t="s">
        <v>297</v>
      </c>
      <c r="D467" s="42" t="s">
        <v>276</v>
      </c>
      <c r="E467" s="85"/>
      <c r="F467" s="2"/>
      <c r="G467" s="11">
        <f>G468</f>
        <v>0</v>
      </c>
    </row>
    <row r="468" spans="1:8" ht="47.25" hidden="1" x14ac:dyDescent="0.25">
      <c r="A468" s="31" t="s">
        <v>194</v>
      </c>
      <c r="B468" s="21" t="s">
        <v>584</v>
      </c>
      <c r="C468" s="42" t="s">
        <v>297</v>
      </c>
      <c r="D468" s="42" t="s">
        <v>276</v>
      </c>
      <c r="E468" s="42" t="s">
        <v>195</v>
      </c>
      <c r="F468" s="2"/>
      <c r="G468" s="11">
        <f>G469</f>
        <v>0</v>
      </c>
    </row>
    <row r="469" spans="1:8" ht="47.25" hidden="1" x14ac:dyDescent="0.25">
      <c r="A469" s="31" t="s">
        <v>196</v>
      </c>
      <c r="B469" s="21" t="s">
        <v>584</v>
      </c>
      <c r="C469" s="42" t="s">
        <v>297</v>
      </c>
      <c r="D469" s="42" t="s">
        <v>276</v>
      </c>
      <c r="E469" s="42" t="s">
        <v>197</v>
      </c>
      <c r="F469" s="2"/>
      <c r="G469" s="11"/>
    </row>
    <row r="470" spans="1:8" ht="47.25" hidden="1" x14ac:dyDescent="0.25">
      <c r="A470" s="47" t="s">
        <v>721</v>
      </c>
      <c r="B470" s="21" t="s">
        <v>584</v>
      </c>
      <c r="C470" s="42"/>
      <c r="D470" s="42"/>
      <c r="E470" s="42"/>
      <c r="F470" s="2">
        <v>908</v>
      </c>
      <c r="G470" s="11">
        <f>G467</f>
        <v>0</v>
      </c>
    </row>
    <row r="471" spans="1:8" ht="15.75" x14ac:dyDescent="0.25">
      <c r="A471" s="125" t="s">
        <v>585</v>
      </c>
      <c r="B471" s="21" t="s">
        <v>586</v>
      </c>
      <c r="C471" s="42" t="s">
        <v>297</v>
      </c>
      <c r="D471" s="42" t="s">
        <v>276</v>
      </c>
      <c r="E471" s="42"/>
      <c r="F471" s="2"/>
      <c r="G471" s="11">
        <f>G472</f>
        <v>919.5</v>
      </c>
    </row>
    <row r="472" spans="1:8" ht="47.25" x14ac:dyDescent="0.25">
      <c r="A472" s="33" t="s">
        <v>194</v>
      </c>
      <c r="B472" s="21" t="s">
        <v>586</v>
      </c>
      <c r="C472" s="42" t="s">
        <v>297</v>
      </c>
      <c r="D472" s="42" t="s">
        <v>276</v>
      </c>
      <c r="E472" s="42" t="s">
        <v>195</v>
      </c>
      <c r="F472" s="2"/>
      <c r="G472" s="11">
        <f>G473</f>
        <v>919.5</v>
      </c>
    </row>
    <row r="473" spans="1:8" ht="47.25" x14ac:dyDescent="0.25">
      <c r="A473" s="33" t="s">
        <v>196</v>
      </c>
      <c r="B473" s="21" t="s">
        <v>586</v>
      </c>
      <c r="C473" s="42" t="s">
        <v>297</v>
      </c>
      <c r="D473" s="42" t="s">
        <v>276</v>
      </c>
      <c r="E473" s="42" t="s">
        <v>197</v>
      </c>
      <c r="F473" s="2"/>
      <c r="G473" s="11">
        <f>'Прил.№4 ведомств.'!G822</f>
        <v>919.5</v>
      </c>
      <c r="H473" s="139" t="s">
        <v>987</v>
      </c>
    </row>
    <row r="474" spans="1:8" ht="15.75" x14ac:dyDescent="0.25">
      <c r="A474" s="125" t="s">
        <v>587</v>
      </c>
      <c r="B474" s="21" t="s">
        <v>588</v>
      </c>
      <c r="C474" s="42" t="s">
        <v>297</v>
      </c>
      <c r="D474" s="42" t="s">
        <v>276</v>
      </c>
      <c r="E474" s="42"/>
      <c r="F474" s="2"/>
      <c r="G474" s="11">
        <f>G475</f>
        <v>499.90000000000003</v>
      </c>
    </row>
    <row r="475" spans="1:8" ht="47.25" x14ac:dyDescent="0.25">
      <c r="A475" s="33" t="s">
        <v>194</v>
      </c>
      <c r="B475" s="21" t="s">
        <v>588</v>
      </c>
      <c r="C475" s="42" t="s">
        <v>297</v>
      </c>
      <c r="D475" s="42" t="s">
        <v>276</v>
      </c>
      <c r="E475" s="42" t="s">
        <v>195</v>
      </c>
      <c r="F475" s="2"/>
      <c r="G475" s="11">
        <f>G476</f>
        <v>499.90000000000003</v>
      </c>
    </row>
    <row r="476" spans="1:8" ht="47.25" x14ac:dyDescent="0.25">
      <c r="A476" s="33" t="s">
        <v>196</v>
      </c>
      <c r="B476" s="21" t="s">
        <v>588</v>
      </c>
      <c r="C476" s="42" t="s">
        <v>297</v>
      </c>
      <c r="D476" s="42" t="s">
        <v>276</v>
      </c>
      <c r="E476" s="42" t="s">
        <v>197</v>
      </c>
      <c r="F476" s="2"/>
      <c r="G476" s="11">
        <f>'Прил.№4 ведомств.'!G825</f>
        <v>499.90000000000003</v>
      </c>
      <c r="H476" s="139" t="s">
        <v>1012</v>
      </c>
    </row>
    <row r="477" spans="1:8" ht="15.75" x14ac:dyDescent="0.25">
      <c r="A477" s="125" t="s">
        <v>589</v>
      </c>
      <c r="B477" s="21" t="s">
        <v>590</v>
      </c>
      <c r="C477" s="42" t="s">
        <v>297</v>
      </c>
      <c r="D477" s="42" t="s">
        <v>276</v>
      </c>
      <c r="E477" s="42"/>
      <c r="F477" s="2"/>
      <c r="G477" s="11">
        <f>G478</f>
        <v>1873</v>
      </c>
    </row>
    <row r="478" spans="1:8" ht="47.25" x14ac:dyDescent="0.25">
      <c r="A478" s="33" t="s">
        <v>194</v>
      </c>
      <c r="B478" s="21" t="s">
        <v>590</v>
      </c>
      <c r="C478" s="42" t="s">
        <v>297</v>
      </c>
      <c r="D478" s="42" t="s">
        <v>276</v>
      </c>
      <c r="E478" s="42" t="s">
        <v>195</v>
      </c>
      <c r="F478" s="2"/>
      <c r="G478" s="11">
        <f>G479</f>
        <v>1873</v>
      </c>
    </row>
    <row r="479" spans="1:8" ht="47.25" x14ac:dyDescent="0.25">
      <c r="A479" s="33" t="s">
        <v>196</v>
      </c>
      <c r="B479" s="21" t="s">
        <v>590</v>
      </c>
      <c r="C479" s="42" t="s">
        <v>297</v>
      </c>
      <c r="D479" s="42" t="s">
        <v>276</v>
      </c>
      <c r="E479" s="42" t="s">
        <v>197</v>
      </c>
      <c r="F479" s="2"/>
      <c r="G479" s="11">
        <f>'Прил.№4 ведомств.'!G828</f>
        <v>1873</v>
      </c>
      <c r="H479" s="139" t="s">
        <v>1026</v>
      </c>
    </row>
    <row r="480" spans="1:8" ht="31.5" x14ac:dyDescent="0.25">
      <c r="A480" s="125" t="s">
        <v>591</v>
      </c>
      <c r="B480" s="21" t="s">
        <v>592</v>
      </c>
      <c r="C480" s="42" t="s">
        <v>297</v>
      </c>
      <c r="D480" s="42" t="s">
        <v>276</v>
      </c>
      <c r="E480" s="42"/>
      <c r="F480" s="2"/>
      <c r="G480" s="11">
        <f>G481</f>
        <v>766.1</v>
      </c>
    </row>
    <row r="481" spans="1:8" ht="47.25" x14ac:dyDescent="0.25">
      <c r="A481" s="33" t="s">
        <v>194</v>
      </c>
      <c r="B481" s="21" t="s">
        <v>592</v>
      </c>
      <c r="C481" s="42" t="s">
        <v>297</v>
      </c>
      <c r="D481" s="42" t="s">
        <v>276</v>
      </c>
      <c r="E481" s="42" t="s">
        <v>195</v>
      </c>
      <c r="F481" s="2"/>
      <c r="G481" s="11">
        <f>G482</f>
        <v>766.1</v>
      </c>
    </row>
    <row r="482" spans="1:8" ht="47.25" x14ac:dyDescent="0.25">
      <c r="A482" s="33" t="s">
        <v>196</v>
      </c>
      <c r="B482" s="21" t="s">
        <v>592</v>
      </c>
      <c r="C482" s="42" t="s">
        <v>297</v>
      </c>
      <c r="D482" s="42" t="s">
        <v>276</v>
      </c>
      <c r="E482" s="42" t="s">
        <v>197</v>
      </c>
      <c r="F482" s="2"/>
      <c r="G482" s="11">
        <f>'Прил.№4 ведомств.'!G833</f>
        <v>766.1</v>
      </c>
      <c r="H482" s="139" t="s">
        <v>1001</v>
      </c>
    </row>
    <row r="483" spans="1:8" ht="15.75" x14ac:dyDescent="0.25">
      <c r="A483" s="125" t="s">
        <v>593</v>
      </c>
      <c r="B483" s="21" t="s">
        <v>594</v>
      </c>
      <c r="C483" s="42" t="s">
        <v>297</v>
      </c>
      <c r="D483" s="42" t="s">
        <v>276</v>
      </c>
      <c r="E483" s="42"/>
      <c r="F483" s="2"/>
      <c r="G483" s="11">
        <f>G484</f>
        <v>497.29999999999995</v>
      </c>
    </row>
    <row r="484" spans="1:8" ht="47.25" x14ac:dyDescent="0.25">
      <c r="A484" s="33" t="s">
        <v>194</v>
      </c>
      <c r="B484" s="21" t="s">
        <v>594</v>
      </c>
      <c r="C484" s="42" t="s">
        <v>297</v>
      </c>
      <c r="D484" s="42" t="s">
        <v>276</v>
      </c>
      <c r="E484" s="42" t="s">
        <v>195</v>
      </c>
      <c r="F484" s="2"/>
      <c r="G484" s="11">
        <f>G485</f>
        <v>497.29999999999995</v>
      </c>
    </row>
    <row r="485" spans="1:8" ht="47.25" x14ac:dyDescent="0.25">
      <c r="A485" s="33" t="s">
        <v>196</v>
      </c>
      <c r="B485" s="21" t="s">
        <v>594</v>
      </c>
      <c r="C485" s="42" t="s">
        <v>297</v>
      </c>
      <c r="D485" s="42" t="s">
        <v>276</v>
      </c>
      <c r="E485" s="42" t="s">
        <v>197</v>
      </c>
      <c r="F485" s="2"/>
      <c r="G485" s="11">
        <f>'Прил.№4 ведомств.'!G836</f>
        <v>497.29999999999995</v>
      </c>
      <c r="H485" s="139"/>
    </row>
    <row r="486" spans="1:8" ht="31.5" hidden="1" x14ac:dyDescent="0.25">
      <c r="A486" s="123" t="s">
        <v>595</v>
      </c>
      <c r="B486" s="21" t="s">
        <v>596</v>
      </c>
      <c r="C486" s="42" t="s">
        <v>297</v>
      </c>
      <c r="D486" s="42" t="s">
        <v>276</v>
      </c>
      <c r="E486" s="42"/>
      <c r="F486" s="2"/>
      <c r="G486" s="11">
        <f>G487</f>
        <v>0</v>
      </c>
    </row>
    <row r="487" spans="1:8" ht="47.25" hidden="1" x14ac:dyDescent="0.25">
      <c r="A487" s="33" t="s">
        <v>194</v>
      </c>
      <c r="B487" s="21" t="s">
        <v>596</v>
      </c>
      <c r="C487" s="42" t="s">
        <v>297</v>
      </c>
      <c r="D487" s="42" t="s">
        <v>276</v>
      </c>
      <c r="E487" s="42"/>
      <c r="F487" s="2"/>
      <c r="G487" s="11">
        <f>G488</f>
        <v>0</v>
      </c>
    </row>
    <row r="488" spans="1:8" ht="47.25" hidden="1" x14ac:dyDescent="0.25">
      <c r="A488" s="33" t="s">
        <v>196</v>
      </c>
      <c r="B488" s="21" t="s">
        <v>596</v>
      </c>
      <c r="C488" s="42" t="s">
        <v>297</v>
      </c>
      <c r="D488" s="42" t="s">
        <v>276</v>
      </c>
      <c r="E488" s="42"/>
      <c r="F488" s="2"/>
      <c r="G488" s="11"/>
    </row>
    <row r="489" spans="1:8" ht="31.5" x14ac:dyDescent="0.25">
      <c r="A489" s="123" t="s">
        <v>597</v>
      </c>
      <c r="B489" s="21" t="s">
        <v>598</v>
      </c>
      <c r="C489" s="42" t="s">
        <v>297</v>
      </c>
      <c r="D489" s="42" t="s">
        <v>276</v>
      </c>
      <c r="E489" s="42"/>
      <c r="F489" s="2"/>
      <c r="G489" s="11">
        <f>G490</f>
        <v>10.1</v>
      </c>
    </row>
    <row r="490" spans="1:8" ht="47.25" x14ac:dyDescent="0.3">
      <c r="A490" s="26" t="s">
        <v>194</v>
      </c>
      <c r="B490" s="21" t="s">
        <v>598</v>
      </c>
      <c r="C490" s="42" t="s">
        <v>297</v>
      </c>
      <c r="D490" s="42" t="s">
        <v>276</v>
      </c>
      <c r="E490" s="2">
        <v>200</v>
      </c>
      <c r="F490" s="89"/>
      <c r="G490" s="7">
        <f>G491</f>
        <v>10.1</v>
      </c>
    </row>
    <row r="491" spans="1:8" ht="47.25" x14ac:dyDescent="0.3">
      <c r="A491" s="26" t="s">
        <v>196</v>
      </c>
      <c r="B491" s="21" t="s">
        <v>598</v>
      </c>
      <c r="C491" s="42" t="s">
        <v>297</v>
      </c>
      <c r="D491" s="42" t="s">
        <v>276</v>
      </c>
      <c r="E491" s="2">
        <v>240</v>
      </c>
      <c r="F491" s="89"/>
      <c r="G491" s="7">
        <f>'Прил.№4 ведомств.'!G842</f>
        <v>10.1</v>
      </c>
      <c r="H491" s="250" t="s">
        <v>944</v>
      </c>
    </row>
    <row r="492" spans="1:8" ht="47.25" x14ac:dyDescent="0.25">
      <c r="A492" s="47" t="s">
        <v>721</v>
      </c>
      <c r="B492" s="21" t="s">
        <v>582</v>
      </c>
      <c r="C492" s="42"/>
      <c r="D492" s="42"/>
      <c r="E492" s="2"/>
      <c r="F492" s="2">
        <v>908</v>
      </c>
      <c r="G492" s="7">
        <f>G464</f>
        <v>4565.9000000000005</v>
      </c>
    </row>
    <row r="493" spans="1:8" ht="63" x14ac:dyDescent="0.25">
      <c r="A493" s="24" t="s">
        <v>397</v>
      </c>
      <c r="B493" s="25" t="s">
        <v>398</v>
      </c>
      <c r="C493" s="8"/>
      <c r="D493" s="8"/>
      <c r="E493" s="3"/>
      <c r="F493" s="3"/>
      <c r="G493" s="4">
        <f>G494+G505</f>
        <v>125</v>
      </c>
    </row>
    <row r="494" spans="1:8" ht="15.75" hidden="1" x14ac:dyDescent="0.25">
      <c r="A494" s="26" t="s">
        <v>326</v>
      </c>
      <c r="B494" s="21" t="s">
        <v>398</v>
      </c>
      <c r="C494" s="42" t="s">
        <v>327</v>
      </c>
      <c r="D494" s="42"/>
      <c r="E494" s="2"/>
      <c r="F494" s="2"/>
      <c r="G494" s="7">
        <f>G495</f>
        <v>0</v>
      </c>
    </row>
    <row r="495" spans="1:8" ht="31.5" hidden="1" x14ac:dyDescent="0.25">
      <c r="A495" s="26" t="s">
        <v>358</v>
      </c>
      <c r="B495" s="21" t="s">
        <v>398</v>
      </c>
      <c r="C495" s="42" t="s">
        <v>327</v>
      </c>
      <c r="D495" s="42" t="s">
        <v>282</v>
      </c>
      <c r="E495" s="2"/>
      <c r="F495" s="2"/>
      <c r="G495" s="7">
        <f>G496+G499</f>
        <v>0</v>
      </c>
    </row>
    <row r="496" spans="1:8" ht="47.25" hidden="1" x14ac:dyDescent="0.25">
      <c r="A496" s="26" t="s">
        <v>399</v>
      </c>
      <c r="B496" s="21" t="s">
        <v>400</v>
      </c>
      <c r="C496" s="42" t="s">
        <v>327</v>
      </c>
      <c r="D496" s="42" t="s">
        <v>282</v>
      </c>
      <c r="E496" s="2"/>
      <c r="F496" s="2"/>
      <c r="G496" s="7">
        <f>G497</f>
        <v>0</v>
      </c>
    </row>
    <row r="497" spans="1:8" ht="47.25" hidden="1" x14ac:dyDescent="0.25">
      <c r="A497" s="26" t="s">
        <v>194</v>
      </c>
      <c r="B497" s="21" t="s">
        <v>400</v>
      </c>
      <c r="C497" s="42" t="s">
        <v>327</v>
      </c>
      <c r="D497" s="42" t="s">
        <v>282</v>
      </c>
      <c r="E497" s="2">
        <v>200</v>
      </c>
      <c r="F497" s="2"/>
      <c r="G497" s="7">
        <f>G498</f>
        <v>0</v>
      </c>
    </row>
    <row r="498" spans="1:8" ht="47.25" hidden="1" x14ac:dyDescent="0.25">
      <c r="A498" s="26" t="s">
        <v>196</v>
      </c>
      <c r="B498" s="21" t="s">
        <v>400</v>
      </c>
      <c r="C498" s="42" t="s">
        <v>327</v>
      </c>
      <c r="D498" s="42" t="s">
        <v>282</v>
      </c>
      <c r="E498" s="2">
        <v>240</v>
      </c>
      <c r="F498" s="2"/>
      <c r="G498" s="7">
        <f>'Прил.№4 ведомств.'!G663</f>
        <v>0</v>
      </c>
    </row>
    <row r="499" spans="1:8" ht="78.75" hidden="1" x14ac:dyDescent="0.25">
      <c r="A499" s="26" t="s">
        <v>540</v>
      </c>
      <c r="B499" s="21" t="s">
        <v>541</v>
      </c>
      <c r="C499" s="42" t="s">
        <v>327</v>
      </c>
      <c r="D499" s="42" t="s">
        <v>282</v>
      </c>
      <c r="E499" s="2"/>
      <c r="F499" s="2"/>
      <c r="G499" s="7">
        <f>G500+G502</f>
        <v>0</v>
      </c>
    </row>
    <row r="500" spans="1:8" ht="110.25" hidden="1" x14ac:dyDescent="0.25">
      <c r="A500" s="26" t="s">
        <v>190</v>
      </c>
      <c r="B500" s="21" t="s">
        <v>541</v>
      </c>
      <c r="C500" s="42" t="s">
        <v>327</v>
      </c>
      <c r="D500" s="42" t="s">
        <v>282</v>
      </c>
      <c r="E500" s="2">
        <v>100</v>
      </c>
      <c r="F500" s="2"/>
      <c r="G500" s="7">
        <f>G501</f>
        <v>0</v>
      </c>
    </row>
    <row r="501" spans="1:8" ht="31.5" hidden="1" x14ac:dyDescent="0.25">
      <c r="A501" s="26" t="s">
        <v>405</v>
      </c>
      <c r="B501" s="21" t="s">
        <v>541</v>
      </c>
      <c r="C501" s="42" t="s">
        <v>327</v>
      </c>
      <c r="D501" s="42" t="s">
        <v>282</v>
      </c>
      <c r="E501" s="2">
        <v>110</v>
      </c>
      <c r="F501" s="2"/>
      <c r="G501" s="7">
        <f>'Прил.№4 ведомств.'!G666</f>
        <v>0</v>
      </c>
      <c r="H501" t="s">
        <v>936</v>
      </c>
    </row>
    <row r="502" spans="1:8" ht="47.25" hidden="1" x14ac:dyDescent="0.25">
      <c r="A502" s="26" t="s">
        <v>194</v>
      </c>
      <c r="B502" s="21" t="s">
        <v>541</v>
      </c>
      <c r="C502" s="42" t="s">
        <v>327</v>
      </c>
      <c r="D502" s="42" t="s">
        <v>282</v>
      </c>
      <c r="E502" s="2">
        <v>200</v>
      </c>
      <c r="F502" s="2"/>
      <c r="G502" s="7">
        <f>G503</f>
        <v>0</v>
      </c>
    </row>
    <row r="503" spans="1:8" ht="47.25" hidden="1" x14ac:dyDescent="0.25">
      <c r="A503" s="26" t="s">
        <v>196</v>
      </c>
      <c r="B503" s="21" t="s">
        <v>541</v>
      </c>
      <c r="C503" s="42" t="s">
        <v>327</v>
      </c>
      <c r="D503" s="42" t="s">
        <v>282</v>
      </c>
      <c r="E503" s="2">
        <v>240</v>
      </c>
      <c r="F503" s="2"/>
      <c r="G503" s="7">
        <f>'Прил.№4 ведомств.'!G668</f>
        <v>0</v>
      </c>
      <c r="H503" t="s">
        <v>937</v>
      </c>
    </row>
    <row r="504" spans="1:8" ht="47.25" hidden="1" x14ac:dyDescent="0.25">
      <c r="A504" s="31" t="s">
        <v>467</v>
      </c>
      <c r="B504" s="21" t="s">
        <v>398</v>
      </c>
      <c r="C504" s="42" t="s">
        <v>327</v>
      </c>
      <c r="D504" s="42" t="s">
        <v>282</v>
      </c>
      <c r="E504" s="2"/>
      <c r="F504" s="2">
        <v>906</v>
      </c>
      <c r="G504" s="7">
        <f>G496+G499</f>
        <v>0</v>
      </c>
    </row>
    <row r="505" spans="1:8" ht="15.75" x14ac:dyDescent="0.25">
      <c r="A505" s="85" t="s">
        <v>361</v>
      </c>
      <c r="B505" s="21" t="s">
        <v>398</v>
      </c>
      <c r="C505" s="42" t="s">
        <v>362</v>
      </c>
      <c r="D505" s="42"/>
      <c r="E505" s="2"/>
      <c r="F505" s="2"/>
      <c r="G505" s="7">
        <f>G506</f>
        <v>125</v>
      </c>
    </row>
    <row r="506" spans="1:8" ht="31.5" x14ac:dyDescent="0.25">
      <c r="A506" s="26" t="s">
        <v>396</v>
      </c>
      <c r="B506" s="21" t="s">
        <v>398</v>
      </c>
      <c r="C506" s="42" t="s">
        <v>362</v>
      </c>
      <c r="D506" s="42" t="s">
        <v>213</v>
      </c>
      <c r="E506" s="2"/>
      <c r="F506" s="2"/>
      <c r="G506" s="7">
        <f>G507+G515+G518+G510</f>
        <v>125</v>
      </c>
    </row>
    <row r="507" spans="1:8" ht="47.25" hidden="1" x14ac:dyDescent="0.25">
      <c r="A507" s="26" t="s">
        <v>399</v>
      </c>
      <c r="B507" s="21" t="s">
        <v>400</v>
      </c>
      <c r="C507" s="42" t="s">
        <v>362</v>
      </c>
      <c r="D507" s="42" t="s">
        <v>213</v>
      </c>
      <c r="E507" s="2"/>
      <c r="F507" s="2"/>
      <c r="G507" s="7">
        <f>G508</f>
        <v>0</v>
      </c>
    </row>
    <row r="508" spans="1:8" ht="47.25" hidden="1" x14ac:dyDescent="0.25">
      <c r="A508" s="26" t="s">
        <v>194</v>
      </c>
      <c r="B508" s="21" t="s">
        <v>400</v>
      </c>
      <c r="C508" s="42" t="s">
        <v>362</v>
      </c>
      <c r="D508" s="42" t="s">
        <v>213</v>
      </c>
      <c r="E508" s="2">
        <v>200</v>
      </c>
      <c r="F508" s="2"/>
      <c r="G508" s="7">
        <f>G509</f>
        <v>0</v>
      </c>
    </row>
    <row r="509" spans="1:8" ht="47.25" hidden="1" x14ac:dyDescent="0.25">
      <c r="A509" s="26" t="s">
        <v>196</v>
      </c>
      <c r="B509" s="21" t="s">
        <v>400</v>
      </c>
      <c r="C509" s="42" t="s">
        <v>362</v>
      </c>
      <c r="D509" s="42" t="s">
        <v>213</v>
      </c>
      <c r="E509" s="2">
        <v>240</v>
      </c>
      <c r="F509" s="2"/>
      <c r="G509" s="7">
        <f>'Прил.№4 ведомств.'!G365</f>
        <v>0</v>
      </c>
    </row>
    <row r="510" spans="1:8" ht="78.75" hidden="1" x14ac:dyDescent="0.25">
      <c r="A510" s="26" t="s">
        <v>540</v>
      </c>
      <c r="B510" s="21" t="s">
        <v>541</v>
      </c>
      <c r="C510" s="42" t="s">
        <v>362</v>
      </c>
      <c r="D510" s="42" t="s">
        <v>213</v>
      </c>
      <c r="E510" s="2"/>
      <c r="F510" s="2"/>
      <c r="G510" s="7">
        <f>G511+G513</f>
        <v>0</v>
      </c>
    </row>
    <row r="511" spans="1:8" ht="110.25" hidden="1" x14ac:dyDescent="0.25">
      <c r="A511" s="26" t="s">
        <v>190</v>
      </c>
      <c r="B511" s="21" t="s">
        <v>541</v>
      </c>
      <c r="C511" s="42" t="s">
        <v>362</v>
      </c>
      <c r="D511" s="42" t="s">
        <v>213</v>
      </c>
      <c r="E511" s="2">
        <v>100</v>
      </c>
      <c r="F511" s="2"/>
      <c r="G511" s="7">
        <f>G512</f>
        <v>0</v>
      </c>
    </row>
    <row r="512" spans="1:8" ht="31.5" hidden="1" x14ac:dyDescent="0.25">
      <c r="A512" s="26" t="s">
        <v>405</v>
      </c>
      <c r="B512" s="21" t="s">
        <v>541</v>
      </c>
      <c r="C512" s="42" t="s">
        <v>362</v>
      </c>
      <c r="D512" s="42" t="s">
        <v>213</v>
      </c>
      <c r="E512" s="2">
        <v>110</v>
      </c>
      <c r="F512" s="2"/>
      <c r="G512" s="7">
        <f>'Прил.№4 ведомств.'!G368</f>
        <v>0</v>
      </c>
    </row>
    <row r="513" spans="1:9" ht="47.25" hidden="1" x14ac:dyDescent="0.25">
      <c r="A513" s="26" t="s">
        <v>194</v>
      </c>
      <c r="B513" s="21" t="s">
        <v>541</v>
      </c>
      <c r="C513" s="42" t="s">
        <v>362</v>
      </c>
      <c r="D513" s="42" t="s">
        <v>213</v>
      </c>
      <c r="E513" s="2">
        <v>200</v>
      </c>
      <c r="F513" s="2"/>
      <c r="G513" s="7">
        <f>G514</f>
        <v>0</v>
      </c>
    </row>
    <row r="514" spans="1:9" ht="47.25" hidden="1" x14ac:dyDescent="0.25">
      <c r="A514" s="26" t="s">
        <v>196</v>
      </c>
      <c r="B514" s="21" t="s">
        <v>541</v>
      </c>
      <c r="C514" s="42" t="s">
        <v>362</v>
      </c>
      <c r="D514" s="42" t="s">
        <v>213</v>
      </c>
      <c r="E514" s="2">
        <v>240</v>
      </c>
      <c r="F514" s="2"/>
      <c r="G514" s="7">
        <f>'Прил.№4 ведомств.'!G370</f>
        <v>0</v>
      </c>
    </row>
    <row r="515" spans="1:9" ht="31.5" x14ac:dyDescent="0.25">
      <c r="A515" s="26" t="s">
        <v>401</v>
      </c>
      <c r="B515" s="21" t="s">
        <v>402</v>
      </c>
      <c r="C515" s="42" t="s">
        <v>362</v>
      </c>
      <c r="D515" s="42" t="s">
        <v>213</v>
      </c>
      <c r="E515" s="2"/>
      <c r="F515" s="2"/>
      <c r="G515" s="7">
        <f>G516</f>
        <v>20</v>
      </c>
    </row>
    <row r="516" spans="1:9" ht="47.25" x14ac:dyDescent="0.25">
      <c r="A516" s="26" t="s">
        <v>194</v>
      </c>
      <c r="B516" s="21" t="s">
        <v>402</v>
      </c>
      <c r="C516" s="42" t="s">
        <v>362</v>
      </c>
      <c r="D516" s="42" t="s">
        <v>213</v>
      </c>
      <c r="E516" s="2">
        <v>200</v>
      </c>
      <c r="F516" s="2"/>
      <c r="G516" s="7">
        <f>G517</f>
        <v>20</v>
      </c>
    </row>
    <row r="517" spans="1:9" ht="47.25" x14ac:dyDescent="0.25">
      <c r="A517" s="26" t="s">
        <v>196</v>
      </c>
      <c r="B517" s="21" t="s">
        <v>402</v>
      </c>
      <c r="C517" s="42" t="s">
        <v>362</v>
      </c>
      <c r="D517" s="42" t="s">
        <v>213</v>
      </c>
      <c r="E517" s="2">
        <v>240</v>
      </c>
      <c r="F517" s="2"/>
      <c r="G517" s="7">
        <f>'Прил.№4 ведомств.'!G373</f>
        <v>20</v>
      </c>
    </row>
    <row r="518" spans="1:9" ht="47.25" x14ac:dyDescent="0.25">
      <c r="A518" s="26" t="s">
        <v>786</v>
      </c>
      <c r="B518" s="21" t="s">
        <v>787</v>
      </c>
      <c r="C518" s="42" t="s">
        <v>362</v>
      </c>
      <c r="D518" s="42" t="s">
        <v>213</v>
      </c>
      <c r="E518" s="2"/>
      <c r="F518" s="2"/>
      <c r="G518" s="7">
        <f>G519</f>
        <v>105</v>
      </c>
    </row>
    <row r="519" spans="1:9" ht="47.25" x14ac:dyDescent="0.25">
      <c r="A519" s="26" t="s">
        <v>194</v>
      </c>
      <c r="B519" s="21" t="s">
        <v>787</v>
      </c>
      <c r="C519" s="42" t="s">
        <v>362</v>
      </c>
      <c r="D519" s="42" t="s">
        <v>213</v>
      </c>
      <c r="E519" s="2">
        <v>200</v>
      </c>
      <c r="F519" s="2"/>
      <c r="G519" s="7">
        <f>G520</f>
        <v>105</v>
      </c>
    </row>
    <row r="520" spans="1:9" ht="47.25" x14ac:dyDescent="0.25">
      <c r="A520" s="26" t="s">
        <v>196</v>
      </c>
      <c r="B520" s="21" t="s">
        <v>787</v>
      </c>
      <c r="C520" s="42" t="s">
        <v>362</v>
      </c>
      <c r="D520" s="42" t="s">
        <v>213</v>
      </c>
      <c r="E520" s="2">
        <v>240</v>
      </c>
      <c r="F520" s="2"/>
      <c r="G520" s="7">
        <f>'Прил.№4 ведомств.'!G376</f>
        <v>105</v>
      </c>
    </row>
    <row r="521" spans="1:9" ht="63" x14ac:dyDescent="0.25">
      <c r="A521" s="47" t="s">
        <v>324</v>
      </c>
      <c r="B521" s="21" t="s">
        <v>398</v>
      </c>
      <c r="C521" s="42" t="s">
        <v>362</v>
      </c>
      <c r="D521" s="42" t="s">
        <v>213</v>
      </c>
      <c r="E521" s="2"/>
      <c r="F521" s="2">
        <v>903</v>
      </c>
      <c r="G521" s="7">
        <f>G505</f>
        <v>125</v>
      </c>
    </row>
    <row r="522" spans="1:9" ht="78.75" x14ac:dyDescent="0.25">
      <c r="A522" s="43" t="s">
        <v>843</v>
      </c>
      <c r="B522" s="25" t="s">
        <v>841</v>
      </c>
      <c r="C522" s="8"/>
      <c r="D522" s="8"/>
      <c r="E522" s="3"/>
      <c r="F522" s="3"/>
      <c r="G522" s="4">
        <f>G523+G532</f>
        <v>34</v>
      </c>
    </row>
    <row r="523" spans="1:9" s="150" customFormat="1" ht="15.75" x14ac:dyDescent="0.25">
      <c r="A523" s="31" t="s">
        <v>180</v>
      </c>
      <c r="B523" s="21" t="s">
        <v>841</v>
      </c>
      <c r="C523" s="42" t="s">
        <v>181</v>
      </c>
      <c r="D523" s="42"/>
      <c r="E523" s="2"/>
      <c r="F523" s="2"/>
      <c r="G523" s="7">
        <f>G524</f>
        <v>29</v>
      </c>
      <c r="I523" s="151"/>
    </row>
    <row r="524" spans="1:9" s="150" customFormat="1" ht="31.5" x14ac:dyDescent="0.25">
      <c r="A524" s="31" t="s">
        <v>202</v>
      </c>
      <c r="B524" s="21" t="s">
        <v>841</v>
      </c>
      <c r="C524" s="42" t="s">
        <v>181</v>
      </c>
      <c r="D524" s="42" t="s">
        <v>203</v>
      </c>
      <c r="E524" s="2"/>
      <c r="F524" s="2"/>
      <c r="G524" s="7">
        <f>G525+G528</f>
        <v>29</v>
      </c>
      <c r="I524" s="151"/>
    </row>
    <row r="525" spans="1:9" ht="47.25" x14ac:dyDescent="0.25">
      <c r="A525" s="33" t="s">
        <v>220</v>
      </c>
      <c r="B525" s="21" t="s">
        <v>849</v>
      </c>
      <c r="C525" s="42" t="s">
        <v>181</v>
      </c>
      <c r="D525" s="42" t="s">
        <v>203</v>
      </c>
      <c r="E525" s="2"/>
      <c r="F525" s="2"/>
      <c r="G525" s="7">
        <f>G526</f>
        <v>29</v>
      </c>
    </row>
    <row r="526" spans="1:9" ht="47.25" x14ac:dyDescent="0.25">
      <c r="A526" s="26" t="s">
        <v>194</v>
      </c>
      <c r="B526" s="21" t="s">
        <v>849</v>
      </c>
      <c r="C526" s="42" t="s">
        <v>181</v>
      </c>
      <c r="D526" s="42" t="s">
        <v>203</v>
      </c>
      <c r="E526" s="2">
        <v>200</v>
      </c>
      <c r="F526" s="2"/>
      <c r="G526" s="7">
        <f>G527</f>
        <v>29</v>
      </c>
    </row>
    <row r="527" spans="1:9" ht="47.25" x14ac:dyDescent="0.25">
      <c r="A527" s="26" t="s">
        <v>196</v>
      </c>
      <c r="B527" s="21" t="s">
        <v>849</v>
      </c>
      <c r="C527" s="42" t="s">
        <v>181</v>
      </c>
      <c r="D527" s="42" t="s">
        <v>203</v>
      </c>
      <c r="E527" s="2">
        <v>240</v>
      </c>
      <c r="F527" s="2"/>
      <c r="G527" s="7">
        <f>'Прил.№4 ведомств.'!G93</f>
        <v>29</v>
      </c>
    </row>
    <row r="528" spans="1:9" ht="66" hidden="1" customHeight="1" x14ac:dyDescent="0.25">
      <c r="A528" s="31"/>
      <c r="B528" s="21" t="s">
        <v>842</v>
      </c>
      <c r="C528" s="42" t="s">
        <v>181</v>
      </c>
      <c r="D528" s="42" t="s">
        <v>203</v>
      </c>
      <c r="E528" s="2"/>
      <c r="F528" s="2"/>
      <c r="G528" s="7">
        <f>G529</f>
        <v>0</v>
      </c>
    </row>
    <row r="529" spans="1:9" ht="47.25" hidden="1" x14ac:dyDescent="0.25">
      <c r="A529" s="26" t="s">
        <v>194</v>
      </c>
      <c r="B529" s="21" t="s">
        <v>842</v>
      </c>
      <c r="C529" s="42" t="s">
        <v>181</v>
      </c>
      <c r="D529" s="42" t="s">
        <v>203</v>
      </c>
      <c r="E529" s="2">
        <v>200</v>
      </c>
      <c r="F529" s="2"/>
      <c r="G529" s="7">
        <f>G530</f>
        <v>0</v>
      </c>
    </row>
    <row r="530" spans="1:9" ht="47.25" hidden="1" x14ac:dyDescent="0.25">
      <c r="A530" s="26" t="s">
        <v>196</v>
      </c>
      <c r="B530" s="21" t="s">
        <v>842</v>
      </c>
      <c r="C530" s="42" t="s">
        <v>181</v>
      </c>
      <c r="D530" s="42" t="s">
        <v>203</v>
      </c>
      <c r="E530" s="2">
        <v>240</v>
      </c>
      <c r="F530" s="2"/>
      <c r="G530" s="7">
        <f>'Прил.№4 ведомств.'!G96</f>
        <v>0</v>
      </c>
    </row>
    <row r="531" spans="1:9" ht="31.5" x14ac:dyDescent="0.25">
      <c r="A531" s="31" t="s">
        <v>211</v>
      </c>
      <c r="B531" s="21" t="s">
        <v>841</v>
      </c>
      <c r="C531" s="42" t="s">
        <v>181</v>
      </c>
      <c r="D531" s="42" t="s">
        <v>203</v>
      </c>
      <c r="E531" s="2"/>
      <c r="F531" s="2">
        <v>902</v>
      </c>
      <c r="G531" s="7">
        <f>G522</f>
        <v>34</v>
      </c>
    </row>
    <row r="532" spans="1:9" s="150" customFormat="1" ht="15.75" x14ac:dyDescent="0.25">
      <c r="A532" s="26" t="s">
        <v>361</v>
      </c>
      <c r="B532" s="21" t="s">
        <v>841</v>
      </c>
      <c r="C532" s="42" t="s">
        <v>362</v>
      </c>
      <c r="D532" s="42"/>
      <c r="E532" s="2"/>
      <c r="F532" s="2"/>
      <c r="G532" s="7">
        <f>G533</f>
        <v>5</v>
      </c>
      <c r="I532" s="151"/>
    </row>
    <row r="533" spans="1:9" ht="31.5" x14ac:dyDescent="0.25">
      <c r="A533" s="43" t="s">
        <v>396</v>
      </c>
      <c r="B533" s="21" t="s">
        <v>841</v>
      </c>
      <c r="C533" s="42" t="s">
        <v>362</v>
      </c>
      <c r="D533" s="42" t="s">
        <v>213</v>
      </c>
      <c r="E533" s="2"/>
      <c r="F533" s="2"/>
      <c r="G533" s="7">
        <f>G534</f>
        <v>5</v>
      </c>
    </row>
    <row r="534" spans="1:9" ht="47.25" x14ac:dyDescent="0.25">
      <c r="A534" s="33" t="s">
        <v>220</v>
      </c>
      <c r="B534" s="21" t="s">
        <v>849</v>
      </c>
      <c r="C534" s="42" t="s">
        <v>362</v>
      </c>
      <c r="D534" s="42" t="s">
        <v>213</v>
      </c>
      <c r="E534" s="2"/>
      <c r="F534" s="2"/>
      <c r="G534" s="7">
        <f>G535</f>
        <v>5</v>
      </c>
    </row>
    <row r="535" spans="1:9" ht="47.25" x14ac:dyDescent="0.25">
      <c r="A535" s="26" t="s">
        <v>194</v>
      </c>
      <c r="B535" s="21" t="s">
        <v>849</v>
      </c>
      <c r="C535" s="42" t="s">
        <v>362</v>
      </c>
      <c r="D535" s="42" t="s">
        <v>213</v>
      </c>
      <c r="E535" s="2">
        <v>200</v>
      </c>
      <c r="F535" s="2"/>
      <c r="G535" s="7">
        <f>G536</f>
        <v>5</v>
      </c>
    </row>
    <row r="536" spans="1:9" ht="47.25" x14ac:dyDescent="0.25">
      <c r="A536" s="26" t="s">
        <v>196</v>
      </c>
      <c r="B536" s="21" t="s">
        <v>849</v>
      </c>
      <c r="C536" s="42" t="s">
        <v>362</v>
      </c>
      <c r="D536" s="42" t="s">
        <v>213</v>
      </c>
      <c r="E536" s="2">
        <v>240</v>
      </c>
      <c r="F536" s="2"/>
      <c r="G536" s="7">
        <f>'Прил.№4 ведомств.'!G380</f>
        <v>5</v>
      </c>
    </row>
    <row r="537" spans="1:9" ht="63" x14ac:dyDescent="0.25">
      <c r="A537" s="47" t="s">
        <v>324</v>
      </c>
      <c r="B537" s="21" t="s">
        <v>841</v>
      </c>
      <c r="C537" s="42" t="s">
        <v>362</v>
      </c>
      <c r="D537" s="42" t="s">
        <v>213</v>
      </c>
      <c r="E537" s="2"/>
      <c r="F537" s="2">
        <v>903</v>
      </c>
      <c r="G537" s="7">
        <f>G533</f>
        <v>5</v>
      </c>
    </row>
    <row r="538" spans="1:9" ht="78.75" x14ac:dyDescent="0.25">
      <c r="A538" s="24" t="s">
        <v>845</v>
      </c>
      <c r="B538" s="25" t="s">
        <v>847</v>
      </c>
      <c r="C538" s="8"/>
      <c r="D538" s="8"/>
      <c r="E538" s="3"/>
      <c r="F538" s="3"/>
      <c r="G538" s="4">
        <f>G539</f>
        <v>539.5</v>
      </c>
    </row>
    <row r="539" spans="1:9" ht="15.75" x14ac:dyDescent="0.25">
      <c r="A539" s="26" t="s">
        <v>454</v>
      </c>
      <c r="B539" s="21" t="s">
        <v>847</v>
      </c>
      <c r="C539" s="42" t="s">
        <v>297</v>
      </c>
      <c r="D539" s="42"/>
      <c r="E539" s="2"/>
      <c r="F539" s="2"/>
      <c r="G539" s="7">
        <f>G540</f>
        <v>539.5</v>
      </c>
    </row>
    <row r="540" spans="1:9" ht="15.75" x14ac:dyDescent="0.25">
      <c r="A540" s="26" t="s">
        <v>606</v>
      </c>
      <c r="B540" s="21" t="s">
        <v>847</v>
      </c>
      <c r="C540" s="42" t="s">
        <v>297</v>
      </c>
      <c r="D540" s="42" t="s">
        <v>278</v>
      </c>
      <c r="E540" s="2"/>
      <c r="F540" s="2"/>
      <c r="G540" s="7">
        <f>G541</f>
        <v>539.5</v>
      </c>
    </row>
    <row r="541" spans="1:9" ht="31.5" x14ac:dyDescent="0.25">
      <c r="A541" s="155" t="s">
        <v>846</v>
      </c>
      <c r="B541" s="21" t="s">
        <v>848</v>
      </c>
      <c r="C541" s="42" t="s">
        <v>297</v>
      </c>
      <c r="D541" s="42" t="s">
        <v>278</v>
      </c>
      <c r="E541" s="2"/>
      <c r="F541" s="2"/>
      <c r="G541" s="7">
        <f>G542</f>
        <v>539.5</v>
      </c>
    </row>
    <row r="542" spans="1:9" ht="47.25" x14ac:dyDescent="0.25">
      <c r="A542" s="26" t="s">
        <v>194</v>
      </c>
      <c r="B542" s="21" t="s">
        <v>848</v>
      </c>
      <c r="C542" s="42" t="s">
        <v>297</v>
      </c>
      <c r="D542" s="42" t="s">
        <v>278</v>
      </c>
      <c r="E542" s="2">
        <v>200</v>
      </c>
      <c r="F542" s="2"/>
      <c r="G542" s="7">
        <f>G543</f>
        <v>539.5</v>
      </c>
    </row>
    <row r="543" spans="1:9" ht="47.25" x14ac:dyDescent="0.25">
      <c r="A543" s="26" t="s">
        <v>196</v>
      </c>
      <c r="B543" s="21" t="s">
        <v>848</v>
      </c>
      <c r="C543" s="42" t="s">
        <v>297</v>
      </c>
      <c r="D543" s="42" t="s">
        <v>278</v>
      </c>
      <c r="E543" s="2">
        <v>240</v>
      </c>
      <c r="F543" s="2"/>
      <c r="G543" s="7">
        <f>'Прил.№4 ведомств.'!G896</f>
        <v>539.5</v>
      </c>
      <c r="H543" t="s">
        <v>948</v>
      </c>
    </row>
    <row r="544" spans="1:9" ht="47.25" x14ac:dyDescent="0.25">
      <c r="A544" s="47" t="s">
        <v>721</v>
      </c>
      <c r="B544" s="21" t="s">
        <v>847</v>
      </c>
      <c r="C544" s="42" t="s">
        <v>297</v>
      </c>
      <c r="D544" s="42" t="s">
        <v>278</v>
      </c>
      <c r="E544" s="2"/>
      <c r="F544" s="2">
        <v>908</v>
      </c>
      <c r="G544" s="7">
        <f>G538</f>
        <v>539.5</v>
      </c>
    </row>
    <row r="545" spans="1:7" ht="15.75" x14ac:dyDescent="0.25">
      <c r="A545" s="84" t="s">
        <v>755</v>
      </c>
      <c r="B545" s="84"/>
      <c r="C545" s="84"/>
      <c r="D545" s="90"/>
      <c r="E545" s="90"/>
      <c r="F545" s="90"/>
      <c r="G545" s="147">
        <f>G10+G19+G105+G223+G230+G248+G255+G277+G332+G415+G425+G457+G464+G493+G522+G538</f>
        <v>208306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3"/>
  </cols>
  <sheetData>
    <row r="1" spans="1:8" ht="15.75" x14ac:dyDescent="0.25">
      <c r="D1" s="1"/>
      <c r="F1" s="59" t="s">
        <v>714</v>
      </c>
    </row>
    <row r="2" spans="1:8" ht="15.75" x14ac:dyDescent="0.25">
      <c r="D2" s="1"/>
      <c r="F2" s="59" t="s">
        <v>657</v>
      </c>
    </row>
    <row r="3" spans="1:8" ht="15.75" x14ac:dyDescent="0.25">
      <c r="D3" s="1"/>
      <c r="F3" s="59" t="s">
        <v>884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280" t="s">
        <v>853</v>
      </c>
      <c r="B5" s="280"/>
      <c r="C5" s="280"/>
      <c r="D5" s="280"/>
      <c r="E5" s="280"/>
      <c r="F5" s="280"/>
      <c r="G5" s="280"/>
    </row>
    <row r="6" spans="1:8" ht="16.5" x14ac:dyDescent="0.25">
      <c r="A6" s="219"/>
      <c r="B6" s="219"/>
      <c r="C6" s="219"/>
      <c r="D6" s="219"/>
      <c r="E6" s="219"/>
      <c r="F6" s="219"/>
      <c r="G6" s="219"/>
    </row>
    <row r="7" spans="1:8" ht="15.75" x14ac:dyDescent="0.25">
      <c r="A7" s="73"/>
      <c r="B7" s="73"/>
      <c r="C7" s="73"/>
      <c r="D7" s="73"/>
      <c r="E7" s="76"/>
      <c r="F7" s="76"/>
      <c r="G7" s="77" t="s">
        <v>4</v>
      </c>
    </row>
    <row r="8" spans="1:8" ht="31.5" x14ac:dyDescent="0.25">
      <c r="A8" s="78" t="s">
        <v>659</v>
      </c>
      <c r="B8" s="78" t="s">
        <v>715</v>
      </c>
      <c r="C8" s="78" t="s">
        <v>716</v>
      </c>
      <c r="D8" s="78" t="s">
        <v>717</v>
      </c>
      <c r="E8" s="78" t="s">
        <v>718</v>
      </c>
      <c r="F8" s="78" t="s">
        <v>719</v>
      </c>
      <c r="G8" s="6" t="s">
        <v>7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720</v>
      </c>
      <c r="B10" s="8" t="s">
        <v>574</v>
      </c>
      <c r="C10" s="8"/>
      <c r="D10" s="8"/>
      <c r="E10" s="8"/>
      <c r="F10" s="8"/>
      <c r="G10" s="4">
        <f>G13</f>
        <v>14368.9</v>
      </c>
    </row>
    <row r="11" spans="1:8" ht="15.75" x14ac:dyDescent="0.25">
      <c r="A11" s="31" t="s">
        <v>295</v>
      </c>
      <c r="B11" s="42" t="s">
        <v>574</v>
      </c>
      <c r="C11" s="42" t="s">
        <v>213</v>
      </c>
      <c r="D11" s="42"/>
      <c r="E11" s="42"/>
      <c r="F11" s="42"/>
      <c r="G11" s="7">
        <f>G12</f>
        <v>14368.9</v>
      </c>
    </row>
    <row r="12" spans="1:8" ht="31.5" x14ac:dyDescent="0.25">
      <c r="A12" s="31" t="s">
        <v>572</v>
      </c>
      <c r="B12" s="42" t="s">
        <v>574</v>
      </c>
      <c r="C12" s="42" t="s">
        <v>213</v>
      </c>
      <c r="D12" s="42" t="s">
        <v>282</v>
      </c>
      <c r="E12" s="42"/>
      <c r="F12" s="42"/>
      <c r="G12" s="7">
        <f>G13</f>
        <v>14368.9</v>
      </c>
    </row>
    <row r="13" spans="1:8" ht="15.75" x14ac:dyDescent="0.25">
      <c r="A13" s="31" t="s">
        <v>575</v>
      </c>
      <c r="B13" s="42" t="s">
        <v>576</v>
      </c>
      <c r="C13" s="42" t="s">
        <v>213</v>
      </c>
      <c r="D13" s="42" t="s">
        <v>282</v>
      </c>
      <c r="E13" s="42"/>
      <c r="F13" s="42"/>
      <c r="G13" s="7">
        <f>G14+G16</f>
        <v>14368.9</v>
      </c>
    </row>
    <row r="14" spans="1:8" ht="47.25" x14ac:dyDescent="0.25">
      <c r="A14" s="31" t="s">
        <v>194</v>
      </c>
      <c r="B14" s="42" t="s">
        <v>576</v>
      </c>
      <c r="C14" s="42" t="s">
        <v>213</v>
      </c>
      <c r="D14" s="42" t="s">
        <v>282</v>
      </c>
      <c r="E14" s="42" t="s">
        <v>195</v>
      </c>
      <c r="F14" s="42"/>
      <c r="G14" s="7">
        <f>G15</f>
        <v>14342.9</v>
      </c>
    </row>
    <row r="15" spans="1:8" ht="47.25" x14ac:dyDescent="0.25">
      <c r="A15" s="31" t="s">
        <v>196</v>
      </c>
      <c r="B15" s="42" t="s">
        <v>576</v>
      </c>
      <c r="C15" s="42" t="s">
        <v>213</v>
      </c>
      <c r="D15" s="42" t="s">
        <v>282</v>
      </c>
      <c r="E15" s="42" t="s">
        <v>197</v>
      </c>
      <c r="F15" s="42"/>
      <c r="G15" s="7">
        <f>'Прил.№4 ведомств.'!G796</f>
        <v>14342.9</v>
      </c>
      <c r="H15" s="139"/>
    </row>
    <row r="16" spans="1:8" ht="15.75" x14ac:dyDescent="0.25">
      <c r="A16" s="26" t="s">
        <v>198</v>
      </c>
      <c r="B16" s="42" t="s">
        <v>576</v>
      </c>
      <c r="C16" s="42" t="s">
        <v>213</v>
      </c>
      <c r="D16" s="42" t="s">
        <v>282</v>
      </c>
      <c r="E16" s="42" t="s">
        <v>208</v>
      </c>
      <c r="F16" s="42"/>
      <c r="G16" s="7">
        <f>G17</f>
        <v>26</v>
      </c>
    </row>
    <row r="17" spans="1:8" ht="31.5" x14ac:dyDescent="0.25">
      <c r="A17" s="26" t="s">
        <v>200</v>
      </c>
      <c r="B17" s="42" t="s">
        <v>576</v>
      </c>
      <c r="C17" s="42" t="s">
        <v>213</v>
      </c>
      <c r="D17" s="42" t="s">
        <v>282</v>
      </c>
      <c r="E17" s="42" t="s">
        <v>201</v>
      </c>
      <c r="F17" s="42"/>
      <c r="G17" s="7">
        <f>'Прил.№4 ведомств.'!G798</f>
        <v>26</v>
      </c>
      <c r="H17" s="139"/>
    </row>
    <row r="18" spans="1:8" ht="47.25" x14ac:dyDescent="0.25">
      <c r="A18" s="47" t="s">
        <v>721</v>
      </c>
      <c r="B18" s="42" t="s">
        <v>574</v>
      </c>
      <c r="C18" s="42" t="s">
        <v>213</v>
      </c>
      <c r="D18" s="42" t="s">
        <v>282</v>
      </c>
      <c r="E18" s="42"/>
      <c r="F18" s="42" t="s">
        <v>722</v>
      </c>
      <c r="G18" s="7">
        <f>G13</f>
        <v>14368.9</v>
      </c>
    </row>
    <row r="19" spans="1:8" ht="78.75" x14ac:dyDescent="0.25">
      <c r="A19" s="64" t="s">
        <v>406</v>
      </c>
      <c r="B19" s="8" t="s">
        <v>407</v>
      </c>
      <c r="C19" s="8"/>
      <c r="D19" s="8"/>
      <c r="E19" s="8"/>
      <c r="F19" s="8"/>
      <c r="G19" s="68">
        <f>G20+G32+G39+G46+G55+G62+G69+G95</f>
        <v>3468</v>
      </c>
    </row>
    <row r="20" spans="1:8" ht="47.25" x14ac:dyDescent="0.25">
      <c r="A20" s="64" t="s">
        <v>723</v>
      </c>
      <c r="B20" s="8" t="s">
        <v>409</v>
      </c>
      <c r="C20" s="8"/>
      <c r="D20" s="8"/>
      <c r="E20" s="8"/>
      <c r="F20" s="8"/>
      <c r="G20" s="68">
        <f>G21</f>
        <v>761.6</v>
      </c>
    </row>
    <row r="21" spans="1:8" ht="15.75" x14ac:dyDescent="0.25">
      <c r="A21" s="47" t="s">
        <v>306</v>
      </c>
      <c r="B21" s="42" t="s">
        <v>409</v>
      </c>
      <c r="C21" s="42" t="s">
        <v>307</v>
      </c>
      <c r="D21" s="42"/>
      <c r="E21" s="42"/>
      <c r="F21" s="42"/>
      <c r="G21" s="11">
        <f>G22</f>
        <v>761.6</v>
      </c>
    </row>
    <row r="22" spans="1:8" ht="15.75" x14ac:dyDescent="0.25">
      <c r="A22" s="47" t="s">
        <v>315</v>
      </c>
      <c r="B22" s="42" t="s">
        <v>409</v>
      </c>
      <c r="C22" s="42" t="s">
        <v>307</v>
      </c>
      <c r="D22" s="42" t="s">
        <v>278</v>
      </c>
      <c r="E22" s="42"/>
      <c r="F22" s="42"/>
      <c r="G22" s="11">
        <f>G23+G28</f>
        <v>761.6</v>
      </c>
    </row>
    <row r="23" spans="1:8" ht="47.25" x14ac:dyDescent="0.25">
      <c r="A23" s="31" t="s">
        <v>220</v>
      </c>
      <c r="B23" s="42" t="s">
        <v>724</v>
      </c>
      <c r="C23" s="42" t="s">
        <v>307</v>
      </c>
      <c r="D23" s="42" t="s">
        <v>278</v>
      </c>
      <c r="E23" s="42"/>
      <c r="F23" s="42"/>
      <c r="G23" s="11">
        <f>G26</f>
        <v>486.1</v>
      </c>
    </row>
    <row r="24" spans="1:8" ht="110.25" hidden="1" x14ac:dyDescent="0.25">
      <c r="A24" s="26" t="s">
        <v>190</v>
      </c>
      <c r="B24" s="42" t="s">
        <v>724</v>
      </c>
      <c r="C24" s="42" t="s">
        <v>307</v>
      </c>
      <c r="D24" s="42" t="s">
        <v>278</v>
      </c>
      <c r="E24" s="42" t="s">
        <v>191</v>
      </c>
      <c r="F24" s="42"/>
      <c r="G24" s="11">
        <f>G25</f>
        <v>0</v>
      </c>
    </row>
    <row r="25" spans="1:8" ht="47.25" hidden="1" x14ac:dyDescent="0.25">
      <c r="A25" s="26" t="s">
        <v>192</v>
      </c>
      <c r="B25" s="42" t="s">
        <v>724</v>
      </c>
      <c r="C25" s="42" t="s">
        <v>307</v>
      </c>
      <c r="D25" s="42" t="s">
        <v>278</v>
      </c>
      <c r="E25" s="42" t="s">
        <v>193</v>
      </c>
      <c r="F25" s="42"/>
      <c r="G25" s="11"/>
    </row>
    <row r="26" spans="1:8" ht="47.25" x14ac:dyDescent="0.25">
      <c r="A26" s="31" t="s">
        <v>194</v>
      </c>
      <c r="B26" s="42" t="s">
        <v>724</v>
      </c>
      <c r="C26" s="42" t="s">
        <v>307</v>
      </c>
      <c r="D26" s="42" t="s">
        <v>278</v>
      </c>
      <c r="E26" s="42" t="s">
        <v>195</v>
      </c>
      <c r="F26" s="42"/>
      <c r="G26" s="11">
        <f>G27</f>
        <v>486.1</v>
      </c>
    </row>
    <row r="27" spans="1:8" ht="47.25" x14ac:dyDescent="0.25">
      <c r="A27" s="31" t="s">
        <v>196</v>
      </c>
      <c r="B27" s="42" t="s">
        <v>724</v>
      </c>
      <c r="C27" s="42" t="s">
        <v>307</v>
      </c>
      <c r="D27" s="42" t="s">
        <v>278</v>
      </c>
      <c r="E27" s="42" t="s">
        <v>197</v>
      </c>
      <c r="F27" s="42"/>
      <c r="G27" s="7">
        <f>'Прил.№4 ведомств.'!G401</f>
        <v>486.1</v>
      </c>
    </row>
    <row r="28" spans="1:8" ht="47.25" x14ac:dyDescent="0.25">
      <c r="A28" s="26" t="s">
        <v>413</v>
      </c>
      <c r="B28" s="21" t="s">
        <v>414</v>
      </c>
      <c r="C28" s="42" t="s">
        <v>307</v>
      </c>
      <c r="D28" s="42" t="s">
        <v>278</v>
      </c>
      <c r="E28" s="42"/>
      <c r="F28" s="42"/>
      <c r="G28" s="11">
        <f>G29</f>
        <v>275.5</v>
      </c>
    </row>
    <row r="29" spans="1:8" ht="63" x14ac:dyDescent="0.25">
      <c r="A29" s="26" t="s">
        <v>335</v>
      </c>
      <c r="B29" s="21" t="s">
        <v>414</v>
      </c>
      <c r="C29" s="42" t="s">
        <v>307</v>
      </c>
      <c r="D29" s="42" t="s">
        <v>278</v>
      </c>
      <c r="E29" s="42" t="s">
        <v>336</v>
      </c>
      <c r="F29" s="42"/>
      <c r="G29" s="11">
        <f>G30</f>
        <v>275.5</v>
      </c>
    </row>
    <row r="30" spans="1:8" ht="15.75" x14ac:dyDescent="0.25">
      <c r="A30" s="26" t="s">
        <v>337</v>
      </c>
      <c r="B30" s="21" t="s">
        <v>414</v>
      </c>
      <c r="C30" s="42" t="s">
        <v>307</v>
      </c>
      <c r="D30" s="42" t="s">
        <v>278</v>
      </c>
      <c r="E30" s="42" t="s">
        <v>338</v>
      </c>
      <c r="F30" s="42"/>
      <c r="G30" s="11">
        <f>'Прил.№4 ведомств.'!G406</f>
        <v>275.5</v>
      </c>
      <c r="H30" s="139"/>
    </row>
    <row r="31" spans="1:8" ht="63" x14ac:dyDescent="0.25">
      <c r="A31" s="47" t="s">
        <v>324</v>
      </c>
      <c r="B31" s="21" t="s">
        <v>409</v>
      </c>
      <c r="C31" s="42" t="s">
        <v>307</v>
      </c>
      <c r="D31" s="42" t="s">
        <v>278</v>
      </c>
      <c r="E31" s="42"/>
      <c r="F31" s="42" t="s">
        <v>725</v>
      </c>
      <c r="G31" s="7">
        <f>G20</f>
        <v>761.6</v>
      </c>
    </row>
    <row r="32" spans="1:8" ht="47.25" x14ac:dyDescent="0.25">
      <c r="A32" s="64" t="s">
        <v>726</v>
      </c>
      <c r="B32" s="8" t="s">
        <v>416</v>
      </c>
      <c r="C32" s="8"/>
      <c r="D32" s="8"/>
      <c r="E32" s="8"/>
      <c r="F32" s="8"/>
      <c r="G32" s="68">
        <f>G33</f>
        <v>31.05</v>
      </c>
    </row>
    <row r="33" spans="1:7" ht="15.75" x14ac:dyDescent="0.25">
      <c r="A33" s="47" t="s">
        <v>306</v>
      </c>
      <c r="B33" s="42" t="s">
        <v>416</v>
      </c>
      <c r="C33" s="42" t="s">
        <v>307</v>
      </c>
      <c r="D33" s="42"/>
      <c r="E33" s="42"/>
      <c r="F33" s="42"/>
      <c r="G33" s="11">
        <f>G34</f>
        <v>31.05</v>
      </c>
    </row>
    <row r="34" spans="1:7" ht="15.75" x14ac:dyDescent="0.25">
      <c r="A34" s="47" t="s">
        <v>315</v>
      </c>
      <c r="B34" s="42" t="s">
        <v>416</v>
      </c>
      <c r="C34" s="42" t="s">
        <v>307</v>
      </c>
      <c r="D34" s="42" t="s">
        <v>278</v>
      </c>
      <c r="E34" s="42"/>
      <c r="F34" s="42"/>
      <c r="G34" s="11">
        <f>G35</f>
        <v>31.05</v>
      </c>
    </row>
    <row r="35" spans="1:7" ht="31.5" x14ac:dyDescent="0.25">
      <c r="A35" s="26" t="s">
        <v>705</v>
      </c>
      <c r="B35" s="21" t="s">
        <v>706</v>
      </c>
      <c r="C35" s="42" t="s">
        <v>307</v>
      </c>
      <c r="D35" s="42" t="s">
        <v>278</v>
      </c>
      <c r="E35" s="42"/>
      <c r="F35" s="42"/>
      <c r="G35" s="11">
        <f>G36</f>
        <v>31.05</v>
      </c>
    </row>
    <row r="36" spans="1:7" ht="31.5" x14ac:dyDescent="0.25">
      <c r="A36" s="31" t="s">
        <v>311</v>
      </c>
      <c r="B36" s="21" t="s">
        <v>706</v>
      </c>
      <c r="C36" s="42" t="s">
        <v>307</v>
      </c>
      <c r="D36" s="42" t="s">
        <v>278</v>
      </c>
      <c r="E36" s="42" t="s">
        <v>312</v>
      </c>
      <c r="F36" s="42"/>
      <c r="G36" s="11">
        <f>G37</f>
        <v>31.05</v>
      </c>
    </row>
    <row r="37" spans="1:7" ht="47.25" x14ac:dyDescent="0.25">
      <c r="A37" s="31" t="s">
        <v>313</v>
      </c>
      <c r="B37" s="21" t="s">
        <v>706</v>
      </c>
      <c r="C37" s="42" t="s">
        <v>307</v>
      </c>
      <c r="D37" s="42" t="s">
        <v>278</v>
      </c>
      <c r="E37" s="42" t="s">
        <v>314</v>
      </c>
      <c r="F37" s="42"/>
      <c r="G37" s="11">
        <f>'Прил.№4 ведомств.'!G410</f>
        <v>31.05</v>
      </c>
    </row>
    <row r="38" spans="1:7" ht="63" x14ac:dyDescent="0.25">
      <c r="A38" s="47" t="s">
        <v>324</v>
      </c>
      <c r="B38" s="21" t="s">
        <v>416</v>
      </c>
      <c r="C38" s="42" t="s">
        <v>307</v>
      </c>
      <c r="D38" s="42" t="s">
        <v>278</v>
      </c>
      <c r="E38" s="42"/>
      <c r="F38" s="42" t="s">
        <v>725</v>
      </c>
      <c r="G38" s="11">
        <f>G32</f>
        <v>31.05</v>
      </c>
    </row>
    <row r="39" spans="1:7" ht="47.25" x14ac:dyDescent="0.25">
      <c r="A39" s="64" t="s">
        <v>727</v>
      </c>
      <c r="B39" s="8" t="s">
        <v>419</v>
      </c>
      <c r="C39" s="8"/>
      <c r="D39" s="8"/>
      <c r="E39" s="8"/>
      <c r="F39" s="8"/>
      <c r="G39" s="68">
        <f>G40</f>
        <v>390</v>
      </c>
    </row>
    <row r="40" spans="1:7" ht="15.75" x14ac:dyDescent="0.25">
      <c r="A40" s="47" t="s">
        <v>306</v>
      </c>
      <c r="B40" s="42" t="s">
        <v>419</v>
      </c>
      <c r="C40" s="42" t="s">
        <v>307</v>
      </c>
      <c r="D40" s="42"/>
      <c r="E40" s="42"/>
      <c r="F40" s="42"/>
      <c r="G40" s="11">
        <f>G41</f>
        <v>390</v>
      </c>
    </row>
    <row r="41" spans="1:7" ht="15.75" x14ac:dyDescent="0.25">
      <c r="A41" s="47" t="s">
        <v>315</v>
      </c>
      <c r="B41" s="42" t="s">
        <v>419</v>
      </c>
      <c r="C41" s="42" t="s">
        <v>307</v>
      </c>
      <c r="D41" s="42" t="s">
        <v>278</v>
      </c>
      <c r="E41" s="42"/>
      <c r="F41" s="42"/>
      <c r="G41" s="11">
        <f>G42</f>
        <v>390</v>
      </c>
    </row>
    <row r="42" spans="1:7" ht="47.25" x14ac:dyDescent="0.25">
      <c r="A42" s="31" t="s">
        <v>220</v>
      </c>
      <c r="B42" s="42" t="s">
        <v>728</v>
      </c>
      <c r="C42" s="42" t="s">
        <v>307</v>
      </c>
      <c r="D42" s="42" t="s">
        <v>278</v>
      </c>
      <c r="E42" s="42"/>
      <c r="F42" s="42"/>
      <c r="G42" s="11">
        <f>G43</f>
        <v>390</v>
      </c>
    </row>
    <row r="43" spans="1:7" ht="31.5" x14ac:dyDescent="0.25">
      <c r="A43" s="31" t="s">
        <v>311</v>
      </c>
      <c r="B43" s="42" t="s">
        <v>728</v>
      </c>
      <c r="C43" s="42" t="s">
        <v>307</v>
      </c>
      <c r="D43" s="42" t="s">
        <v>278</v>
      </c>
      <c r="E43" s="42" t="s">
        <v>312</v>
      </c>
      <c r="F43" s="42"/>
      <c r="G43" s="11">
        <f>G44</f>
        <v>390</v>
      </c>
    </row>
    <row r="44" spans="1:7" ht="31.5" x14ac:dyDescent="0.25">
      <c r="A44" s="31" t="s">
        <v>411</v>
      </c>
      <c r="B44" s="42" t="s">
        <v>728</v>
      </c>
      <c r="C44" s="42" t="s">
        <v>307</v>
      </c>
      <c r="D44" s="42" t="s">
        <v>278</v>
      </c>
      <c r="E44" s="42" t="s">
        <v>412</v>
      </c>
      <c r="F44" s="42"/>
      <c r="G44" s="11">
        <f>'Прил.№4 ведомств.'!G414</f>
        <v>390</v>
      </c>
    </row>
    <row r="45" spans="1:7" ht="63" x14ac:dyDescent="0.25">
      <c r="A45" s="47" t="s">
        <v>324</v>
      </c>
      <c r="B45" s="42" t="s">
        <v>419</v>
      </c>
      <c r="C45" s="42" t="s">
        <v>307</v>
      </c>
      <c r="D45" s="42" t="s">
        <v>278</v>
      </c>
      <c r="E45" s="42"/>
      <c r="F45" s="42" t="s">
        <v>725</v>
      </c>
      <c r="G45" s="11">
        <f>G39</f>
        <v>390</v>
      </c>
    </row>
    <row r="46" spans="1:7" ht="31.5" x14ac:dyDescent="0.25">
      <c r="A46" s="64" t="s">
        <v>729</v>
      </c>
      <c r="B46" s="8" t="s">
        <v>422</v>
      </c>
      <c r="C46" s="8"/>
      <c r="D46" s="8"/>
      <c r="E46" s="8"/>
      <c r="F46" s="8"/>
      <c r="G46" s="68">
        <f>G47</f>
        <v>1587.4</v>
      </c>
    </row>
    <row r="47" spans="1:7" ht="15.75" x14ac:dyDescent="0.25">
      <c r="A47" s="47" t="s">
        <v>306</v>
      </c>
      <c r="B47" s="42" t="s">
        <v>422</v>
      </c>
      <c r="C47" s="42" t="s">
        <v>307</v>
      </c>
      <c r="D47" s="42"/>
      <c r="E47" s="42"/>
      <c r="F47" s="42"/>
      <c r="G47" s="11">
        <f>G48</f>
        <v>1587.4</v>
      </c>
    </row>
    <row r="48" spans="1:7" ht="15.75" x14ac:dyDescent="0.25">
      <c r="A48" s="47" t="s">
        <v>315</v>
      </c>
      <c r="B48" s="42" t="s">
        <v>422</v>
      </c>
      <c r="C48" s="42" t="s">
        <v>307</v>
      </c>
      <c r="D48" s="42" t="s">
        <v>278</v>
      </c>
      <c r="E48" s="42"/>
      <c r="F48" s="42"/>
      <c r="G48" s="11">
        <f>G49</f>
        <v>1587.4</v>
      </c>
    </row>
    <row r="49" spans="1:7" ht="47.25" x14ac:dyDescent="0.25">
      <c r="A49" s="31" t="s">
        <v>220</v>
      </c>
      <c r="B49" s="42" t="s">
        <v>730</v>
      </c>
      <c r="C49" s="42" t="s">
        <v>307</v>
      </c>
      <c r="D49" s="42" t="s">
        <v>278</v>
      </c>
      <c r="E49" s="42"/>
      <c r="F49" s="42"/>
      <c r="G49" s="11">
        <f>G50+G52</f>
        <v>1587.4</v>
      </c>
    </row>
    <row r="50" spans="1:7" ht="47.25" x14ac:dyDescent="0.25">
      <c r="A50" s="31" t="s">
        <v>194</v>
      </c>
      <c r="B50" s="42" t="s">
        <v>730</v>
      </c>
      <c r="C50" s="42" t="s">
        <v>307</v>
      </c>
      <c r="D50" s="42" t="s">
        <v>278</v>
      </c>
      <c r="E50" s="42" t="s">
        <v>195</v>
      </c>
      <c r="F50" s="42"/>
      <c r="G50" s="11">
        <f>G51</f>
        <v>234.4</v>
      </c>
    </row>
    <row r="51" spans="1:7" ht="47.25" x14ac:dyDescent="0.25">
      <c r="A51" s="31" t="s">
        <v>196</v>
      </c>
      <c r="B51" s="42" t="s">
        <v>730</v>
      </c>
      <c r="C51" s="42" t="s">
        <v>307</v>
      </c>
      <c r="D51" s="42" t="s">
        <v>278</v>
      </c>
      <c r="E51" s="42" t="s">
        <v>197</v>
      </c>
      <c r="F51" s="42"/>
      <c r="G51" s="11">
        <f>'Прил.№4 ведомств.'!G418</f>
        <v>234.4</v>
      </c>
    </row>
    <row r="52" spans="1:7" ht="31.5" x14ac:dyDescent="0.25">
      <c r="A52" s="31" t="s">
        <v>311</v>
      </c>
      <c r="B52" s="42" t="s">
        <v>730</v>
      </c>
      <c r="C52" s="42" t="s">
        <v>307</v>
      </c>
      <c r="D52" s="42" t="s">
        <v>278</v>
      </c>
      <c r="E52" s="42" t="s">
        <v>312</v>
      </c>
      <c r="F52" s="42"/>
      <c r="G52" s="11">
        <f>G53</f>
        <v>1353</v>
      </c>
    </row>
    <row r="53" spans="1:7" ht="31.5" x14ac:dyDescent="0.25">
      <c r="A53" s="31" t="s">
        <v>411</v>
      </c>
      <c r="B53" s="42" t="s">
        <v>730</v>
      </c>
      <c r="C53" s="42" t="s">
        <v>307</v>
      </c>
      <c r="D53" s="42" t="s">
        <v>278</v>
      </c>
      <c r="E53" s="42" t="s">
        <v>412</v>
      </c>
      <c r="F53" s="42"/>
      <c r="G53" s="11">
        <f>'Прил.№4 ведомств.'!G420</f>
        <v>1353</v>
      </c>
    </row>
    <row r="54" spans="1:7" ht="63" x14ac:dyDescent="0.25">
      <c r="A54" s="47" t="s">
        <v>324</v>
      </c>
      <c r="B54" s="42" t="s">
        <v>422</v>
      </c>
      <c r="C54" s="42" t="s">
        <v>307</v>
      </c>
      <c r="D54" s="42" t="s">
        <v>278</v>
      </c>
      <c r="E54" s="42"/>
      <c r="F54" s="42" t="s">
        <v>725</v>
      </c>
      <c r="G54" s="11">
        <f>G46</f>
        <v>1587.4</v>
      </c>
    </row>
    <row r="55" spans="1:7" ht="47.25" x14ac:dyDescent="0.25">
      <c r="A55" s="64" t="s">
        <v>731</v>
      </c>
      <c r="B55" s="8" t="s">
        <v>425</v>
      </c>
      <c r="C55" s="8"/>
      <c r="D55" s="8"/>
      <c r="E55" s="8"/>
      <c r="F55" s="8"/>
      <c r="G55" s="68">
        <f>G56</f>
        <v>360.7</v>
      </c>
    </row>
    <row r="56" spans="1:7" ht="15.75" x14ac:dyDescent="0.25">
      <c r="A56" s="47" t="s">
        <v>306</v>
      </c>
      <c r="B56" s="42" t="s">
        <v>425</v>
      </c>
      <c r="C56" s="42" t="s">
        <v>307</v>
      </c>
      <c r="D56" s="42"/>
      <c r="E56" s="42"/>
      <c r="F56" s="42"/>
      <c r="G56" s="11">
        <f>G57</f>
        <v>360.7</v>
      </c>
    </row>
    <row r="57" spans="1:7" ht="21.75" customHeight="1" x14ac:dyDescent="0.25">
      <c r="A57" s="47" t="s">
        <v>315</v>
      </c>
      <c r="B57" s="42" t="s">
        <v>425</v>
      </c>
      <c r="C57" s="42" t="s">
        <v>307</v>
      </c>
      <c r="D57" s="42" t="s">
        <v>278</v>
      </c>
      <c r="E57" s="42"/>
      <c r="F57" s="42"/>
      <c r="G57" s="11">
        <f>G58</f>
        <v>360.7</v>
      </c>
    </row>
    <row r="58" spans="1:7" ht="47.25" x14ac:dyDescent="0.25">
      <c r="A58" s="31" t="s">
        <v>220</v>
      </c>
      <c r="B58" s="42" t="s">
        <v>732</v>
      </c>
      <c r="C58" s="42" t="s">
        <v>307</v>
      </c>
      <c r="D58" s="42" t="s">
        <v>278</v>
      </c>
      <c r="E58" s="42"/>
      <c r="F58" s="42"/>
      <c r="G58" s="11">
        <f>G59</f>
        <v>360.7</v>
      </c>
    </row>
    <row r="59" spans="1:7" ht="31.5" x14ac:dyDescent="0.25">
      <c r="A59" s="31" t="s">
        <v>311</v>
      </c>
      <c r="B59" s="42" t="s">
        <v>732</v>
      </c>
      <c r="C59" s="42" t="s">
        <v>307</v>
      </c>
      <c r="D59" s="42" t="s">
        <v>278</v>
      </c>
      <c r="E59" s="42" t="s">
        <v>312</v>
      </c>
      <c r="F59" s="42"/>
      <c r="G59" s="11">
        <f>G60</f>
        <v>360.7</v>
      </c>
    </row>
    <row r="60" spans="1:7" ht="31.5" x14ac:dyDescent="0.25">
      <c r="A60" s="31" t="s">
        <v>411</v>
      </c>
      <c r="B60" s="42" t="s">
        <v>732</v>
      </c>
      <c r="C60" s="42" t="s">
        <v>307</v>
      </c>
      <c r="D60" s="42" t="s">
        <v>278</v>
      </c>
      <c r="E60" s="42" t="s">
        <v>412</v>
      </c>
      <c r="F60" s="42"/>
      <c r="G60" s="11">
        <f>'Прил.№4 ведомств.'!G424</f>
        <v>360.7</v>
      </c>
    </row>
    <row r="61" spans="1:7" ht="63" x14ac:dyDescent="0.25">
      <c r="A61" s="47" t="s">
        <v>324</v>
      </c>
      <c r="B61" s="42" t="s">
        <v>425</v>
      </c>
      <c r="C61" s="42" t="s">
        <v>307</v>
      </c>
      <c r="D61" s="42" t="s">
        <v>278</v>
      </c>
      <c r="E61" s="42"/>
      <c r="F61" s="42" t="s">
        <v>725</v>
      </c>
      <c r="G61" s="11">
        <f>G55</f>
        <v>360.7</v>
      </c>
    </row>
    <row r="62" spans="1:7" ht="78.75" x14ac:dyDescent="0.25">
      <c r="A62" s="64" t="s">
        <v>427</v>
      </c>
      <c r="B62" s="8" t="s">
        <v>428</v>
      </c>
      <c r="C62" s="8"/>
      <c r="D62" s="8"/>
      <c r="E62" s="8"/>
      <c r="F62" s="8"/>
      <c r="G62" s="68">
        <f>G63</f>
        <v>167.9</v>
      </c>
    </row>
    <row r="63" spans="1:7" ht="15.75" x14ac:dyDescent="0.25">
      <c r="A63" s="47" t="s">
        <v>306</v>
      </c>
      <c r="B63" s="42" t="s">
        <v>428</v>
      </c>
      <c r="C63" s="42" t="s">
        <v>307</v>
      </c>
      <c r="D63" s="42"/>
      <c r="E63" s="42"/>
      <c r="F63" s="42"/>
      <c r="G63" s="11">
        <f>G64</f>
        <v>167.9</v>
      </c>
    </row>
    <row r="64" spans="1:7" ht="15.75" x14ac:dyDescent="0.25">
      <c r="A64" s="47" t="s">
        <v>315</v>
      </c>
      <c r="B64" s="42" t="s">
        <v>428</v>
      </c>
      <c r="C64" s="42" t="s">
        <v>307</v>
      </c>
      <c r="D64" s="42" t="s">
        <v>278</v>
      </c>
      <c r="E64" s="42"/>
      <c r="F64" s="42"/>
      <c r="G64" s="11">
        <f>G65</f>
        <v>167.9</v>
      </c>
    </row>
    <row r="65" spans="1:7" ht="42.75" customHeight="1" x14ac:dyDescent="0.25">
      <c r="A65" s="31" t="s">
        <v>220</v>
      </c>
      <c r="B65" s="42" t="s">
        <v>733</v>
      </c>
      <c r="C65" s="42" t="s">
        <v>307</v>
      </c>
      <c r="D65" s="42" t="s">
        <v>278</v>
      </c>
      <c r="E65" s="42"/>
      <c r="F65" s="42"/>
      <c r="G65" s="11">
        <f>G66</f>
        <v>167.9</v>
      </c>
    </row>
    <row r="66" spans="1:7" ht="47.25" x14ac:dyDescent="0.25">
      <c r="A66" s="31" t="s">
        <v>194</v>
      </c>
      <c r="B66" s="42" t="s">
        <v>733</v>
      </c>
      <c r="C66" s="42" t="s">
        <v>307</v>
      </c>
      <c r="D66" s="42" t="s">
        <v>278</v>
      </c>
      <c r="E66" s="42" t="s">
        <v>195</v>
      </c>
      <c r="F66" s="42"/>
      <c r="G66" s="11">
        <f>G67</f>
        <v>167.9</v>
      </c>
    </row>
    <row r="67" spans="1:7" ht="47.25" x14ac:dyDescent="0.25">
      <c r="A67" s="31" t="s">
        <v>196</v>
      </c>
      <c r="B67" s="42" t="s">
        <v>733</v>
      </c>
      <c r="C67" s="42" t="s">
        <v>307</v>
      </c>
      <c r="D67" s="42" t="s">
        <v>278</v>
      </c>
      <c r="E67" s="42" t="s">
        <v>197</v>
      </c>
      <c r="F67" s="42"/>
      <c r="G67" s="11">
        <f>'Прил.№4 ведомств.'!G428</f>
        <v>167.9</v>
      </c>
    </row>
    <row r="68" spans="1:7" ht="63" x14ac:dyDescent="0.25">
      <c r="A68" s="47" t="s">
        <v>324</v>
      </c>
      <c r="B68" s="42" t="s">
        <v>428</v>
      </c>
      <c r="C68" s="42" t="s">
        <v>307</v>
      </c>
      <c r="D68" s="42" t="s">
        <v>278</v>
      </c>
      <c r="E68" s="42"/>
      <c r="F68" s="42" t="s">
        <v>725</v>
      </c>
      <c r="G68" s="11">
        <f>G62</f>
        <v>167.9</v>
      </c>
    </row>
    <row r="69" spans="1:7" ht="94.5" x14ac:dyDescent="0.25">
      <c r="A69" s="43" t="s">
        <v>430</v>
      </c>
      <c r="B69" s="8" t="s">
        <v>431</v>
      </c>
      <c r="C69" s="8"/>
      <c r="D69" s="8"/>
      <c r="E69" s="8"/>
      <c r="F69" s="8"/>
      <c r="G69" s="68">
        <f>G70</f>
        <v>30</v>
      </c>
    </row>
    <row r="70" spans="1:7" ht="15.75" x14ac:dyDescent="0.25">
      <c r="A70" s="47" t="s">
        <v>306</v>
      </c>
      <c r="B70" s="42" t="s">
        <v>431</v>
      </c>
      <c r="C70" s="42" t="s">
        <v>307</v>
      </c>
      <c r="D70" s="42"/>
      <c r="E70" s="42"/>
      <c r="F70" s="42"/>
      <c r="G70" s="11">
        <f>G71</f>
        <v>30</v>
      </c>
    </row>
    <row r="71" spans="1:7" ht="15.75" x14ac:dyDescent="0.25">
      <c r="A71" s="47" t="s">
        <v>315</v>
      </c>
      <c r="B71" s="42" t="s">
        <v>431</v>
      </c>
      <c r="C71" s="42" t="s">
        <v>307</v>
      </c>
      <c r="D71" s="42" t="s">
        <v>278</v>
      </c>
      <c r="E71" s="42"/>
      <c r="F71" s="42"/>
      <c r="G71" s="11">
        <f>G72+G90+G81+G85+G77</f>
        <v>30</v>
      </c>
    </row>
    <row r="72" spans="1:7" ht="45" customHeight="1" x14ac:dyDescent="0.25">
      <c r="A72" s="31" t="s">
        <v>220</v>
      </c>
      <c r="B72" s="42" t="s">
        <v>433</v>
      </c>
      <c r="C72" s="42" t="s">
        <v>307</v>
      </c>
      <c r="D72" s="42" t="s">
        <v>278</v>
      </c>
      <c r="E72" s="42"/>
      <c r="F72" s="42"/>
      <c r="G72" s="11">
        <f>G75+G73</f>
        <v>20</v>
      </c>
    </row>
    <row r="73" spans="1:7" ht="47.25" hidden="1" x14ac:dyDescent="0.25">
      <c r="A73" s="31" t="s">
        <v>194</v>
      </c>
      <c r="B73" s="42" t="s">
        <v>431</v>
      </c>
      <c r="C73" s="42" t="s">
        <v>307</v>
      </c>
      <c r="D73" s="42" t="s">
        <v>278</v>
      </c>
      <c r="E73" s="42" t="s">
        <v>195</v>
      </c>
      <c r="F73" s="42"/>
      <c r="G73" s="11">
        <f>G74</f>
        <v>0</v>
      </c>
    </row>
    <row r="74" spans="1:7" ht="47.25" hidden="1" x14ac:dyDescent="0.25">
      <c r="A74" s="31" t="s">
        <v>196</v>
      </c>
      <c r="B74" s="42" t="s">
        <v>431</v>
      </c>
      <c r="C74" s="42" t="s">
        <v>307</v>
      </c>
      <c r="D74" s="42" t="s">
        <v>278</v>
      </c>
      <c r="E74" s="42" t="s">
        <v>197</v>
      </c>
      <c r="F74" s="42"/>
      <c r="G74" s="11"/>
    </row>
    <row r="75" spans="1:7" ht="63" x14ac:dyDescent="0.25">
      <c r="A75" s="26" t="s">
        <v>335</v>
      </c>
      <c r="B75" s="42" t="s">
        <v>433</v>
      </c>
      <c r="C75" s="42" t="s">
        <v>307</v>
      </c>
      <c r="D75" s="42" t="s">
        <v>278</v>
      </c>
      <c r="E75" s="42" t="s">
        <v>336</v>
      </c>
      <c r="F75" s="42"/>
      <c r="G75" s="11">
        <f>G76</f>
        <v>20</v>
      </c>
    </row>
    <row r="76" spans="1:7" ht="72.75" customHeight="1" x14ac:dyDescent="0.25">
      <c r="A76" s="26" t="s">
        <v>434</v>
      </c>
      <c r="B76" s="42" t="s">
        <v>433</v>
      </c>
      <c r="C76" s="42" t="s">
        <v>307</v>
      </c>
      <c r="D76" s="42" t="s">
        <v>278</v>
      </c>
      <c r="E76" s="42" t="s">
        <v>435</v>
      </c>
      <c r="F76" s="42"/>
      <c r="G76" s="11">
        <f>'Прил.№4 ведомств.'!G432</f>
        <v>20</v>
      </c>
    </row>
    <row r="77" spans="1:7" ht="63" x14ac:dyDescent="0.25">
      <c r="A77" s="26" t="s">
        <v>438</v>
      </c>
      <c r="B77" s="21" t="s">
        <v>439</v>
      </c>
      <c r="C77" s="42" t="s">
        <v>307</v>
      </c>
      <c r="D77" s="42" t="s">
        <v>278</v>
      </c>
      <c r="E77" s="42"/>
      <c r="F77" s="42"/>
      <c r="G77" s="11">
        <f>G78</f>
        <v>10</v>
      </c>
    </row>
    <row r="78" spans="1:7" ht="31.5" x14ac:dyDescent="0.25">
      <c r="A78" s="26" t="s">
        <v>311</v>
      </c>
      <c r="B78" s="21" t="s">
        <v>439</v>
      </c>
      <c r="C78" s="42" t="s">
        <v>307</v>
      </c>
      <c r="D78" s="42" t="s">
        <v>278</v>
      </c>
      <c r="E78" s="42" t="s">
        <v>312</v>
      </c>
      <c r="F78" s="42"/>
      <c r="G78" s="11">
        <f>G79</f>
        <v>10</v>
      </c>
    </row>
    <row r="79" spans="1:7" ht="47.25" x14ac:dyDescent="0.25">
      <c r="A79" s="26" t="s">
        <v>313</v>
      </c>
      <c r="B79" s="21" t="s">
        <v>439</v>
      </c>
      <c r="C79" s="42" t="s">
        <v>307</v>
      </c>
      <c r="D79" s="42" t="s">
        <v>278</v>
      </c>
      <c r="E79" s="42" t="s">
        <v>314</v>
      </c>
      <c r="F79" s="42"/>
      <c r="G79" s="11">
        <f>'Прил.№4 ведомств.'!G441</f>
        <v>10</v>
      </c>
    </row>
    <row r="80" spans="1:7" ht="63" x14ac:dyDescent="0.25">
      <c r="A80" s="47" t="s">
        <v>324</v>
      </c>
      <c r="B80" s="21" t="s">
        <v>431</v>
      </c>
      <c r="C80" s="42" t="s">
        <v>307</v>
      </c>
      <c r="D80" s="42" t="s">
        <v>278</v>
      </c>
      <c r="E80" s="42"/>
      <c r="F80" s="10" t="s">
        <v>725</v>
      </c>
      <c r="G80" s="11">
        <f>G69</f>
        <v>30</v>
      </c>
    </row>
    <row r="81" spans="1:7" ht="173.25" hidden="1" x14ac:dyDescent="0.25">
      <c r="A81" s="26" t="s">
        <v>436</v>
      </c>
      <c r="B81" s="21" t="s">
        <v>437</v>
      </c>
      <c r="C81" s="42" t="s">
        <v>307</v>
      </c>
      <c r="D81" s="42" t="s">
        <v>278</v>
      </c>
      <c r="E81" s="42"/>
      <c r="F81" s="10"/>
      <c r="G81" s="11">
        <f>G82</f>
        <v>0</v>
      </c>
    </row>
    <row r="82" spans="1:7" ht="15.75" hidden="1" x14ac:dyDescent="0.25">
      <c r="A82" s="26" t="s">
        <v>198</v>
      </c>
      <c r="B82" s="21" t="s">
        <v>437</v>
      </c>
      <c r="C82" s="42" t="s">
        <v>307</v>
      </c>
      <c r="D82" s="42" t="s">
        <v>278</v>
      </c>
      <c r="E82" s="42" t="s">
        <v>208</v>
      </c>
      <c r="F82" s="10"/>
      <c r="G82" s="11">
        <f>G83</f>
        <v>0</v>
      </c>
    </row>
    <row r="83" spans="1:7" ht="78.75" hidden="1" x14ac:dyDescent="0.25">
      <c r="A83" s="26" t="s">
        <v>247</v>
      </c>
      <c r="B83" s="21" t="s">
        <v>437</v>
      </c>
      <c r="C83" s="42" t="s">
        <v>307</v>
      </c>
      <c r="D83" s="42" t="s">
        <v>278</v>
      </c>
      <c r="E83" s="42" t="s">
        <v>223</v>
      </c>
      <c r="F83" s="10"/>
      <c r="G83" s="11"/>
    </row>
    <row r="84" spans="1:7" ht="63" hidden="1" x14ac:dyDescent="0.25">
      <c r="A84" s="47" t="s">
        <v>324</v>
      </c>
      <c r="B84" s="21" t="s">
        <v>437</v>
      </c>
      <c r="C84" s="42" t="s">
        <v>307</v>
      </c>
      <c r="D84" s="42" t="s">
        <v>278</v>
      </c>
      <c r="E84" s="42"/>
      <c r="F84" s="10" t="s">
        <v>725</v>
      </c>
      <c r="G84" s="11">
        <f>G83</f>
        <v>0</v>
      </c>
    </row>
    <row r="85" spans="1:7" ht="63" hidden="1" x14ac:dyDescent="0.25">
      <c r="A85" s="26" t="s">
        <v>438</v>
      </c>
      <c r="B85" s="21" t="s">
        <v>439</v>
      </c>
      <c r="C85" s="42" t="s">
        <v>307</v>
      </c>
      <c r="D85" s="42" t="s">
        <v>278</v>
      </c>
      <c r="E85" s="42"/>
      <c r="F85" s="10"/>
      <c r="G85" s="11">
        <f>G86</f>
        <v>0</v>
      </c>
    </row>
    <row r="86" spans="1:7" ht="31.5" hidden="1" x14ac:dyDescent="0.25">
      <c r="A86" s="31" t="s">
        <v>311</v>
      </c>
      <c r="B86" s="21" t="s">
        <v>439</v>
      </c>
      <c r="C86" s="42" t="s">
        <v>307</v>
      </c>
      <c r="D86" s="42" t="s">
        <v>278</v>
      </c>
      <c r="E86" s="42" t="s">
        <v>312</v>
      </c>
      <c r="F86" s="10"/>
      <c r="G86" s="11">
        <f>G87</f>
        <v>0</v>
      </c>
    </row>
    <row r="87" spans="1:7" ht="47.25" hidden="1" x14ac:dyDescent="0.25">
      <c r="A87" s="31" t="s">
        <v>313</v>
      </c>
      <c r="B87" s="21" t="s">
        <v>439</v>
      </c>
      <c r="C87" s="42" t="s">
        <v>307</v>
      </c>
      <c r="D87" s="42" t="s">
        <v>278</v>
      </c>
      <c r="E87" s="42" t="s">
        <v>314</v>
      </c>
      <c r="F87" s="10"/>
      <c r="G87" s="11"/>
    </row>
    <row r="88" spans="1:7" ht="63" hidden="1" x14ac:dyDescent="0.25">
      <c r="A88" s="47" t="s">
        <v>324</v>
      </c>
      <c r="B88" s="21" t="s">
        <v>439</v>
      </c>
      <c r="C88" s="42" t="s">
        <v>307</v>
      </c>
      <c r="D88" s="42" t="s">
        <v>278</v>
      </c>
      <c r="E88" s="42"/>
      <c r="F88" s="10" t="s">
        <v>725</v>
      </c>
      <c r="G88" s="11">
        <f>G85</f>
        <v>0</v>
      </c>
    </row>
    <row r="89" spans="1:7" ht="47.25" hidden="1" x14ac:dyDescent="0.25">
      <c r="A89" s="31" t="s">
        <v>440</v>
      </c>
      <c r="B89" s="21" t="s">
        <v>441</v>
      </c>
      <c r="C89" s="42" t="s">
        <v>307</v>
      </c>
      <c r="D89" s="42" t="s">
        <v>278</v>
      </c>
      <c r="E89" s="42"/>
      <c r="F89" s="42"/>
      <c r="G89" s="11">
        <f>G90</f>
        <v>0</v>
      </c>
    </row>
    <row r="90" spans="1:7" ht="47.25" hidden="1" x14ac:dyDescent="0.25">
      <c r="A90" s="31" t="s">
        <v>194</v>
      </c>
      <c r="B90" s="21" t="s">
        <v>441</v>
      </c>
      <c r="C90" s="42" t="s">
        <v>307</v>
      </c>
      <c r="D90" s="42" t="s">
        <v>278</v>
      </c>
      <c r="E90" s="42" t="s">
        <v>195</v>
      </c>
      <c r="F90" s="42"/>
      <c r="G90" s="11">
        <f>G91</f>
        <v>0</v>
      </c>
    </row>
    <row r="91" spans="1:7" ht="47.25" hidden="1" x14ac:dyDescent="0.25">
      <c r="A91" s="31" t="s">
        <v>196</v>
      </c>
      <c r="B91" s="21" t="s">
        <v>441</v>
      </c>
      <c r="C91" s="42" t="s">
        <v>307</v>
      </c>
      <c r="D91" s="42" t="s">
        <v>278</v>
      </c>
      <c r="E91" s="42" t="s">
        <v>197</v>
      </c>
      <c r="F91" s="42"/>
      <c r="G91" s="11">
        <v>0</v>
      </c>
    </row>
    <row r="92" spans="1:7" ht="15.75" hidden="1" x14ac:dyDescent="0.25">
      <c r="A92" s="31" t="s">
        <v>198</v>
      </c>
      <c r="B92" s="21" t="s">
        <v>441</v>
      </c>
      <c r="C92" s="42" t="s">
        <v>307</v>
      </c>
      <c r="D92" s="42" t="s">
        <v>278</v>
      </c>
      <c r="E92" s="42" t="s">
        <v>208</v>
      </c>
      <c r="F92" s="42"/>
      <c r="G92" s="11"/>
    </row>
    <row r="93" spans="1:7" ht="78.75" hidden="1" x14ac:dyDescent="0.25">
      <c r="A93" s="31" t="s">
        <v>247</v>
      </c>
      <c r="B93" s="21" t="s">
        <v>441</v>
      </c>
      <c r="C93" s="42" t="s">
        <v>307</v>
      </c>
      <c r="D93" s="42" t="s">
        <v>278</v>
      </c>
      <c r="E93" s="42" t="s">
        <v>223</v>
      </c>
      <c r="F93" s="42"/>
      <c r="G93" s="11"/>
    </row>
    <row r="94" spans="1:7" ht="63" hidden="1" x14ac:dyDescent="0.25">
      <c r="A94" s="47" t="s">
        <v>324</v>
      </c>
      <c r="B94" s="21" t="s">
        <v>441</v>
      </c>
      <c r="C94" s="42" t="s">
        <v>307</v>
      </c>
      <c r="D94" s="42" t="s">
        <v>278</v>
      </c>
      <c r="E94" s="42"/>
      <c r="F94" s="10" t="s">
        <v>725</v>
      </c>
      <c r="G94" s="11">
        <f>G89</f>
        <v>0</v>
      </c>
    </row>
    <row r="95" spans="1:7" ht="141.75" x14ac:dyDescent="0.25">
      <c r="A95" s="43" t="s">
        <v>443</v>
      </c>
      <c r="B95" s="8" t="s">
        <v>444</v>
      </c>
      <c r="C95" s="8"/>
      <c r="D95" s="8"/>
      <c r="E95" s="8"/>
      <c r="F95" s="9"/>
      <c r="G95" s="68">
        <f>G96</f>
        <v>139.35</v>
      </c>
    </row>
    <row r="96" spans="1:7" ht="15.75" x14ac:dyDescent="0.25">
      <c r="A96" s="47" t="s">
        <v>306</v>
      </c>
      <c r="B96" s="42" t="s">
        <v>444</v>
      </c>
      <c r="C96" s="42" t="s">
        <v>307</v>
      </c>
      <c r="D96" s="42"/>
      <c r="E96" s="42"/>
      <c r="F96" s="10"/>
      <c r="G96" s="11">
        <f>G97</f>
        <v>139.35</v>
      </c>
    </row>
    <row r="97" spans="1:7" ht="24.75" customHeight="1" x14ac:dyDescent="0.25">
      <c r="A97" s="47" t="s">
        <v>315</v>
      </c>
      <c r="B97" s="42" t="s">
        <v>444</v>
      </c>
      <c r="C97" s="42" t="s">
        <v>307</v>
      </c>
      <c r="D97" s="42" t="s">
        <v>278</v>
      </c>
      <c r="E97" s="42"/>
      <c r="F97" s="10"/>
      <c r="G97" s="11">
        <f>G98</f>
        <v>139.35</v>
      </c>
    </row>
    <row r="98" spans="1:7" ht="47.25" x14ac:dyDescent="0.25">
      <c r="A98" s="31" t="s">
        <v>220</v>
      </c>
      <c r="B98" s="42" t="s">
        <v>445</v>
      </c>
      <c r="C98" s="42" t="s">
        <v>307</v>
      </c>
      <c r="D98" s="42" t="s">
        <v>278</v>
      </c>
      <c r="E98" s="42"/>
      <c r="F98" s="10"/>
      <c r="G98" s="11">
        <f>G99</f>
        <v>139.35</v>
      </c>
    </row>
    <row r="99" spans="1:7" ht="47.25" x14ac:dyDescent="0.25">
      <c r="A99" s="31" t="s">
        <v>194</v>
      </c>
      <c r="B99" s="42" t="s">
        <v>445</v>
      </c>
      <c r="C99" s="42" t="s">
        <v>307</v>
      </c>
      <c r="D99" s="42" t="s">
        <v>278</v>
      </c>
      <c r="E99" s="42" t="s">
        <v>195</v>
      </c>
      <c r="F99" s="10"/>
      <c r="G99" s="11">
        <f>G100</f>
        <v>139.35</v>
      </c>
    </row>
    <row r="100" spans="1:7" ht="47.25" x14ac:dyDescent="0.25">
      <c r="A100" s="31" t="s">
        <v>196</v>
      </c>
      <c r="B100" s="42" t="s">
        <v>445</v>
      </c>
      <c r="C100" s="42" t="s">
        <v>307</v>
      </c>
      <c r="D100" s="42" t="s">
        <v>278</v>
      </c>
      <c r="E100" s="42" t="s">
        <v>197</v>
      </c>
      <c r="F100" s="10"/>
      <c r="G100" s="11">
        <f>'Прил.№4 ведомств.'!G450</f>
        <v>139.35</v>
      </c>
    </row>
    <row r="101" spans="1:7" ht="63" x14ac:dyDescent="0.25">
      <c r="A101" s="47" t="s">
        <v>324</v>
      </c>
      <c r="B101" s="42" t="s">
        <v>444</v>
      </c>
      <c r="C101" s="42" t="s">
        <v>307</v>
      </c>
      <c r="D101" s="42" t="s">
        <v>278</v>
      </c>
      <c r="E101" s="42"/>
      <c r="F101" s="10" t="s">
        <v>725</v>
      </c>
      <c r="G101" s="11">
        <f>G95</f>
        <v>139.35</v>
      </c>
    </row>
    <row r="102" spans="1:7" ht="63" x14ac:dyDescent="0.25">
      <c r="A102" s="64" t="s">
        <v>490</v>
      </c>
      <c r="B102" s="8" t="s">
        <v>470</v>
      </c>
      <c r="C102" s="8"/>
      <c r="D102" s="8"/>
      <c r="E102" s="8"/>
      <c r="F102" s="8"/>
      <c r="G102" s="68">
        <f>G103+G118+G163+G188+G210</f>
        <v>85778.599999999991</v>
      </c>
    </row>
    <row r="103" spans="1:7" ht="47.25" x14ac:dyDescent="0.25">
      <c r="A103" s="43" t="s">
        <v>471</v>
      </c>
      <c r="B103" s="8" t="s">
        <v>472</v>
      </c>
      <c r="C103" s="8"/>
      <c r="D103" s="8"/>
      <c r="E103" s="8"/>
      <c r="F103" s="8"/>
      <c r="G103" s="68">
        <f>G104</f>
        <v>72049.899999999994</v>
      </c>
    </row>
    <row r="104" spans="1:7" ht="15.75" x14ac:dyDescent="0.25">
      <c r="A104" s="31" t="s">
        <v>326</v>
      </c>
      <c r="B104" s="42" t="s">
        <v>472</v>
      </c>
      <c r="C104" s="42" t="s">
        <v>327</v>
      </c>
      <c r="D104" s="42"/>
      <c r="E104" s="42"/>
      <c r="F104" s="42"/>
      <c r="G104" s="11">
        <f>G105+G109+G113</f>
        <v>72049.899999999994</v>
      </c>
    </row>
    <row r="105" spans="1:7" ht="15.75" x14ac:dyDescent="0.25">
      <c r="A105" s="47" t="s">
        <v>468</v>
      </c>
      <c r="B105" s="42" t="s">
        <v>472</v>
      </c>
      <c r="C105" s="42" t="s">
        <v>327</v>
      </c>
      <c r="D105" s="42" t="s">
        <v>181</v>
      </c>
      <c r="E105" s="42"/>
      <c r="F105" s="42"/>
      <c r="G105" s="11">
        <f>G106</f>
        <v>16546.300000000003</v>
      </c>
    </row>
    <row r="106" spans="1:7" ht="63" x14ac:dyDescent="0.25">
      <c r="A106" s="31" t="s">
        <v>473</v>
      </c>
      <c r="B106" s="42" t="s">
        <v>474</v>
      </c>
      <c r="C106" s="42" t="s">
        <v>327</v>
      </c>
      <c r="D106" s="42" t="s">
        <v>181</v>
      </c>
      <c r="E106" s="42"/>
      <c r="F106" s="42"/>
      <c r="G106" s="11">
        <f>G107</f>
        <v>16546.300000000003</v>
      </c>
    </row>
    <row r="107" spans="1:7" ht="63" x14ac:dyDescent="0.25">
      <c r="A107" s="31" t="s">
        <v>335</v>
      </c>
      <c r="B107" s="42" t="s">
        <v>474</v>
      </c>
      <c r="C107" s="42" t="s">
        <v>327</v>
      </c>
      <c r="D107" s="42" t="s">
        <v>181</v>
      </c>
      <c r="E107" s="42" t="s">
        <v>336</v>
      </c>
      <c r="F107" s="42"/>
      <c r="G107" s="11">
        <f>G108</f>
        <v>16546.300000000003</v>
      </c>
    </row>
    <row r="108" spans="1:7" ht="15.75" x14ac:dyDescent="0.25">
      <c r="A108" s="31" t="s">
        <v>337</v>
      </c>
      <c r="B108" s="42" t="s">
        <v>474</v>
      </c>
      <c r="C108" s="42" t="s">
        <v>327</v>
      </c>
      <c r="D108" s="42" t="s">
        <v>181</v>
      </c>
      <c r="E108" s="42" t="s">
        <v>338</v>
      </c>
      <c r="F108" s="42"/>
      <c r="G108" s="7">
        <f>'Прил.№4 ведомств.'!G523</f>
        <v>16546.300000000003</v>
      </c>
    </row>
    <row r="109" spans="1:7" ht="15.75" x14ac:dyDescent="0.25">
      <c r="A109" s="31" t="s">
        <v>489</v>
      </c>
      <c r="B109" s="42" t="s">
        <v>472</v>
      </c>
      <c r="C109" s="42" t="s">
        <v>327</v>
      </c>
      <c r="D109" s="42" t="s">
        <v>276</v>
      </c>
      <c r="E109" s="42"/>
      <c r="F109" s="42"/>
      <c r="G109" s="11">
        <f>G110</f>
        <v>32735.699999999997</v>
      </c>
    </row>
    <row r="110" spans="1:7" ht="57.75" customHeight="1" x14ac:dyDescent="0.25">
      <c r="A110" s="31" t="s">
        <v>491</v>
      </c>
      <c r="B110" s="42" t="s">
        <v>492</v>
      </c>
      <c r="C110" s="42" t="s">
        <v>327</v>
      </c>
      <c r="D110" s="42" t="s">
        <v>276</v>
      </c>
      <c r="E110" s="42"/>
      <c r="F110" s="42"/>
      <c r="G110" s="11">
        <f>G111</f>
        <v>32735.699999999997</v>
      </c>
    </row>
    <row r="111" spans="1:7" ht="70.5" customHeight="1" x14ac:dyDescent="0.25">
      <c r="A111" s="31" t="s">
        <v>335</v>
      </c>
      <c r="B111" s="42" t="s">
        <v>492</v>
      </c>
      <c r="C111" s="42" t="s">
        <v>327</v>
      </c>
      <c r="D111" s="42" t="s">
        <v>276</v>
      </c>
      <c r="E111" s="42" t="s">
        <v>336</v>
      </c>
      <c r="F111" s="42"/>
      <c r="G111" s="11">
        <f>G112</f>
        <v>32735.699999999997</v>
      </c>
    </row>
    <row r="112" spans="1:7" ht="15.75" x14ac:dyDescent="0.25">
      <c r="A112" s="31" t="s">
        <v>337</v>
      </c>
      <c r="B112" s="42" t="s">
        <v>492</v>
      </c>
      <c r="C112" s="42" t="s">
        <v>327</v>
      </c>
      <c r="D112" s="42" t="s">
        <v>276</v>
      </c>
      <c r="E112" s="42" t="s">
        <v>338</v>
      </c>
      <c r="F112" s="42"/>
      <c r="G112" s="7">
        <f>'Прил.№4 ведомств.'!G562</f>
        <v>32735.699999999997</v>
      </c>
    </row>
    <row r="113" spans="1:7" ht="15.75" x14ac:dyDescent="0.25">
      <c r="A113" s="31" t="s">
        <v>328</v>
      </c>
      <c r="B113" s="42" t="s">
        <v>472</v>
      </c>
      <c r="C113" s="42" t="s">
        <v>327</v>
      </c>
      <c r="D113" s="42" t="s">
        <v>278</v>
      </c>
      <c r="E113" s="42"/>
      <c r="F113" s="42"/>
      <c r="G113" s="7">
        <f>G114</f>
        <v>22767.9</v>
      </c>
    </row>
    <row r="114" spans="1:7" ht="63" x14ac:dyDescent="0.25">
      <c r="A114" s="31" t="s">
        <v>333</v>
      </c>
      <c r="B114" s="42" t="s">
        <v>493</v>
      </c>
      <c r="C114" s="42" t="s">
        <v>327</v>
      </c>
      <c r="D114" s="42" t="s">
        <v>278</v>
      </c>
      <c r="E114" s="8"/>
      <c r="F114" s="8"/>
      <c r="G114" s="11">
        <f>G115</f>
        <v>22767.9</v>
      </c>
    </row>
    <row r="115" spans="1:7" ht="63" x14ac:dyDescent="0.25">
      <c r="A115" s="31" t="s">
        <v>335</v>
      </c>
      <c r="B115" s="42" t="s">
        <v>493</v>
      </c>
      <c r="C115" s="42" t="s">
        <v>327</v>
      </c>
      <c r="D115" s="42" t="s">
        <v>278</v>
      </c>
      <c r="E115" s="42" t="s">
        <v>336</v>
      </c>
      <c r="F115" s="42"/>
      <c r="G115" s="11">
        <f>G116</f>
        <v>22767.9</v>
      </c>
    </row>
    <row r="116" spans="1:7" ht="15.75" x14ac:dyDescent="0.25">
      <c r="A116" s="31" t="s">
        <v>337</v>
      </c>
      <c r="B116" s="42" t="s">
        <v>493</v>
      </c>
      <c r="C116" s="42" t="s">
        <v>327</v>
      </c>
      <c r="D116" s="42" t="s">
        <v>278</v>
      </c>
      <c r="E116" s="42" t="s">
        <v>338</v>
      </c>
      <c r="F116" s="42"/>
      <c r="G116" s="7">
        <f>'Прил.№4 ведомств.'!G628</f>
        <v>22767.9</v>
      </c>
    </row>
    <row r="117" spans="1:7" ht="47.25" x14ac:dyDescent="0.25">
      <c r="A117" s="31" t="s">
        <v>467</v>
      </c>
      <c r="B117" s="42" t="s">
        <v>472</v>
      </c>
      <c r="C117" s="42" t="s">
        <v>327</v>
      </c>
      <c r="D117" s="42" t="s">
        <v>278</v>
      </c>
      <c r="E117" s="42"/>
      <c r="F117" s="42" t="s">
        <v>734</v>
      </c>
      <c r="G117" s="7">
        <f>G103</f>
        <v>72049.899999999994</v>
      </c>
    </row>
    <row r="118" spans="1:7" ht="47.25" x14ac:dyDescent="0.25">
      <c r="A118" s="43" t="s">
        <v>475</v>
      </c>
      <c r="B118" s="8" t="s">
        <v>476</v>
      </c>
      <c r="C118" s="8"/>
      <c r="D118" s="8"/>
      <c r="E118" s="8"/>
      <c r="F118" s="8"/>
      <c r="G118" s="68">
        <f>G119</f>
        <v>5970.9</v>
      </c>
    </row>
    <row r="119" spans="1:7" ht="15.75" x14ac:dyDescent="0.25">
      <c r="A119" s="31" t="s">
        <v>326</v>
      </c>
      <c r="B119" s="42" t="s">
        <v>476</v>
      </c>
      <c r="C119" s="42" t="s">
        <v>327</v>
      </c>
      <c r="D119" s="42"/>
      <c r="E119" s="42"/>
      <c r="F119" s="42"/>
      <c r="G119" s="11">
        <f>G120</f>
        <v>5970.9</v>
      </c>
    </row>
    <row r="120" spans="1:7" ht="15.75" x14ac:dyDescent="0.25">
      <c r="A120" s="47" t="s">
        <v>468</v>
      </c>
      <c r="B120" s="42" t="s">
        <v>476</v>
      </c>
      <c r="C120" s="42" t="s">
        <v>327</v>
      </c>
      <c r="D120" s="42" t="s">
        <v>181</v>
      </c>
      <c r="E120" s="42"/>
      <c r="F120" s="42"/>
      <c r="G120" s="11">
        <f>G133+G130</f>
        <v>5970.9</v>
      </c>
    </row>
    <row r="121" spans="1:7" ht="57.75" hidden="1" customHeight="1" x14ac:dyDescent="0.25">
      <c r="A121" s="31" t="s">
        <v>675</v>
      </c>
      <c r="B121" s="42" t="s">
        <v>676</v>
      </c>
      <c r="C121" s="42" t="s">
        <v>327</v>
      </c>
      <c r="D121" s="42" t="s">
        <v>181</v>
      </c>
      <c r="E121" s="42"/>
      <c r="F121" s="42"/>
      <c r="G121" s="11">
        <f>G122</f>
        <v>0</v>
      </c>
    </row>
    <row r="122" spans="1:7" ht="63" hidden="1" x14ac:dyDescent="0.25">
      <c r="A122" s="31" t="s">
        <v>335</v>
      </c>
      <c r="B122" s="42" t="s">
        <v>676</v>
      </c>
      <c r="C122" s="42" t="s">
        <v>327</v>
      </c>
      <c r="D122" s="42" t="s">
        <v>181</v>
      </c>
      <c r="E122" s="42" t="s">
        <v>336</v>
      </c>
      <c r="F122" s="42"/>
      <c r="G122" s="11">
        <f>G123</f>
        <v>0</v>
      </c>
    </row>
    <row r="123" spans="1:7" ht="15.75" hidden="1" x14ac:dyDescent="0.25">
      <c r="A123" s="31" t="s">
        <v>337</v>
      </c>
      <c r="B123" s="42" t="s">
        <v>676</v>
      </c>
      <c r="C123" s="42" t="s">
        <v>327</v>
      </c>
      <c r="D123" s="42" t="s">
        <v>181</v>
      </c>
      <c r="E123" s="42" t="s">
        <v>338</v>
      </c>
      <c r="F123" s="42"/>
      <c r="G123" s="11"/>
    </row>
    <row r="124" spans="1:7" ht="47.25" hidden="1" x14ac:dyDescent="0.25">
      <c r="A124" s="31" t="s">
        <v>467</v>
      </c>
      <c r="B124" s="42" t="s">
        <v>676</v>
      </c>
      <c r="C124" s="42" t="s">
        <v>327</v>
      </c>
      <c r="D124" s="42" t="s">
        <v>181</v>
      </c>
      <c r="E124" s="42"/>
      <c r="F124" s="42" t="s">
        <v>734</v>
      </c>
      <c r="G124" s="11">
        <v>0</v>
      </c>
    </row>
    <row r="125" spans="1:7" ht="47.25" hidden="1" x14ac:dyDescent="0.25">
      <c r="A125" s="31" t="s">
        <v>341</v>
      </c>
      <c r="B125" s="42" t="s">
        <v>677</v>
      </c>
      <c r="C125" s="42" t="s">
        <v>327</v>
      </c>
      <c r="D125" s="42" t="s">
        <v>181</v>
      </c>
      <c r="E125" s="42"/>
      <c r="F125" s="42"/>
      <c r="G125" s="11">
        <f>G126</f>
        <v>0</v>
      </c>
    </row>
    <row r="126" spans="1:7" ht="63" hidden="1" x14ac:dyDescent="0.25">
      <c r="A126" s="31" t="s">
        <v>335</v>
      </c>
      <c r="B126" s="42" t="s">
        <v>677</v>
      </c>
      <c r="C126" s="42" t="s">
        <v>327</v>
      </c>
      <c r="D126" s="42" t="s">
        <v>181</v>
      </c>
      <c r="E126" s="42" t="s">
        <v>336</v>
      </c>
      <c r="F126" s="42"/>
      <c r="G126" s="11">
        <f>G127</f>
        <v>0</v>
      </c>
    </row>
    <row r="127" spans="1:7" ht="15.75" hidden="1" x14ac:dyDescent="0.25">
      <c r="A127" s="31" t="s">
        <v>337</v>
      </c>
      <c r="B127" s="42" t="s">
        <v>677</v>
      </c>
      <c r="C127" s="42" t="s">
        <v>327</v>
      </c>
      <c r="D127" s="42" t="s">
        <v>181</v>
      </c>
      <c r="E127" s="42" t="s">
        <v>338</v>
      </c>
      <c r="F127" s="42"/>
      <c r="G127" s="11"/>
    </row>
    <row r="128" spans="1:7" ht="47.25" hidden="1" x14ac:dyDescent="0.25">
      <c r="A128" s="31" t="s">
        <v>467</v>
      </c>
      <c r="B128" s="42" t="s">
        <v>677</v>
      </c>
      <c r="C128" s="42" t="s">
        <v>327</v>
      </c>
      <c r="D128" s="42" t="s">
        <v>181</v>
      </c>
      <c r="E128" s="42"/>
      <c r="F128" s="42" t="s">
        <v>734</v>
      </c>
      <c r="G128" s="11">
        <v>0</v>
      </c>
    </row>
    <row r="129" spans="1:8" ht="31.5" x14ac:dyDescent="0.25">
      <c r="A129" s="31" t="s">
        <v>343</v>
      </c>
      <c r="B129" s="42" t="s">
        <v>478</v>
      </c>
      <c r="C129" s="42" t="s">
        <v>327</v>
      </c>
      <c r="D129" s="42" t="s">
        <v>181</v>
      </c>
      <c r="E129" s="42"/>
      <c r="F129" s="42"/>
      <c r="G129" s="11">
        <f>G130</f>
        <v>1145</v>
      </c>
    </row>
    <row r="130" spans="1:8" ht="63" x14ac:dyDescent="0.25">
      <c r="A130" s="31" t="s">
        <v>335</v>
      </c>
      <c r="B130" s="42" t="s">
        <v>478</v>
      </c>
      <c r="C130" s="42" t="s">
        <v>327</v>
      </c>
      <c r="D130" s="42" t="s">
        <v>181</v>
      </c>
      <c r="E130" s="42" t="s">
        <v>336</v>
      </c>
      <c r="F130" s="42"/>
      <c r="G130" s="11">
        <f>G131</f>
        <v>1145</v>
      </c>
    </row>
    <row r="131" spans="1:8" ht="15.75" x14ac:dyDescent="0.25">
      <c r="A131" s="31" t="s">
        <v>337</v>
      </c>
      <c r="B131" s="42" t="s">
        <v>478</v>
      </c>
      <c r="C131" s="42" t="s">
        <v>327</v>
      </c>
      <c r="D131" s="42" t="s">
        <v>181</v>
      </c>
      <c r="E131" s="42" t="s">
        <v>338</v>
      </c>
      <c r="F131" s="42"/>
      <c r="G131" s="196">
        <f>'Прил.№4 ведомств.'!G530</f>
        <v>1145</v>
      </c>
      <c r="H131" s="197" t="s">
        <v>865</v>
      </c>
    </row>
    <row r="132" spans="1:8" ht="47.25" hidden="1" x14ac:dyDescent="0.25">
      <c r="A132" s="31" t="s">
        <v>467</v>
      </c>
      <c r="B132" s="42" t="s">
        <v>478</v>
      </c>
      <c r="C132" s="42" t="s">
        <v>327</v>
      </c>
      <c r="D132" s="42" t="s">
        <v>181</v>
      </c>
      <c r="E132" s="42"/>
      <c r="F132" s="42" t="s">
        <v>734</v>
      </c>
      <c r="G132" s="11"/>
    </row>
    <row r="133" spans="1:8" ht="63" x14ac:dyDescent="0.25">
      <c r="A133" s="31" t="s">
        <v>479</v>
      </c>
      <c r="B133" s="42" t="s">
        <v>480</v>
      </c>
      <c r="C133" s="42" t="s">
        <v>327</v>
      </c>
      <c r="D133" s="42" t="s">
        <v>181</v>
      </c>
      <c r="E133" s="42"/>
      <c r="F133" s="42"/>
      <c r="G133" s="11">
        <f>G134</f>
        <v>4825.8999999999996</v>
      </c>
    </row>
    <row r="134" spans="1:8" ht="65.25" customHeight="1" x14ac:dyDescent="0.25">
      <c r="A134" s="31" t="s">
        <v>335</v>
      </c>
      <c r="B134" s="42" t="s">
        <v>480</v>
      </c>
      <c r="C134" s="42" t="s">
        <v>327</v>
      </c>
      <c r="D134" s="42" t="s">
        <v>181</v>
      </c>
      <c r="E134" s="42" t="s">
        <v>336</v>
      </c>
      <c r="F134" s="42"/>
      <c r="G134" s="11">
        <f>G135</f>
        <v>4825.8999999999996</v>
      </c>
    </row>
    <row r="135" spans="1:8" ht="15.75" x14ac:dyDescent="0.25">
      <c r="A135" s="31" t="s">
        <v>337</v>
      </c>
      <c r="B135" s="42" t="s">
        <v>480</v>
      </c>
      <c r="C135" s="42" t="s">
        <v>327</v>
      </c>
      <c r="D135" s="42" t="s">
        <v>181</v>
      </c>
      <c r="E135" s="42" t="s">
        <v>338</v>
      </c>
      <c r="F135" s="42"/>
      <c r="G135" s="7">
        <f>'Прил.№4 ведомств.'!G533</f>
        <v>4825.8999999999996</v>
      </c>
    </row>
    <row r="136" spans="1:8" ht="47.25" x14ac:dyDescent="0.25">
      <c r="A136" s="31" t="s">
        <v>467</v>
      </c>
      <c r="B136" s="42" t="s">
        <v>476</v>
      </c>
      <c r="C136" s="42" t="s">
        <v>327</v>
      </c>
      <c r="D136" s="42" t="s">
        <v>181</v>
      </c>
      <c r="E136" s="42"/>
      <c r="F136" s="42" t="s">
        <v>734</v>
      </c>
      <c r="G136" s="7">
        <f>G118+G131</f>
        <v>7115.9</v>
      </c>
    </row>
    <row r="137" spans="1:8" ht="31.5" hidden="1" x14ac:dyDescent="0.25">
      <c r="A137" s="31" t="s">
        <v>347</v>
      </c>
      <c r="B137" s="42" t="s">
        <v>680</v>
      </c>
      <c r="C137" s="42" t="s">
        <v>327</v>
      </c>
      <c r="D137" s="42" t="s">
        <v>181</v>
      </c>
      <c r="E137" s="42"/>
      <c r="F137" s="42"/>
      <c r="G137" s="11">
        <f>G138</f>
        <v>0</v>
      </c>
    </row>
    <row r="138" spans="1:8" ht="63" hidden="1" x14ac:dyDescent="0.25">
      <c r="A138" s="31" t="s">
        <v>335</v>
      </c>
      <c r="B138" s="42" t="s">
        <v>680</v>
      </c>
      <c r="C138" s="42" t="s">
        <v>327</v>
      </c>
      <c r="D138" s="42" t="s">
        <v>181</v>
      </c>
      <c r="E138" s="42" t="s">
        <v>336</v>
      </c>
      <c r="F138" s="42"/>
      <c r="G138" s="11">
        <f>G139</f>
        <v>0</v>
      </c>
    </row>
    <row r="139" spans="1:8" ht="15.75" hidden="1" x14ac:dyDescent="0.25">
      <c r="A139" s="31" t="s">
        <v>337</v>
      </c>
      <c r="B139" s="42" t="s">
        <v>680</v>
      </c>
      <c r="C139" s="42" t="s">
        <v>327</v>
      </c>
      <c r="D139" s="42" t="s">
        <v>181</v>
      </c>
      <c r="E139" s="42" t="s">
        <v>338</v>
      </c>
      <c r="F139" s="42"/>
      <c r="G139" s="11"/>
    </row>
    <row r="140" spans="1:8" ht="47.25" hidden="1" x14ac:dyDescent="0.25">
      <c r="A140" s="31" t="s">
        <v>467</v>
      </c>
      <c r="B140" s="42" t="s">
        <v>680</v>
      </c>
      <c r="C140" s="42" t="s">
        <v>327</v>
      </c>
      <c r="D140" s="42" t="s">
        <v>181</v>
      </c>
      <c r="E140" s="42"/>
      <c r="F140" s="42" t="s">
        <v>734</v>
      </c>
      <c r="G140" s="11">
        <v>0</v>
      </c>
    </row>
    <row r="141" spans="1:8" ht="47.25" x14ac:dyDescent="0.25">
      <c r="A141" s="43" t="s">
        <v>494</v>
      </c>
      <c r="B141" s="8" t="s">
        <v>495</v>
      </c>
      <c r="C141" s="8"/>
      <c r="D141" s="8"/>
      <c r="E141" s="8"/>
      <c r="F141" s="8"/>
      <c r="G141" s="4">
        <f>G162</f>
        <v>4273</v>
      </c>
    </row>
    <row r="142" spans="1:8" ht="70.5" hidden="1" customHeight="1" x14ac:dyDescent="0.25">
      <c r="A142" s="31" t="s">
        <v>675</v>
      </c>
      <c r="B142" s="42" t="s">
        <v>681</v>
      </c>
      <c r="C142" s="42" t="s">
        <v>327</v>
      </c>
      <c r="D142" s="42" t="s">
        <v>276</v>
      </c>
      <c r="E142" s="42"/>
      <c r="F142" s="42"/>
      <c r="G142" s="11">
        <f>G143</f>
        <v>0</v>
      </c>
    </row>
    <row r="143" spans="1:8" ht="63" hidden="1" x14ac:dyDescent="0.25">
      <c r="A143" s="31" t="s">
        <v>335</v>
      </c>
      <c r="B143" s="42" t="s">
        <v>681</v>
      </c>
      <c r="C143" s="42" t="s">
        <v>327</v>
      </c>
      <c r="D143" s="42" t="s">
        <v>276</v>
      </c>
      <c r="E143" s="42" t="s">
        <v>336</v>
      </c>
      <c r="F143" s="42"/>
      <c r="G143" s="11">
        <f>G145</f>
        <v>0</v>
      </c>
    </row>
    <row r="144" spans="1:8" ht="18.75" hidden="1" customHeight="1" x14ac:dyDescent="0.25">
      <c r="A144" s="31" t="s">
        <v>337</v>
      </c>
      <c r="B144" s="42" t="s">
        <v>681</v>
      </c>
      <c r="C144" s="42" t="s">
        <v>327</v>
      </c>
      <c r="D144" s="42" t="s">
        <v>276</v>
      </c>
      <c r="E144" s="42" t="s">
        <v>338</v>
      </c>
      <c r="F144" s="42"/>
      <c r="G144" s="11"/>
    </row>
    <row r="145" spans="1:7" ht="47.25" hidden="1" x14ac:dyDescent="0.25">
      <c r="A145" s="31" t="s">
        <v>467</v>
      </c>
      <c r="B145" s="42" t="s">
        <v>681</v>
      </c>
      <c r="C145" s="42" t="s">
        <v>327</v>
      </c>
      <c r="D145" s="42" t="s">
        <v>276</v>
      </c>
      <c r="E145" s="42"/>
      <c r="F145" s="42" t="s">
        <v>734</v>
      </c>
      <c r="G145" s="11"/>
    </row>
    <row r="146" spans="1:7" ht="78.75" hidden="1" x14ac:dyDescent="0.25">
      <c r="A146" s="26" t="s">
        <v>496</v>
      </c>
      <c r="B146" s="42" t="s">
        <v>497</v>
      </c>
      <c r="C146" s="42" t="s">
        <v>327</v>
      </c>
      <c r="D146" s="42" t="s">
        <v>276</v>
      </c>
      <c r="E146" s="42"/>
      <c r="F146" s="42"/>
      <c r="G146" s="11">
        <f>G147</f>
        <v>0</v>
      </c>
    </row>
    <row r="147" spans="1:7" ht="63" hidden="1" x14ac:dyDescent="0.25">
      <c r="A147" s="31" t="s">
        <v>335</v>
      </c>
      <c r="B147" s="42" t="s">
        <v>497</v>
      </c>
      <c r="C147" s="42" t="s">
        <v>327</v>
      </c>
      <c r="D147" s="42" t="s">
        <v>276</v>
      </c>
      <c r="E147" s="42" t="s">
        <v>336</v>
      </c>
      <c r="F147" s="42"/>
      <c r="G147" s="11">
        <f>G148</f>
        <v>0</v>
      </c>
    </row>
    <row r="148" spans="1:7" ht="15.75" hidden="1" x14ac:dyDescent="0.25">
      <c r="A148" s="31" t="s">
        <v>337</v>
      </c>
      <c r="B148" s="42" t="s">
        <v>497</v>
      </c>
      <c r="C148" s="42" t="s">
        <v>327</v>
      </c>
      <c r="D148" s="42" t="s">
        <v>276</v>
      </c>
      <c r="E148" s="42" t="s">
        <v>338</v>
      </c>
      <c r="F148" s="42"/>
      <c r="G148" s="11"/>
    </row>
    <row r="149" spans="1:7" ht="54.75" hidden="1" customHeight="1" x14ac:dyDescent="0.25">
      <c r="A149" s="31" t="s">
        <v>467</v>
      </c>
      <c r="B149" s="42" t="s">
        <v>497</v>
      </c>
      <c r="C149" s="42" t="s">
        <v>327</v>
      </c>
      <c r="D149" s="42" t="s">
        <v>276</v>
      </c>
      <c r="E149" s="42"/>
      <c r="F149" s="42" t="s">
        <v>734</v>
      </c>
      <c r="G149" s="11">
        <f>G146</f>
        <v>0</v>
      </c>
    </row>
    <row r="150" spans="1:7" ht="31.5" hidden="1" x14ac:dyDescent="0.25">
      <c r="A150" s="26" t="s">
        <v>498</v>
      </c>
      <c r="B150" s="21" t="s">
        <v>499</v>
      </c>
      <c r="C150" s="42" t="s">
        <v>327</v>
      </c>
      <c r="D150" s="42" t="s">
        <v>276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335</v>
      </c>
      <c r="B151" s="21" t="s">
        <v>499</v>
      </c>
      <c r="C151" s="42" t="s">
        <v>327</v>
      </c>
      <c r="D151" s="42" t="s">
        <v>276</v>
      </c>
      <c r="E151" s="42" t="s">
        <v>336</v>
      </c>
      <c r="F151" s="42"/>
      <c r="G151" s="11">
        <f>G152</f>
        <v>0</v>
      </c>
    </row>
    <row r="152" spans="1:7" ht="15.75" hidden="1" x14ac:dyDescent="0.25">
      <c r="A152" s="26" t="s">
        <v>337</v>
      </c>
      <c r="B152" s="21" t="s">
        <v>499</v>
      </c>
      <c r="C152" s="42" t="s">
        <v>327</v>
      </c>
      <c r="D152" s="42" t="s">
        <v>276</v>
      </c>
      <c r="E152" s="42" t="s">
        <v>338</v>
      </c>
      <c r="F152" s="42"/>
      <c r="G152" s="11"/>
    </row>
    <row r="153" spans="1:7" ht="47.25" hidden="1" x14ac:dyDescent="0.25">
      <c r="A153" s="31" t="s">
        <v>467</v>
      </c>
      <c r="B153" s="21" t="s">
        <v>499</v>
      </c>
      <c r="C153" s="42" t="s">
        <v>327</v>
      </c>
      <c r="D153" s="42" t="s">
        <v>276</v>
      </c>
      <c r="E153" s="42"/>
      <c r="F153" s="42" t="s">
        <v>734</v>
      </c>
      <c r="G153" s="11">
        <f>G150</f>
        <v>0</v>
      </c>
    </row>
    <row r="154" spans="1:7" ht="63" hidden="1" x14ac:dyDescent="0.25">
      <c r="A154" s="26" t="s">
        <v>502</v>
      </c>
      <c r="B154" s="21" t="s">
        <v>503</v>
      </c>
      <c r="C154" s="42" t="s">
        <v>327</v>
      </c>
      <c r="D154" s="42" t="s">
        <v>276</v>
      </c>
      <c r="E154" s="42"/>
      <c r="F154" s="42"/>
      <c r="G154" s="11">
        <f>G155</f>
        <v>0</v>
      </c>
    </row>
    <row r="155" spans="1:7" ht="63" hidden="1" x14ac:dyDescent="0.25">
      <c r="A155" s="31" t="s">
        <v>335</v>
      </c>
      <c r="B155" s="21" t="s">
        <v>503</v>
      </c>
      <c r="C155" s="42" t="s">
        <v>327</v>
      </c>
      <c r="D155" s="42" t="s">
        <v>276</v>
      </c>
      <c r="E155" s="42" t="s">
        <v>336</v>
      </c>
      <c r="F155" s="42"/>
      <c r="G155" s="11">
        <f>G156</f>
        <v>0</v>
      </c>
    </row>
    <row r="156" spans="1:7" ht="15.75" hidden="1" x14ac:dyDescent="0.25">
      <c r="A156" s="31" t="s">
        <v>337</v>
      </c>
      <c r="B156" s="21" t="s">
        <v>503</v>
      </c>
      <c r="C156" s="42" t="s">
        <v>327</v>
      </c>
      <c r="D156" s="42" t="s">
        <v>276</v>
      </c>
      <c r="E156" s="42" t="s">
        <v>338</v>
      </c>
      <c r="F156" s="42"/>
      <c r="G156" s="11"/>
    </row>
    <row r="157" spans="1:7" ht="47.25" hidden="1" x14ac:dyDescent="0.25">
      <c r="A157" s="31" t="s">
        <v>467</v>
      </c>
      <c r="B157" s="21" t="s">
        <v>503</v>
      </c>
      <c r="C157" s="42" t="s">
        <v>327</v>
      </c>
      <c r="D157" s="42" t="s">
        <v>276</v>
      </c>
      <c r="E157" s="42"/>
      <c r="F157" s="42" t="s">
        <v>734</v>
      </c>
      <c r="G157" s="11">
        <f>G156</f>
        <v>0</v>
      </c>
    </row>
    <row r="158" spans="1:7" ht="47.25" hidden="1" x14ac:dyDescent="0.25">
      <c r="A158" s="26" t="s">
        <v>684</v>
      </c>
      <c r="B158" s="21" t="s">
        <v>506</v>
      </c>
      <c r="C158" s="42" t="s">
        <v>327</v>
      </c>
      <c r="D158" s="42" t="s">
        <v>276</v>
      </c>
      <c r="E158" s="42"/>
      <c r="F158" s="42"/>
      <c r="G158" s="11">
        <f>G159</f>
        <v>0</v>
      </c>
    </row>
    <row r="159" spans="1:7" ht="63" hidden="1" x14ac:dyDescent="0.25">
      <c r="A159" s="26" t="s">
        <v>335</v>
      </c>
      <c r="B159" s="21" t="s">
        <v>506</v>
      </c>
      <c r="C159" s="42" t="s">
        <v>327</v>
      </c>
      <c r="D159" s="42" t="s">
        <v>276</v>
      </c>
      <c r="E159" s="42" t="s">
        <v>336</v>
      </c>
      <c r="F159" s="42"/>
      <c r="G159" s="11">
        <f>G160</f>
        <v>0</v>
      </c>
    </row>
    <row r="160" spans="1:7" ht="15.75" hidden="1" x14ac:dyDescent="0.25">
      <c r="A160" s="26" t="s">
        <v>337</v>
      </c>
      <c r="B160" s="21" t="s">
        <v>506</v>
      </c>
      <c r="C160" s="42" t="s">
        <v>327</v>
      </c>
      <c r="D160" s="42" t="s">
        <v>276</v>
      </c>
      <c r="E160" s="42" t="s">
        <v>338</v>
      </c>
      <c r="F160" s="42"/>
      <c r="G160" s="11"/>
    </row>
    <row r="161" spans="1:8" ht="47.25" hidden="1" x14ac:dyDescent="0.25">
      <c r="A161" s="31" t="s">
        <v>467</v>
      </c>
      <c r="B161" s="21" t="s">
        <v>506</v>
      </c>
      <c r="C161" s="42" t="s">
        <v>327</v>
      </c>
      <c r="D161" s="42" t="s">
        <v>276</v>
      </c>
      <c r="E161" s="42"/>
      <c r="F161" s="42" t="s">
        <v>734</v>
      </c>
      <c r="G161" s="11">
        <f>G159</f>
        <v>0</v>
      </c>
    </row>
    <row r="162" spans="1:8" ht="15.75" x14ac:dyDescent="0.25">
      <c r="A162" s="31" t="s">
        <v>326</v>
      </c>
      <c r="B162" s="42" t="s">
        <v>495</v>
      </c>
      <c r="C162" s="42" t="s">
        <v>327</v>
      </c>
      <c r="D162" s="42"/>
      <c r="E162" s="42"/>
      <c r="F162" s="42"/>
      <c r="G162" s="11">
        <f>G163</f>
        <v>4273</v>
      </c>
    </row>
    <row r="163" spans="1:8" ht="15.75" x14ac:dyDescent="0.25">
      <c r="A163" s="31" t="s">
        <v>489</v>
      </c>
      <c r="B163" s="42" t="s">
        <v>495</v>
      </c>
      <c r="C163" s="42" t="s">
        <v>327</v>
      </c>
      <c r="D163" s="42" t="s">
        <v>276</v>
      </c>
      <c r="E163" s="42"/>
      <c r="F163" s="42"/>
      <c r="G163" s="11">
        <f>G164+G167+G173+G170+G176</f>
        <v>4273</v>
      </c>
    </row>
    <row r="164" spans="1:8" ht="78.75" x14ac:dyDescent="0.25">
      <c r="A164" s="31" t="s">
        <v>683</v>
      </c>
      <c r="B164" s="21" t="s">
        <v>501</v>
      </c>
      <c r="C164" s="42" t="s">
        <v>327</v>
      </c>
      <c r="D164" s="42" t="s">
        <v>276</v>
      </c>
      <c r="E164" s="42"/>
      <c r="F164" s="42"/>
      <c r="G164" s="11">
        <f>G165</f>
        <v>2690</v>
      </c>
    </row>
    <row r="165" spans="1:8" ht="63" x14ac:dyDescent="0.25">
      <c r="A165" s="31" t="s">
        <v>335</v>
      </c>
      <c r="B165" s="21" t="s">
        <v>501</v>
      </c>
      <c r="C165" s="42" t="s">
        <v>327</v>
      </c>
      <c r="D165" s="42" t="s">
        <v>276</v>
      </c>
      <c r="E165" s="42" t="s">
        <v>336</v>
      </c>
      <c r="F165" s="42"/>
      <c r="G165" s="11">
        <f>G166</f>
        <v>2690</v>
      </c>
    </row>
    <row r="166" spans="1:8" ht="24" customHeight="1" x14ac:dyDescent="0.25">
      <c r="A166" s="31" t="s">
        <v>337</v>
      </c>
      <c r="B166" s="21" t="s">
        <v>501</v>
      </c>
      <c r="C166" s="42" t="s">
        <v>327</v>
      </c>
      <c r="D166" s="42" t="s">
        <v>276</v>
      </c>
      <c r="E166" s="42" t="s">
        <v>338</v>
      </c>
      <c r="F166" s="42"/>
      <c r="G166" s="7">
        <f>'Прил.№4 ведомств.'!G572</f>
        <v>2690</v>
      </c>
    </row>
    <row r="167" spans="1:8" ht="63" x14ac:dyDescent="0.25">
      <c r="A167" s="26" t="s">
        <v>502</v>
      </c>
      <c r="B167" s="21" t="s">
        <v>503</v>
      </c>
      <c r="C167" s="42" t="s">
        <v>327</v>
      </c>
      <c r="D167" s="42" t="s">
        <v>276</v>
      </c>
      <c r="E167" s="42"/>
      <c r="F167" s="42"/>
      <c r="G167" s="7">
        <f>G168</f>
        <v>320</v>
      </c>
    </row>
    <row r="168" spans="1:8" ht="63" x14ac:dyDescent="0.25">
      <c r="A168" s="26" t="s">
        <v>335</v>
      </c>
      <c r="B168" s="21" t="s">
        <v>503</v>
      </c>
      <c r="C168" s="42" t="s">
        <v>327</v>
      </c>
      <c r="D168" s="42" t="s">
        <v>276</v>
      </c>
      <c r="E168" s="42" t="s">
        <v>336</v>
      </c>
      <c r="F168" s="42"/>
      <c r="G168" s="7">
        <f>G169</f>
        <v>320</v>
      </c>
    </row>
    <row r="169" spans="1:8" ht="15.75" x14ac:dyDescent="0.25">
      <c r="A169" s="26" t="s">
        <v>337</v>
      </c>
      <c r="B169" s="21" t="s">
        <v>503</v>
      </c>
      <c r="C169" s="42" t="s">
        <v>327</v>
      </c>
      <c r="D169" s="42" t="s">
        <v>276</v>
      </c>
      <c r="E169" s="42" t="s">
        <v>338</v>
      </c>
      <c r="F169" s="42"/>
      <c r="G169" s="7">
        <f>'Прил.№4 ведомств.'!G575</f>
        <v>320</v>
      </c>
    </row>
    <row r="170" spans="1:8" ht="47.25" x14ac:dyDescent="0.25">
      <c r="A170" s="26" t="s">
        <v>341</v>
      </c>
      <c r="B170" s="42" t="s">
        <v>506</v>
      </c>
      <c r="C170" s="42" t="s">
        <v>327</v>
      </c>
      <c r="D170" s="42" t="s">
        <v>276</v>
      </c>
      <c r="E170" s="42"/>
      <c r="F170" s="42"/>
      <c r="G170" s="7">
        <f>G171</f>
        <v>841</v>
      </c>
    </row>
    <row r="171" spans="1:8" ht="63" x14ac:dyDescent="0.25">
      <c r="A171" s="26" t="s">
        <v>335</v>
      </c>
      <c r="B171" s="42" t="s">
        <v>506</v>
      </c>
      <c r="C171" s="42" t="s">
        <v>327</v>
      </c>
      <c r="D171" s="42" t="s">
        <v>276</v>
      </c>
      <c r="E171" s="42" t="s">
        <v>336</v>
      </c>
      <c r="F171" s="42"/>
      <c r="G171" s="7">
        <f>G172</f>
        <v>841</v>
      </c>
    </row>
    <row r="172" spans="1:8" ht="15.75" x14ac:dyDescent="0.25">
      <c r="A172" s="26" t="s">
        <v>337</v>
      </c>
      <c r="B172" s="42" t="s">
        <v>506</v>
      </c>
      <c r="C172" s="42" t="s">
        <v>327</v>
      </c>
      <c r="D172" s="42" t="s">
        <v>276</v>
      </c>
      <c r="E172" s="42" t="s">
        <v>338</v>
      </c>
      <c r="F172" s="42"/>
      <c r="G172" s="7">
        <f>'Прил.№4 ведомств.'!G581</f>
        <v>841</v>
      </c>
      <c r="H172" s="139"/>
    </row>
    <row r="173" spans="1:8" ht="47.25" x14ac:dyDescent="0.25">
      <c r="A173" s="31" t="s">
        <v>345</v>
      </c>
      <c r="B173" s="42" t="s">
        <v>508</v>
      </c>
      <c r="C173" s="42" t="s">
        <v>327</v>
      </c>
      <c r="D173" s="42" t="s">
        <v>276</v>
      </c>
      <c r="E173" s="42"/>
      <c r="F173" s="42"/>
      <c r="G173" s="11">
        <f>G174</f>
        <v>192.6</v>
      </c>
    </row>
    <row r="174" spans="1:8" ht="63" x14ac:dyDescent="0.25">
      <c r="A174" s="31" t="s">
        <v>335</v>
      </c>
      <c r="B174" s="42" t="s">
        <v>508</v>
      </c>
      <c r="C174" s="42" t="s">
        <v>327</v>
      </c>
      <c r="D174" s="42" t="s">
        <v>276</v>
      </c>
      <c r="E174" s="42" t="s">
        <v>336</v>
      </c>
      <c r="F174" s="42"/>
      <c r="G174" s="11">
        <f>G175</f>
        <v>192.6</v>
      </c>
    </row>
    <row r="175" spans="1:8" ht="26.25" customHeight="1" x14ac:dyDescent="0.25">
      <c r="A175" s="31" t="s">
        <v>337</v>
      </c>
      <c r="B175" s="42" t="s">
        <v>508</v>
      </c>
      <c r="C175" s="42" t="s">
        <v>327</v>
      </c>
      <c r="D175" s="42" t="s">
        <v>276</v>
      </c>
      <c r="E175" s="42" t="s">
        <v>338</v>
      </c>
      <c r="F175" s="42"/>
      <c r="G175" s="11">
        <f>'Прил.№4 ведомств.'!G587</f>
        <v>192.6</v>
      </c>
    </row>
    <row r="176" spans="1:8" ht="31.5" x14ac:dyDescent="0.25">
      <c r="A176" s="31" t="s">
        <v>347</v>
      </c>
      <c r="B176" s="42" t="s">
        <v>509</v>
      </c>
      <c r="C176" s="42" t="s">
        <v>327</v>
      </c>
      <c r="D176" s="42" t="s">
        <v>276</v>
      </c>
      <c r="E176" s="42"/>
      <c r="F176" s="42"/>
      <c r="G176" s="11">
        <f>G177</f>
        <v>229.4</v>
      </c>
    </row>
    <row r="177" spans="1:7" ht="63" x14ac:dyDescent="0.25">
      <c r="A177" s="31" t="s">
        <v>335</v>
      </c>
      <c r="B177" s="42" t="s">
        <v>509</v>
      </c>
      <c r="C177" s="42" t="s">
        <v>327</v>
      </c>
      <c r="D177" s="42" t="s">
        <v>276</v>
      </c>
      <c r="E177" s="42" t="s">
        <v>336</v>
      </c>
      <c r="F177" s="42"/>
      <c r="G177" s="11">
        <f>G178</f>
        <v>229.4</v>
      </c>
    </row>
    <row r="178" spans="1:7" ht="26.25" customHeight="1" x14ac:dyDescent="0.25">
      <c r="A178" s="31" t="s">
        <v>337</v>
      </c>
      <c r="B178" s="42" t="s">
        <v>509</v>
      </c>
      <c r="C178" s="42" t="s">
        <v>327</v>
      </c>
      <c r="D178" s="42" t="s">
        <v>276</v>
      </c>
      <c r="E178" s="42" t="s">
        <v>338</v>
      </c>
      <c r="F178" s="42"/>
      <c r="G178" s="11">
        <f>'Прил.№4 ведомств.'!G590</f>
        <v>229.4</v>
      </c>
    </row>
    <row r="179" spans="1:7" ht="47.25" x14ac:dyDescent="0.25">
      <c r="A179" s="31" t="s">
        <v>467</v>
      </c>
      <c r="B179" s="42" t="s">
        <v>495</v>
      </c>
      <c r="C179" s="42" t="s">
        <v>327</v>
      </c>
      <c r="D179" s="42" t="s">
        <v>276</v>
      </c>
      <c r="E179" s="42"/>
      <c r="F179" s="42" t="s">
        <v>734</v>
      </c>
      <c r="G179" s="11">
        <f>G141</f>
        <v>4273</v>
      </c>
    </row>
    <row r="180" spans="1:7" ht="31.5" hidden="1" x14ac:dyDescent="0.25">
      <c r="A180" s="31" t="s">
        <v>347</v>
      </c>
      <c r="B180" s="42" t="s">
        <v>685</v>
      </c>
      <c r="C180" s="42" t="s">
        <v>327</v>
      </c>
      <c r="D180" s="42" t="s">
        <v>276</v>
      </c>
      <c r="E180" s="42"/>
      <c r="F180" s="42"/>
      <c r="G180" s="11">
        <f>G181</f>
        <v>0</v>
      </c>
    </row>
    <row r="181" spans="1:7" ht="63" hidden="1" x14ac:dyDescent="0.25">
      <c r="A181" s="31" t="s">
        <v>335</v>
      </c>
      <c r="B181" s="42" t="s">
        <v>685</v>
      </c>
      <c r="C181" s="42" t="s">
        <v>327</v>
      </c>
      <c r="D181" s="42" t="s">
        <v>276</v>
      </c>
      <c r="E181" s="42" t="s">
        <v>336</v>
      </c>
      <c r="F181" s="42"/>
      <c r="G181" s="11">
        <f>G182</f>
        <v>0</v>
      </c>
    </row>
    <row r="182" spans="1:7" ht="15.75" hidden="1" x14ac:dyDescent="0.25">
      <c r="A182" s="31" t="s">
        <v>337</v>
      </c>
      <c r="B182" s="42" t="s">
        <v>685</v>
      </c>
      <c r="C182" s="42" t="s">
        <v>327</v>
      </c>
      <c r="D182" s="42" t="s">
        <v>276</v>
      </c>
      <c r="E182" s="42" t="s">
        <v>338</v>
      </c>
      <c r="F182" s="42"/>
      <c r="G182" s="11"/>
    </row>
    <row r="183" spans="1:7" ht="47.25" hidden="1" x14ac:dyDescent="0.25">
      <c r="A183" s="31" t="s">
        <v>467</v>
      </c>
      <c r="B183" s="42" t="s">
        <v>685</v>
      </c>
      <c r="C183" s="42" t="s">
        <v>327</v>
      </c>
      <c r="D183" s="42" t="s">
        <v>276</v>
      </c>
      <c r="E183" s="42"/>
      <c r="F183" s="42" t="s">
        <v>734</v>
      </c>
      <c r="G183" s="11">
        <v>0</v>
      </c>
    </row>
    <row r="184" spans="1:7" ht="47.25" hidden="1" x14ac:dyDescent="0.25">
      <c r="A184" s="31" t="s">
        <v>735</v>
      </c>
      <c r="B184" s="42" t="s">
        <v>687</v>
      </c>
      <c r="C184" s="42" t="s">
        <v>327</v>
      </c>
      <c r="D184" s="42" t="s">
        <v>276</v>
      </c>
      <c r="E184" s="42"/>
      <c r="F184" s="42"/>
      <c r="G184" s="11">
        <f>G185</f>
        <v>0</v>
      </c>
    </row>
    <row r="185" spans="1:7" ht="63" hidden="1" x14ac:dyDescent="0.25">
      <c r="A185" s="31" t="s">
        <v>335</v>
      </c>
      <c r="B185" s="42" t="s">
        <v>687</v>
      </c>
      <c r="C185" s="42" t="s">
        <v>327</v>
      </c>
      <c r="D185" s="42" t="s">
        <v>276</v>
      </c>
      <c r="E185" s="42" t="s">
        <v>336</v>
      </c>
      <c r="F185" s="42"/>
      <c r="G185" s="11">
        <f>G186</f>
        <v>0</v>
      </c>
    </row>
    <row r="186" spans="1:7" ht="15.75" hidden="1" x14ac:dyDescent="0.25">
      <c r="A186" s="31" t="s">
        <v>337</v>
      </c>
      <c r="B186" s="42" t="s">
        <v>687</v>
      </c>
      <c r="C186" s="42" t="s">
        <v>327</v>
      </c>
      <c r="D186" s="42" t="s">
        <v>276</v>
      </c>
      <c r="E186" s="42" t="s">
        <v>338</v>
      </c>
      <c r="F186" s="42"/>
      <c r="G186" s="11"/>
    </row>
    <row r="187" spans="1:7" ht="47.25" hidden="1" x14ac:dyDescent="0.25">
      <c r="A187" s="31" t="s">
        <v>467</v>
      </c>
      <c r="B187" s="42" t="s">
        <v>687</v>
      </c>
      <c r="C187" s="42" t="s">
        <v>327</v>
      </c>
      <c r="D187" s="42" t="s">
        <v>276</v>
      </c>
      <c r="E187" s="42"/>
      <c r="F187" s="42" t="s">
        <v>734</v>
      </c>
      <c r="G187" s="11">
        <v>0</v>
      </c>
    </row>
    <row r="188" spans="1:7" ht="45.75" customHeight="1" x14ac:dyDescent="0.25">
      <c r="A188" s="43" t="s">
        <v>510</v>
      </c>
      <c r="B188" s="8" t="s">
        <v>511</v>
      </c>
      <c r="C188" s="8"/>
      <c r="D188" s="8"/>
      <c r="E188" s="8"/>
      <c r="F188" s="8"/>
      <c r="G188" s="68">
        <f>G189</f>
        <v>0</v>
      </c>
    </row>
    <row r="189" spans="1:7" ht="21" customHeight="1" x14ac:dyDescent="0.25">
      <c r="A189" s="31" t="s">
        <v>326</v>
      </c>
      <c r="B189" s="42" t="s">
        <v>511</v>
      </c>
      <c r="C189" s="42" t="s">
        <v>327</v>
      </c>
      <c r="D189" s="42"/>
      <c r="E189" s="42"/>
      <c r="F189" s="42"/>
      <c r="G189" s="11">
        <f>G190</f>
        <v>0</v>
      </c>
    </row>
    <row r="190" spans="1:7" ht="22.5" customHeight="1" x14ac:dyDescent="0.25">
      <c r="A190" s="31" t="s">
        <v>328</v>
      </c>
      <c r="B190" s="42" t="s">
        <v>511</v>
      </c>
      <c r="C190" s="42" t="s">
        <v>327</v>
      </c>
      <c r="D190" s="42" t="s">
        <v>278</v>
      </c>
      <c r="E190" s="42"/>
      <c r="F190" s="42"/>
      <c r="G190" s="11">
        <f>G191</f>
        <v>0</v>
      </c>
    </row>
    <row r="191" spans="1:7" ht="31.5" x14ac:dyDescent="0.25">
      <c r="A191" s="47" t="s">
        <v>832</v>
      </c>
      <c r="B191" s="21" t="s">
        <v>833</v>
      </c>
      <c r="C191" s="42" t="s">
        <v>327</v>
      </c>
      <c r="D191" s="42" t="s">
        <v>278</v>
      </c>
      <c r="E191" s="42"/>
      <c r="F191" s="42"/>
      <c r="G191" s="11">
        <f>G192</f>
        <v>0</v>
      </c>
    </row>
    <row r="192" spans="1:7" ht="63" x14ac:dyDescent="0.25">
      <c r="A192" s="31" t="s">
        <v>335</v>
      </c>
      <c r="B192" s="21" t="s">
        <v>833</v>
      </c>
      <c r="C192" s="42" t="s">
        <v>327</v>
      </c>
      <c r="D192" s="42" t="s">
        <v>278</v>
      </c>
      <c r="E192" s="42" t="s">
        <v>336</v>
      </c>
      <c r="F192" s="42"/>
      <c r="G192" s="11">
        <f>G193</f>
        <v>0</v>
      </c>
    </row>
    <row r="193" spans="1:8" ht="15.75" x14ac:dyDescent="0.25">
      <c r="A193" s="31" t="s">
        <v>337</v>
      </c>
      <c r="B193" s="21" t="s">
        <v>833</v>
      </c>
      <c r="C193" s="42" t="s">
        <v>327</v>
      </c>
      <c r="D193" s="42" t="s">
        <v>278</v>
      </c>
      <c r="E193" s="42" t="s">
        <v>338</v>
      </c>
      <c r="F193" s="42"/>
      <c r="G193" s="11">
        <f>'Прил.№4 ведомств.'!G635</f>
        <v>0</v>
      </c>
      <c r="H193" s="139"/>
    </row>
    <row r="194" spans="1:8" ht="47.25" x14ac:dyDescent="0.25">
      <c r="A194" s="31" t="s">
        <v>467</v>
      </c>
      <c r="B194" s="21" t="s">
        <v>833</v>
      </c>
      <c r="C194" s="42" t="s">
        <v>327</v>
      </c>
      <c r="D194" s="42" t="s">
        <v>278</v>
      </c>
      <c r="E194" s="42"/>
      <c r="F194" s="42" t="s">
        <v>734</v>
      </c>
      <c r="G194" s="11">
        <f>G189</f>
        <v>0</v>
      </c>
    </row>
    <row r="195" spans="1:8" ht="47.25" hidden="1" x14ac:dyDescent="0.25">
      <c r="A195" s="31" t="s">
        <v>736</v>
      </c>
      <c r="B195" s="42" t="s">
        <v>688</v>
      </c>
      <c r="C195" s="42" t="s">
        <v>327</v>
      </c>
      <c r="D195" s="42" t="s">
        <v>276</v>
      </c>
      <c r="E195" s="42"/>
      <c r="F195" s="42"/>
      <c r="G195" s="11">
        <f>G199</f>
        <v>0</v>
      </c>
    </row>
    <row r="196" spans="1:8" ht="63" hidden="1" x14ac:dyDescent="0.25">
      <c r="A196" s="31" t="s">
        <v>335</v>
      </c>
      <c r="B196" s="42" t="s">
        <v>688</v>
      </c>
      <c r="C196" s="42" t="s">
        <v>532</v>
      </c>
      <c r="D196" s="42" t="s">
        <v>737</v>
      </c>
      <c r="E196" s="42" t="s">
        <v>336</v>
      </c>
      <c r="F196" s="42"/>
      <c r="G196" s="11">
        <f>G197</f>
        <v>0</v>
      </c>
    </row>
    <row r="197" spans="1:8" ht="15.75" hidden="1" x14ac:dyDescent="0.25">
      <c r="A197" s="31" t="s">
        <v>337</v>
      </c>
      <c r="B197" s="42" t="s">
        <v>688</v>
      </c>
      <c r="C197" s="42" t="s">
        <v>532</v>
      </c>
      <c r="D197" s="42" t="s">
        <v>737</v>
      </c>
      <c r="E197" s="42" t="s">
        <v>338</v>
      </c>
      <c r="F197" s="42"/>
      <c r="G197" s="11">
        <f>G198</f>
        <v>0</v>
      </c>
    </row>
    <row r="198" spans="1:8" ht="31.5" hidden="1" x14ac:dyDescent="0.25">
      <c r="A198" s="31" t="s">
        <v>678</v>
      </c>
      <c r="B198" s="42" t="s">
        <v>688</v>
      </c>
      <c r="C198" s="42" t="s">
        <v>532</v>
      </c>
      <c r="D198" s="42" t="s">
        <v>737</v>
      </c>
      <c r="E198" s="42" t="s">
        <v>679</v>
      </c>
      <c r="F198" s="42"/>
      <c r="G198" s="11">
        <f>G199</f>
        <v>0</v>
      </c>
    </row>
    <row r="199" spans="1:8" ht="47.25" hidden="1" x14ac:dyDescent="0.25">
      <c r="A199" s="31" t="s">
        <v>467</v>
      </c>
      <c r="B199" s="42" t="s">
        <v>688</v>
      </c>
      <c r="C199" s="42" t="s">
        <v>327</v>
      </c>
      <c r="D199" s="42" t="s">
        <v>276</v>
      </c>
      <c r="E199" s="42"/>
      <c r="F199" s="42" t="s">
        <v>734</v>
      </c>
      <c r="G199" s="11"/>
    </row>
    <row r="200" spans="1:8" ht="47.25" hidden="1" x14ac:dyDescent="0.25">
      <c r="A200" s="31" t="s">
        <v>738</v>
      </c>
      <c r="B200" s="21" t="s">
        <v>512</v>
      </c>
      <c r="C200" s="42" t="s">
        <v>327</v>
      </c>
      <c r="D200" s="42" t="s">
        <v>276</v>
      </c>
      <c r="E200" s="42"/>
      <c r="F200" s="42"/>
      <c r="G200" s="11">
        <f>G201</f>
        <v>0</v>
      </c>
    </row>
    <row r="201" spans="1:8" ht="31.5" hidden="1" x14ac:dyDescent="0.25">
      <c r="A201" s="31" t="s">
        <v>343</v>
      </c>
      <c r="B201" s="21" t="s">
        <v>512</v>
      </c>
      <c r="C201" s="42" t="s">
        <v>327</v>
      </c>
      <c r="D201" s="42" t="s">
        <v>276</v>
      </c>
      <c r="E201" s="42" t="s">
        <v>336</v>
      </c>
      <c r="F201" s="42"/>
      <c r="G201" s="11">
        <f>G202</f>
        <v>0</v>
      </c>
    </row>
    <row r="202" spans="1:8" ht="15.75" hidden="1" x14ac:dyDescent="0.25">
      <c r="A202" s="31" t="s">
        <v>337</v>
      </c>
      <c r="B202" s="21" t="s">
        <v>512</v>
      </c>
      <c r="C202" s="42" t="s">
        <v>327</v>
      </c>
      <c r="D202" s="42" t="s">
        <v>276</v>
      </c>
      <c r="E202" s="42" t="s">
        <v>338</v>
      </c>
      <c r="F202" s="42"/>
      <c r="G202" s="11"/>
    </row>
    <row r="203" spans="1:8" ht="31.5" hidden="1" x14ac:dyDescent="0.25">
      <c r="A203" s="31" t="s">
        <v>678</v>
      </c>
      <c r="B203" s="21" t="s">
        <v>512</v>
      </c>
      <c r="C203" s="42" t="s">
        <v>327</v>
      </c>
      <c r="D203" s="42" t="s">
        <v>276</v>
      </c>
      <c r="E203" s="42" t="s">
        <v>679</v>
      </c>
      <c r="F203" s="42"/>
      <c r="G203" s="11"/>
    </row>
    <row r="204" spans="1:8" ht="47.25" hidden="1" x14ac:dyDescent="0.25">
      <c r="A204" s="31" t="s">
        <v>467</v>
      </c>
      <c r="B204" s="21" t="s">
        <v>512</v>
      </c>
      <c r="C204" s="42" t="s">
        <v>327</v>
      </c>
      <c r="D204" s="42" t="s">
        <v>276</v>
      </c>
      <c r="E204" s="42"/>
      <c r="F204" s="42" t="s">
        <v>734</v>
      </c>
      <c r="G204" s="7">
        <f>G200</f>
        <v>0</v>
      </c>
    </row>
    <row r="205" spans="1:8" ht="47.25" hidden="1" x14ac:dyDescent="0.25">
      <c r="A205" s="31" t="s">
        <v>684</v>
      </c>
      <c r="B205" s="42" t="s">
        <v>513</v>
      </c>
      <c r="C205" s="42" t="s">
        <v>327</v>
      </c>
      <c r="D205" s="42" t="s">
        <v>276</v>
      </c>
      <c r="E205" s="42"/>
      <c r="F205" s="42"/>
      <c r="G205" s="11">
        <f>G206</f>
        <v>0</v>
      </c>
    </row>
    <row r="206" spans="1:8" ht="63" hidden="1" x14ac:dyDescent="0.25">
      <c r="A206" s="31" t="s">
        <v>335</v>
      </c>
      <c r="B206" s="42" t="s">
        <v>513</v>
      </c>
      <c r="C206" s="42" t="s">
        <v>327</v>
      </c>
      <c r="D206" s="42" t="s">
        <v>276</v>
      </c>
      <c r="E206" s="42" t="s">
        <v>336</v>
      </c>
      <c r="F206" s="42"/>
      <c r="G206" s="11">
        <f>G207</f>
        <v>0</v>
      </c>
    </row>
    <row r="207" spans="1:8" ht="15.75" hidden="1" x14ac:dyDescent="0.25">
      <c r="A207" s="31" t="s">
        <v>337</v>
      </c>
      <c r="B207" s="42" t="s">
        <v>513</v>
      </c>
      <c r="C207" s="42" t="s">
        <v>327</v>
      </c>
      <c r="D207" s="42" t="s">
        <v>276</v>
      </c>
      <c r="E207" s="42" t="s">
        <v>338</v>
      </c>
      <c r="F207" s="42" t="s">
        <v>734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531</v>
      </c>
      <c r="B210" s="8" t="s">
        <v>533</v>
      </c>
      <c r="C210" s="8"/>
      <c r="D210" s="8"/>
      <c r="E210" s="8"/>
      <c r="F210" s="8"/>
      <c r="G210" s="68">
        <f>G211</f>
        <v>3484.8</v>
      </c>
    </row>
    <row r="211" spans="1:7" ht="15.75" x14ac:dyDescent="0.25">
      <c r="A211" s="31" t="s">
        <v>326</v>
      </c>
      <c r="B211" s="42" t="s">
        <v>533</v>
      </c>
      <c r="C211" s="42" t="s">
        <v>327</v>
      </c>
      <c r="D211" s="42"/>
      <c r="E211" s="42"/>
      <c r="F211" s="42"/>
      <c r="G211" s="11">
        <f>G212</f>
        <v>3484.8</v>
      </c>
    </row>
    <row r="212" spans="1:7" ht="31.5" x14ac:dyDescent="0.25">
      <c r="A212" s="31" t="s">
        <v>530</v>
      </c>
      <c r="B212" s="42" t="s">
        <v>533</v>
      </c>
      <c r="C212" s="42" t="s">
        <v>327</v>
      </c>
      <c r="D212" s="42" t="s">
        <v>327</v>
      </c>
      <c r="E212" s="42"/>
      <c r="F212" s="42"/>
      <c r="G212" s="11">
        <f>G213</f>
        <v>3484.8</v>
      </c>
    </row>
    <row r="213" spans="1:7" ht="47.25" x14ac:dyDescent="0.25">
      <c r="A213" s="26" t="s">
        <v>692</v>
      </c>
      <c r="B213" s="21" t="s">
        <v>535</v>
      </c>
      <c r="C213" s="42" t="s">
        <v>327</v>
      </c>
      <c r="D213" s="42" t="s">
        <v>327</v>
      </c>
      <c r="E213" s="42"/>
      <c r="F213" s="42"/>
      <c r="G213" s="11">
        <f>G214</f>
        <v>3484.8</v>
      </c>
    </row>
    <row r="214" spans="1:7" ht="63" x14ac:dyDescent="0.25">
      <c r="A214" s="31" t="s">
        <v>335</v>
      </c>
      <c r="B214" s="21" t="s">
        <v>535</v>
      </c>
      <c r="C214" s="42" t="s">
        <v>327</v>
      </c>
      <c r="D214" s="42" t="s">
        <v>327</v>
      </c>
      <c r="E214" s="42" t="s">
        <v>336</v>
      </c>
      <c r="F214" s="42"/>
      <c r="G214" s="11">
        <f>G215</f>
        <v>3484.8</v>
      </c>
    </row>
    <row r="215" spans="1:7" ht="15.75" x14ac:dyDescent="0.25">
      <c r="A215" s="31" t="s">
        <v>337</v>
      </c>
      <c r="B215" s="21" t="s">
        <v>535</v>
      </c>
      <c r="C215" s="42" t="s">
        <v>327</v>
      </c>
      <c r="D215" s="42" t="s">
        <v>327</v>
      </c>
      <c r="E215" s="42" t="s">
        <v>338</v>
      </c>
      <c r="F215" s="42"/>
      <c r="G215" s="11">
        <f>'Прил.№4 ведомств.'!G652</f>
        <v>3484.8</v>
      </c>
    </row>
    <row r="216" spans="1:7" ht="47.25" x14ac:dyDescent="0.25">
      <c r="A216" s="31" t="s">
        <v>467</v>
      </c>
      <c r="B216" s="21" t="s">
        <v>533</v>
      </c>
      <c r="C216" s="42" t="s">
        <v>327</v>
      </c>
      <c r="D216" s="42" t="s">
        <v>327</v>
      </c>
      <c r="E216" s="42"/>
      <c r="F216" s="42" t="s">
        <v>734</v>
      </c>
      <c r="G216" s="11">
        <f>G210</f>
        <v>3484.8</v>
      </c>
    </row>
    <row r="217" spans="1:7" ht="78.75" x14ac:dyDescent="0.25">
      <c r="A217" s="64" t="s">
        <v>218</v>
      </c>
      <c r="B217" s="220" t="s">
        <v>219</v>
      </c>
      <c r="C217" s="8"/>
      <c r="D217" s="220"/>
      <c r="E217" s="220"/>
      <c r="F217" s="220"/>
      <c r="G217" s="68">
        <f>G220</f>
        <v>250</v>
      </c>
    </row>
    <row r="218" spans="1:7" ht="15.75" x14ac:dyDescent="0.25">
      <c r="A218" s="47" t="s">
        <v>180</v>
      </c>
      <c r="B218" s="6" t="s">
        <v>219</v>
      </c>
      <c r="C218" s="42" t="s">
        <v>181</v>
      </c>
      <c r="D218" s="6"/>
      <c r="E218" s="6"/>
      <c r="F218" s="6"/>
      <c r="G218" s="11">
        <f>G219</f>
        <v>250</v>
      </c>
    </row>
    <row r="219" spans="1:7" ht="31.5" x14ac:dyDescent="0.25">
      <c r="A219" s="79" t="s">
        <v>202</v>
      </c>
      <c r="B219" s="78" t="s">
        <v>219</v>
      </c>
      <c r="C219" s="42" t="s">
        <v>181</v>
      </c>
      <c r="D219" s="78">
        <v>13</v>
      </c>
      <c r="E219" s="78"/>
      <c r="F219" s="78"/>
      <c r="G219" s="11">
        <f>G220</f>
        <v>250</v>
      </c>
    </row>
    <row r="220" spans="1:7" ht="47.25" x14ac:dyDescent="0.25">
      <c r="A220" s="31" t="s">
        <v>220</v>
      </c>
      <c r="B220" s="78" t="s">
        <v>221</v>
      </c>
      <c r="C220" s="42" t="s">
        <v>181</v>
      </c>
      <c r="D220" s="42" t="s">
        <v>203</v>
      </c>
      <c r="E220" s="42"/>
      <c r="F220" s="42"/>
      <c r="G220" s="11">
        <f>G221</f>
        <v>250</v>
      </c>
    </row>
    <row r="221" spans="1:7" ht="47.25" x14ac:dyDescent="0.25">
      <c r="A221" s="31" t="s">
        <v>194</v>
      </c>
      <c r="B221" s="78" t="s">
        <v>221</v>
      </c>
      <c r="C221" s="42" t="s">
        <v>181</v>
      </c>
      <c r="D221" s="42" t="s">
        <v>203</v>
      </c>
      <c r="E221" s="42" t="s">
        <v>208</v>
      </c>
      <c r="F221" s="42"/>
      <c r="G221" s="11">
        <f>G222</f>
        <v>250</v>
      </c>
    </row>
    <row r="222" spans="1:7" ht="78.75" x14ac:dyDescent="0.25">
      <c r="A222" s="31" t="s">
        <v>247</v>
      </c>
      <c r="B222" s="78" t="s">
        <v>221</v>
      </c>
      <c r="C222" s="42" t="s">
        <v>181</v>
      </c>
      <c r="D222" s="42" t="s">
        <v>203</v>
      </c>
      <c r="E222" s="42" t="s">
        <v>223</v>
      </c>
      <c r="F222" s="42"/>
      <c r="G222" s="11">
        <f>'Прил.№4 ведомств.'!G60</f>
        <v>250</v>
      </c>
    </row>
    <row r="223" spans="1:7" ht="31.5" x14ac:dyDescent="0.25">
      <c r="A223" s="31" t="s">
        <v>211</v>
      </c>
      <c r="B223" s="78" t="s">
        <v>219</v>
      </c>
      <c r="C223" s="42" t="s">
        <v>181</v>
      </c>
      <c r="D223" s="42" t="s">
        <v>203</v>
      </c>
      <c r="E223" s="42"/>
      <c r="F223" s="42" t="s">
        <v>739</v>
      </c>
      <c r="G223" s="11">
        <f>G217</f>
        <v>250</v>
      </c>
    </row>
    <row r="224" spans="1:7" ht="73.5" customHeight="1" x14ac:dyDescent="0.25">
      <c r="A224" s="43" t="s">
        <v>224</v>
      </c>
      <c r="B224" s="220" t="s">
        <v>225</v>
      </c>
      <c r="C224" s="8"/>
      <c r="D224" s="8"/>
      <c r="E224" s="8"/>
      <c r="F224" s="8"/>
      <c r="G224" s="68">
        <f>G225</f>
        <v>654</v>
      </c>
    </row>
    <row r="225" spans="1:7" ht="15.75" x14ac:dyDescent="0.25">
      <c r="A225" s="47" t="s">
        <v>180</v>
      </c>
      <c r="B225" s="6" t="s">
        <v>225</v>
      </c>
      <c r="C225" s="42" t="s">
        <v>181</v>
      </c>
      <c r="D225" s="6"/>
      <c r="E225" s="6"/>
      <c r="F225" s="42"/>
      <c r="G225" s="11">
        <f>G226</f>
        <v>654</v>
      </c>
    </row>
    <row r="226" spans="1:7" ht="31.5" x14ac:dyDescent="0.25">
      <c r="A226" s="79" t="s">
        <v>202</v>
      </c>
      <c r="B226" s="78" t="s">
        <v>225</v>
      </c>
      <c r="C226" s="42" t="s">
        <v>181</v>
      </c>
      <c r="D226" s="78">
        <v>13</v>
      </c>
      <c r="E226" s="78"/>
      <c r="F226" s="42"/>
      <c r="G226" s="11">
        <f>G227+G230+G235+G238</f>
        <v>654</v>
      </c>
    </row>
    <row r="227" spans="1:7" ht="31.5" x14ac:dyDescent="0.25">
      <c r="A227" s="31" t="s">
        <v>226</v>
      </c>
      <c r="B227" s="42" t="s">
        <v>227</v>
      </c>
      <c r="C227" s="42" t="s">
        <v>181</v>
      </c>
      <c r="D227" s="42" t="s">
        <v>203</v>
      </c>
      <c r="E227" s="42"/>
      <c r="F227" s="42"/>
      <c r="G227" s="11">
        <f>G228</f>
        <v>428.1</v>
      </c>
    </row>
    <row r="228" spans="1:7" ht="47.25" x14ac:dyDescent="0.25">
      <c r="A228" s="31" t="s">
        <v>194</v>
      </c>
      <c r="B228" s="42" t="s">
        <v>227</v>
      </c>
      <c r="C228" s="42" t="s">
        <v>181</v>
      </c>
      <c r="D228" s="42" t="s">
        <v>203</v>
      </c>
      <c r="E228" s="42" t="s">
        <v>195</v>
      </c>
      <c r="F228" s="42"/>
      <c r="G228" s="11">
        <f>G229</f>
        <v>428.1</v>
      </c>
    </row>
    <row r="229" spans="1:7" ht="47.25" x14ac:dyDescent="0.25">
      <c r="A229" s="31" t="s">
        <v>196</v>
      </c>
      <c r="B229" s="42" t="s">
        <v>227</v>
      </c>
      <c r="C229" s="42" t="s">
        <v>181</v>
      </c>
      <c r="D229" s="42" t="s">
        <v>203</v>
      </c>
      <c r="E229" s="42" t="s">
        <v>197</v>
      </c>
      <c r="F229" s="42"/>
      <c r="G229" s="11">
        <f>'Прил.№4 ведомств.'!G64</f>
        <v>428.1</v>
      </c>
    </row>
    <row r="230" spans="1:7" ht="78.75" x14ac:dyDescent="0.25">
      <c r="A230" s="123" t="s">
        <v>228</v>
      </c>
      <c r="B230" s="42" t="s">
        <v>229</v>
      </c>
      <c r="C230" s="42" t="s">
        <v>181</v>
      </c>
      <c r="D230" s="42" t="s">
        <v>203</v>
      </c>
      <c r="E230" s="42"/>
      <c r="F230" s="42"/>
      <c r="G230" s="11">
        <f>G231+G233</f>
        <v>224.89999999999998</v>
      </c>
    </row>
    <row r="231" spans="1:7" ht="110.25" x14ac:dyDescent="0.25">
      <c r="A231" s="31" t="s">
        <v>190</v>
      </c>
      <c r="B231" s="42" t="s">
        <v>229</v>
      </c>
      <c r="C231" s="42" t="s">
        <v>181</v>
      </c>
      <c r="D231" s="42" t="s">
        <v>203</v>
      </c>
      <c r="E231" s="42" t="s">
        <v>191</v>
      </c>
      <c r="F231" s="42"/>
      <c r="G231" s="11">
        <f>G232</f>
        <v>159.69999999999999</v>
      </c>
    </row>
    <row r="232" spans="1:7" ht="47.25" x14ac:dyDescent="0.25">
      <c r="A232" s="31" t="s">
        <v>192</v>
      </c>
      <c r="B232" s="42" t="s">
        <v>229</v>
      </c>
      <c r="C232" s="42" t="s">
        <v>181</v>
      </c>
      <c r="D232" s="42" t="s">
        <v>203</v>
      </c>
      <c r="E232" s="42" t="s">
        <v>193</v>
      </c>
      <c r="F232" s="42"/>
      <c r="G232" s="11">
        <f>'Прил.№4 ведомств.'!G67</f>
        <v>159.69999999999999</v>
      </c>
    </row>
    <row r="233" spans="1:7" ht="47.25" x14ac:dyDescent="0.25">
      <c r="A233" s="31" t="s">
        <v>194</v>
      </c>
      <c r="B233" s="42" t="s">
        <v>229</v>
      </c>
      <c r="C233" s="42" t="s">
        <v>181</v>
      </c>
      <c r="D233" s="42" t="s">
        <v>203</v>
      </c>
      <c r="E233" s="42" t="s">
        <v>195</v>
      </c>
      <c r="F233" s="42"/>
      <c r="G233" s="11">
        <f>G234</f>
        <v>65.2</v>
      </c>
    </row>
    <row r="234" spans="1:7" ht="47.25" x14ac:dyDescent="0.25">
      <c r="A234" s="31" t="s">
        <v>196</v>
      </c>
      <c r="B234" s="42" t="s">
        <v>229</v>
      </c>
      <c r="C234" s="42" t="s">
        <v>181</v>
      </c>
      <c r="D234" s="42" t="s">
        <v>203</v>
      </c>
      <c r="E234" s="42" t="s">
        <v>197</v>
      </c>
      <c r="F234" s="42"/>
      <c r="G234" s="11">
        <f>'Прил.№4 ведомств.'!G69</f>
        <v>65.2</v>
      </c>
    </row>
    <row r="235" spans="1:7" ht="63" x14ac:dyDescent="0.25">
      <c r="A235" s="33" t="s">
        <v>802</v>
      </c>
      <c r="B235" s="42" t="s">
        <v>803</v>
      </c>
      <c r="C235" s="42" t="s">
        <v>181</v>
      </c>
      <c r="D235" s="42" t="s">
        <v>203</v>
      </c>
      <c r="E235" s="42"/>
      <c r="F235" s="42"/>
      <c r="G235" s="11">
        <f>G236</f>
        <v>0.5</v>
      </c>
    </row>
    <row r="236" spans="1:7" ht="47.25" x14ac:dyDescent="0.25">
      <c r="A236" s="26" t="s">
        <v>194</v>
      </c>
      <c r="B236" s="42" t="s">
        <v>803</v>
      </c>
      <c r="C236" s="42" t="s">
        <v>181</v>
      </c>
      <c r="D236" s="42" t="s">
        <v>203</v>
      </c>
      <c r="E236" s="42" t="s">
        <v>195</v>
      </c>
      <c r="F236" s="42"/>
      <c r="G236" s="11">
        <f>G237</f>
        <v>0.5</v>
      </c>
    </row>
    <row r="237" spans="1:7" ht="47.25" x14ac:dyDescent="0.25">
      <c r="A237" s="26" t="s">
        <v>196</v>
      </c>
      <c r="B237" s="42" t="s">
        <v>803</v>
      </c>
      <c r="C237" s="42" t="s">
        <v>181</v>
      </c>
      <c r="D237" s="42" t="s">
        <v>203</v>
      </c>
      <c r="E237" s="42" t="s">
        <v>197</v>
      </c>
      <c r="F237" s="42"/>
      <c r="G237" s="11">
        <f>'Прил.№4 ведомств.'!G978</f>
        <v>0.5</v>
      </c>
    </row>
    <row r="238" spans="1:7" ht="63" x14ac:dyDescent="0.25">
      <c r="A238" s="35" t="s">
        <v>254</v>
      </c>
      <c r="B238" s="42" t="s">
        <v>789</v>
      </c>
      <c r="C238" s="42" t="s">
        <v>181</v>
      </c>
      <c r="D238" s="42" t="s">
        <v>203</v>
      </c>
      <c r="E238" s="42"/>
      <c r="F238" s="42"/>
      <c r="G238" s="11">
        <f>G239</f>
        <v>0.5</v>
      </c>
    </row>
    <row r="239" spans="1:7" ht="47.25" x14ac:dyDescent="0.25">
      <c r="A239" s="26" t="s">
        <v>194</v>
      </c>
      <c r="B239" s="42" t="s">
        <v>789</v>
      </c>
      <c r="C239" s="42" t="s">
        <v>181</v>
      </c>
      <c r="D239" s="42" t="s">
        <v>203</v>
      </c>
      <c r="E239" s="42" t="s">
        <v>195</v>
      </c>
      <c r="F239" s="42"/>
      <c r="G239" s="11">
        <f>G240</f>
        <v>0.5</v>
      </c>
    </row>
    <row r="240" spans="1:7" ht="47.25" x14ac:dyDescent="0.25">
      <c r="A240" s="26" t="s">
        <v>196</v>
      </c>
      <c r="B240" s="42" t="s">
        <v>789</v>
      </c>
      <c r="C240" s="42" t="s">
        <v>181</v>
      </c>
      <c r="D240" s="42" t="s">
        <v>203</v>
      </c>
      <c r="E240" s="42" t="s">
        <v>197</v>
      </c>
      <c r="F240" s="42"/>
      <c r="G240" s="11">
        <f>'Прил.№4 ведомств.'!G72</f>
        <v>0.5</v>
      </c>
    </row>
    <row r="241" spans="1:7" ht="31.5" x14ac:dyDescent="0.25">
      <c r="A241" s="31" t="s">
        <v>211</v>
      </c>
      <c r="B241" s="42" t="s">
        <v>225</v>
      </c>
      <c r="C241" s="42" t="s">
        <v>181</v>
      </c>
      <c r="D241" s="42" t="s">
        <v>203</v>
      </c>
      <c r="E241" s="42"/>
      <c r="F241" s="42" t="s">
        <v>739</v>
      </c>
      <c r="G241" s="11">
        <f>G224</f>
        <v>654</v>
      </c>
    </row>
    <row r="242" spans="1:7" ht="94.5" x14ac:dyDescent="0.25">
      <c r="A242" s="43" t="s">
        <v>316</v>
      </c>
      <c r="B242" s="220" t="s">
        <v>317</v>
      </c>
      <c r="C242" s="42"/>
      <c r="D242" s="42"/>
      <c r="E242" s="42"/>
      <c r="F242" s="42"/>
      <c r="G242" s="68">
        <f>G243</f>
        <v>10</v>
      </c>
    </row>
    <row r="243" spans="1:7" ht="15.75" x14ac:dyDescent="0.25">
      <c r="A243" s="31" t="s">
        <v>306</v>
      </c>
      <c r="B243" s="6" t="s">
        <v>317</v>
      </c>
      <c r="C243" s="42" t="s">
        <v>307</v>
      </c>
      <c r="D243" s="42"/>
      <c r="E243" s="42"/>
      <c r="F243" s="42"/>
      <c r="G243" s="11">
        <f>G244</f>
        <v>10</v>
      </c>
    </row>
    <row r="244" spans="1:7" ht="22.5" customHeight="1" x14ac:dyDescent="0.25">
      <c r="A244" s="31" t="s">
        <v>315</v>
      </c>
      <c r="B244" s="6" t="s">
        <v>317</v>
      </c>
      <c r="C244" s="42" t="s">
        <v>307</v>
      </c>
      <c r="D244" s="42" t="s">
        <v>278</v>
      </c>
      <c r="E244" s="42"/>
      <c r="F244" s="42"/>
      <c r="G244" s="11">
        <f>G245</f>
        <v>10</v>
      </c>
    </row>
    <row r="245" spans="1:7" ht="47.25" x14ac:dyDescent="0.25">
      <c r="A245" s="31" t="s">
        <v>220</v>
      </c>
      <c r="B245" s="78" t="s">
        <v>318</v>
      </c>
      <c r="C245" s="42" t="s">
        <v>307</v>
      </c>
      <c r="D245" s="42" t="s">
        <v>278</v>
      </c>
      <c r="E245" s="42"/>
      <c r="F245" s="42"/>
      <c r="G245" s="11">
        <f>G246</f>
        <v>10</v>
      </c>
    </row>
    <row r="246" spans="1:7" ht="38.25" customHeight="1" x14ac:dyDescent="0.25">
      <c r="A246" s="31" t="s">
        <v>311</v>
      </c>
      <c r="B246" s="78" t="s">
        <v>318</v>
      </c>
      <c r="C246" s="42" t="s">
        <v>307</v>
      </c>
      <c r="D246" s="42" t="s">
        <v>278</v>
      </c>
      <c r="E246" s="42" t="s">
        <v>312</v>
      </c>
      <c r="F246" s="42"/>
      <c r="G246" s="11">
        <f>G247</f>
        <v>10</v>
      </c>
    </row>
    <row r="247" spans="1:7" ht="47.25" x14ac:dyDescent="0.25">
      <c r="A247" s="31" t="s">
        <v>313</v>
      </c>
      <c r="B247" s="78" t="s">
        <v>318</v>
      </c>
      <c r="C247" s="42" t="s">
        <v>307</v>
      </c>
      <c r="D247" s="42" t="s">
        <v>278</v>
      </c>
      <c r="E247" s="42" t="s">
        <v>314</v>
      </c>
      <c r="F247" s="42"/>
      <c r="G247" s="11">
        <f>'Прил.№4 ведомств.'!G209</f>
        <v>10</v>
      </c>
    </row>
    <row r="248" spans="1:7" ht="31.5" x14ac:dyDescent="0.25">
      <c r="A248" s="47" t="s">
        <v>211</v>
      </c>
      <c r="B248" s="78" t="s">
        <v>317</v>
      </c>
      <c r="C248" s="42" t="s">
        <v>307</v>
      </c>
      <c r="D248" s="42" t="s">
        <v>278</v>
      </c>
      <c r="E248" s="42"/>
      <c r="F248" s="42" t="s">
        <v>739</v>
      </c>
      <c r="G248" s="11">
        <f>G242</f>
        <v>10</v>
      </c>
    </row>
    <row r="249" spans="1:7" ht="141.75" x14ac:dyDescent="0.25">
      <c r="A249" s="43" t="s">
        <v>666</v>
      </c>
      <c r="B249" s="220" t="s">
        <v>231</v>
      </c>
      <c r="C249" s="8"/>
      <c r="D249" s="8"/>
      <c r="E249" s="8"/>
      <c r="F249" s="8"/>
      <c r="G249" s="68">
        <f>G250+G257+G264</f>
        <v>80</v>
      </c>
    </row>
    <row r="250" spans="1:7" ht="110.25" x14ac:dyDescent="0.25">
      <c r="A250" s="43" t="s">
        <v>232</v>
      </c>
      <c r="B250" s="220" t="s">
        <v>233</v>
      </c>
      <c r="C250" s="8"/>
      <c r="D250" s="8"/>
      <c r="E250" s="8"/>
      <c r="F250" s="8"/>
      <c r="G250" s="68">
        <f>G251</f>
        <v>15</v>
      </c>
    </row>
    <row r="251" spans="1:7" ht="15.75" x14ac:dyDescent="0.25">
      <c r="A251" s="47" t="s">
        <v>180</v>
      </c>
      <c r="B251" s="6" t="s">
        <v>233</v>
      </c>
      <c r="C251" s="42" t="s">
        <v>181</v>
      </c>
      <c r="D251" s="42"/>
      <c r="E251" s="42"/>
      <c r="F251" s="42"/>
      <c r="G251" s="11">
        <f>G252</f>
        <v>15</v>
      </c>
    </row>
    <row r="252" spans="1:7" ht="33.75" customHeight="1" x14ac:dyDescent="0.25">
      <c r="A252" s="79" t="s">
        <v>202</v>
      </c>
      <c r="B252" s="6" t="s">
        <v>233</v>
      </c>
      <c r="C252" s="42" t="s">
        <v>181</v>
      </c>
      <c r="D252" s="42" t="s">
        <v>203</v>
      </c>
      <c r="E252" s="42"/>
      <c r="F252" s="42"/>
      <c r="G252" s="11">
        <f>G253</f>
        <v>15</v>
      </c>
    </row>
    <row r="253" spans="1:7" ht="47.25" x14ac:dyDescent="0.25">
      <c r="A253" s="123" t="s">
        <v>234</v>
      </c>
      <c r="B253" s="6" t="s">
        <v>235</v>
      </c>
      <c r="C253" s="42" t="s">
        <v>181</v>
      </c>
      <c r="D253" s="42" t="s">
        <v>203</v>
      </c>
      <c r="E253" s="42"/>
      <c r="F253" s="42"/>
      <c r="G253" s="11">
        <f>G254</f>
        <v>15</v>
      </c>
    </row>
    <row r="254" spans="1:7" ht="47.25" x14ac:dyDescent="0.25">
      <c r="A254" s="31" t="s">
        <v>194</v>
      </c>
      <c r="B254" s="6" t="s">
        <v>235</v>
      </c>
      <c r="C254" s="42" t="s">
        <v>181</v>
      </c>
      <c r="D254" s="42" t="s">
        <v>203</v>
      </c>
      <c r="E254" s="42" t="s">
        <v>195</v>
      </c>
      <c r="F254" s="42"/>
      <c r="G254" s="11">
        <f>G255</f>
        <v>15</v>
      </c>
    </row>
    <row r="255" spans="1:7" ht="47.25" x14ac:dyDescent="0.25">
      <c r="A255" s="31" t="s">
        <v>196</v>
      </c>
      <c r="B255" s="6" t="s">
        <v>235</v>
      </c>
      <c r="C255" s="42" t="s">
        <v>181</v>
      </c>
      <c r="D255" s="42" t="s">
        <v>203</v>
      </c>
      <c r="E255" s="42" t="s">
        <v>197</v>
      </c>
      <c r="F255" s="42"/>
      <c r="G255" s="11">
        <f>'Прил.№4 ведомств.'!G77</f>
        <v>15</v>
      </c>
    </row>
    <row r="256" spans="1:7" ht="31.5" x14ac:dyDescent="0.25">
      <c r="A256" s="31" t="s">
        <v>211</v>
      </c>
      <c r="B256" s="6" t="s">
        <v>233</v>
      </c>
      <c r="C256" s="42" t="s">
        <v>181</v>
      </c>
      <c r="D256" s="42" t="s">
        <v>203</v>
      </c>
      <c r="E256" s="42"/>
      <c r="F256" s="42" t="s">
        <v>739</v>
      </c>
      <c r="G256" s="7">
        <f>G250</f>
        <v>15</v>
      </c>
    </row>
    <row r="257" spans="1:7" ht="94.5" x14ac:dyDescent="0.25">
      <c r="A257" s="43" t="s">
        <v>236</v>
      </c>
      <c r="B257" s="220" t="s">
        <v>237</v>
      </c>
      <c r="C257" s="8"/>
      <c r="D257" s="8"/>
      <c r="E257" s="8"/>
      <c r="F257" s="8"/>
      <c r="G257" s="68">
        <f>G258</f>
        <v>50</v>
      </c>
    </row>
    <row r="258" spans="1:7" ht="15.75" x14ac:dyDescent="0.25">
      <c r="A258" s="47" t="s">
        <v>180</v>
      </c>
      <c r="B258" s="6" t="s">
        <v>237</v>
      </c>
      <c r="C258" s="42" t="s">
        <v>181</v>
      </c>
      <c r="D258" s="42"/>
      <c r="E258" s="42"/>
      <c r="F258" s="42"/>
      <c r="G258" s="7">
        <f>G259</f>
        <v>50</v>
      </c>
    </row>
    <row r="259" spans="1:7" ht="31.5" x14ac:dyDescent="0.25">
      <c r="A259" s="79" t="s">
        <v>202</v>
      </c>
      <c r="B259" s="6" t="s">
        <v>237</v>
      </c>
      <c r="C259" s="42" t="s">
        <v>181</v>
      </c>
      <c r="D259" s="42" t="s">
        <v>203</v>
      </c>
      <c r="E259" s="42"/>
      <c r="F259" s="42"/>
      <c r="G259" s="7">
        <f>G260</f>
        <v>50</v>
      </c>
    </row>
    <row r="260" spans="1:7" ht="31.5" x14ac:dyDescent="0.25">
      <c r="A260" s="47" t="s">
        <v>238</v>
      </c>
      <c r="B260" s="6" t="s">
        <v>239</v>
      </c>
      <c r="C260" s="10" t="s">
        <v>181</v>
      </c>
      <c r="D260" s="10" t="s">
        <v>203</v>
      </c>
      <c r="E260" s="10"/>
      <c r="F260" s="27"/>
      <c r="G260" s="27">
        <f>G261</f>
        <v>50</v>
      </c>
    </row>
    <row r="261" spans="1:7" ht="47.25" x14ac:dyDescent="0.25">
      <c r="A261" s="26" t="s">
        <v>194</v>
      </c>
      <c r="B261" s="6" t="s">
        <v>239</v>
      </c>
      <c r="C261" s="10" t="s">
        <v>181</v>
      </c>
      <c r="D261" s="10" t="s">
        <v>203</v>
      </c>
      <c r="E261" s="10" t="s">
        <v>195</v>
      </c>
      <c r="F261" s="27"/>
      <c r="G261" s="27">
        <f>G262</f>
        <v>50</v>
      </c>
    </row>
    <row r="262" spans="1:7" ht="47.25" x14ac:dyDescent="0.25">
      <c r="A262" s="26" t="s">
        <v>196</v>
      </c>
      <c r="B262" s="6" t="s">
        <v>239</v>
      </c>
      <c r="C262" s="10" t="s">
        <v>181</v>
      </c>
      <c r="D262" s="10" t="s">
        <v>203</v>
      </c>
      <c r="E262" s="10" t="s">
        <v>197</v>
      </c>
      <c r="F262" s="27"/>
      <c r="G262" s="27">
        <f>'Прил.№4 ведомств.'!G81</f>
        <v>50</v>
      </c>
    </row>
    <row r="263" spans="1:7" ht="31.5" x14ac:dyDescent="0.25">
      <c r="A263" s="31" t="s">
        <v>211</v>
      </c>
      <c r="B263" s="6" t="s">
        <v>237</v>
      </c>
      <c r="C263" s="42" t="s">
        <v>181</v>
      </c>
      <c r="D263" s="42" t="s">
        <v>203</v>
      </c>
      <c r="E263" s="42"/>
      <c r="F263" s="42" t="s">
        <v>739</v>
      </c>
      <c r="G263" s="7">
        <f>G257</f>
        <v>50</v>
      </c>
    </row>
    <row r="264" spans="1:7" ht="63" x14ac:dyDescent="0.25">
      <c r="A264" s="24" t="s">
        <v>240</v>
      </c>
      <c r="B264" s="220" t="s">
        <v>241</v>
      </c>
      <c r="C264" s="8"/>
      <c r="D264" s="8"/>
      <c r="E264" s="8"/>
      <c r="F264" s="8"/>
      <c r="G264" s="68">
        <f>G265</f>
        <v>15</v>
      </c>
    </row>
    <row r="265" spans="1:7" ht="15.75" x14ac:dyDescent="0.25">
      <c r="A265" s="47" t="s">
        <v>180</v>
      </c>
      <c r="B265" s="6" t="s">
        <v>241</v>
      </c>
      <c r="C265" s="42" t="s">
        <v>181</v>
      </c>
      <c r="D265" s="42"/>
      <c r="E265" s="42"/>
      <c r="F265" s="42"/>
      <c r="G265" s="11">
        <f>G266</f>
        <v>15</v>
      </c>
    </row>
    <row r="266" spans="1:7" ht="31.5" x14ac:dyDescent="0.25">
      <c r="A266" s="79" t="s">
        <v>202</v>
      </c>
      <c r="B266" s="6" t="s">
        <v>241</v>
      </c>
      <c r="C266" s="42" t="s">
        <v>181</v>
      </c>
      <c r="D266" s="42" t="s">
        <v>203</v>
      </c>
      <c r="E266" s="42"/>
      <c r="F266" s="42"/>
      <c r="G266" s="11">
        <f>G267</f>
        <v>15</v>
      </c>
    </row>
    <row r="267" spans="1:7" ht="32.25" customHeight="1" x14ac:dyDescent="0.25">
      <c r="A267" s="47" t="s">
        <v>242</v>
      </c>
      <c r="B267" s="6" t="s">
        <v>243</v>
      </c>
      <c r="C267" s="42" t="s">
        <v>181</v>
      </c>
      <c r="D267" s="42" t="s">
        <v>203</v>
      </c>
      <c r="E267" s="42"/>
      <c r="F267" s="42"/>
      <c r="G267" s="11">
        <f>G268</f>
        <v>15</v>
      </c>
    </row>
    <row r="268" spans="1:7" ht="47.25" x14ac:dyDescent="0.25">
      <c r="A268" s="31" t="s">
        <v>194</v>
      </c>
      <c r="B268" s="6" t="s">
        <v>243</v>
      </c>
      <c r="C268" s="42" t="s">
        <v>181</v>
      </c>
      <c r="D268" s="42" t="s">
        <v>203</v>
      </c>
      <c r="E268" s="42" t="s">
        <v>195</v>
      </c>
      <c r="F268" s="42"/>
      <c r="G268" s="11">
        <f>G269</f>
        <v>15</v>
      </c>
    </row>
    <row r="269" spans="1:7" ht="47.25" x14ac:dyDescent="0.25">
      <c r="A269" s="31" t="s">
        <v>196</v>
      </c>
      <c r="B269" s="6" t="s">
        <v>243</v>
      </c>
      <c r="C269" s="42" t="s">
        <v>181</v>
      </c>
      <c r="D269" s="42" t="s">
        <v>203</v>
      </c>
      <c r="E269" s="42" t="s">
        <v>197</v>
      </c>
      <c r="F269" s="42"/>
      <c r="G269" s="11">
        <f>'Прил.№4 ведомств.'!G85</f>
        <v>15</v>
      </c>
    </row>
    <row r="270" spans="1:7" ht="31.5" x14ac:dyDescent="0.25">
      <c r="A270" s="31" t="s">
        <v>211</v>
      </c>
      <c r="B270" s="6" t="s">
        <v>241</v>
      </c>
      <c r="C270" s="42" t="s">
        <v>181</v>
      </c>
      <c r="D270" s="42" t="s">
        <v>203</v>
      </c>
      <c r="E270" s="42"/>
      <c r="F270" s="42" t="s">
        <v>739</v>
      </c>
      <c r="G270" s="11">
        <f>G264</f>
        <v>15</v>
      </c>
    </row>
    <row r="271" spans="1:7" ht="69" customHeight="1" x14ac:dyDescent="0.25">
      <c r="A271" s="43" t="s">
        <v>545</v>
      </c>
      <c r="B271" s="3" t="s">
        <v>546</v>
      </c>
      <c r="C271" s="80"/>
      <c r="D271" s="80"/>
      <c r="E271" s="80"/>
      <c r="F271" s="80"/>
      <c r="G271" s="4">
        <f>G273+G294+G317</f>
        <v>36496.700000000004</v>
      </c>
    </row>
    <row r="272" spans="1:7" ht="94.5" x14ac:dyDescent="0.25">
      <c r="A272" s="43" t="s">
        <v>740</v>
      </c>
      <c r="B272" s="3" t="s">
        <v>548</v>
      </c>
      <c r="C272" s="81"/>
      <c r="D272" s="81"/>
      <c r="E272" s="81"/>
      <c r="F272" s="81"/>
      <c r="G272" s="68">
        <f>G273</f>
        <v>10705.5</v>
      </c>
    </row>
    <row r="273" spans="1:7" ht="15.75" x14ac:dyDescent="0.25">
      <c r="A273" s="31" t="s">
        <v>326</v>
      </c>
      <c r="B273" s="42" t="s">
        <v>548</v>
      </c>
      <c r="C273" s="42" t="s">
        <v>327</v>
      </c>
      <c r="D273" s="80"/>
      <c r="E273" s="80"/>
      <c r="F273" s="80"/>
      <c r="G273" s="11">
        <f>G274</f>
        <v>10705.5</v>
      </c>
    </row>
    <row r="274" spans="1:7" ht="15.75" x14ac:dyDescent="0.25">
      <c r="A274" s="31" t="s">
        <v>328</v>
      </c>
      <c r="B274" s="42" t="s">
        <v>548</v>
      </c>
      <c r="C274" s="42" t="s">
        <v>327</v>
      </c>
      <c r="D274" s="42" t="s">
        <v>278</v>
      </c>
      <c r="E274" s="80"/>
      <c r="F274" s="80"/>
      <c r="G274" s="11">
        <f>G275+G290</f>
        <v>10705.5</v>
      </c>
    </row>
    <row r="275" spans="1:7" ht="63" x14ac:dyDescent="0.25">
      <c r="A275" s="31" t="s">
        <v>333</v>
      </c>
      <c r="B275" s="42" t="s">
        <v>549</v>
      </c>
      <c r="C275" s="42" t="s">
        <v>327</v>
      </c>
      <c r="D275" s="42" t="s">
        <v>278</v>
      </c>
      <c r="E275" s="80"/>
      <c r="F275" s="80"/>
      <c r="G275" s="11">
        <f>G276</f>
        <v>10669.5</v>
      </c>
    </row>
    <row r="276" spans="1:7" ht="63" x14ac:dyDescent="0.25">
      <c r="A276" s="31" t="s">
        <v>335</v>
      </c>
      <c r="B276" s="42" t="s">
        <v>549</v>
      </c>
      <c r="C276" s="42" t="s">
        <v>327</v>
      </c>
      <c r="D276" s="42" t="s">
        <v>278</v>
      </c>
      <c r="E276" s="42" t="s">
        <v>336</v>
      </c>
      <c r="F276" s="80"/>
      <c r="G276" s="11">
        <f>G277</f>
        <v>10669.5</v>
      </c>
    </row>
    <row r="277" spans="1:7" ht="15.75" x14ac:dyDescent="0.25">
      <c r="A277" s="31" t="s">
        <v>337</v>
      </c>
      <c r="B277" s="42" t="s">
        <v>549</v>
      </c>
      <c r="C277" s="42" t="s">
        <v>327</v>
      </c>
      <c r="D277" s="42" t="s">
        <v>278</v>
      </c>
      <c r="E277" s="42" t="s">
        <v>338</v>
      </c>
      <c r="F277" s="80"/>
      <c r="G277" s="11">
        <f>'Прил.№4 ведомств.'!G694</f>
        <v>10669.5</v>
      </c>
    </row>
    <row r="278" spans="1:7" ht="78.75" hidden="1" customHeight="1" x14ac:dyDescent="0.25">
      <c r="A278" s="31" t="s">
        <v>675</v>
      </c>
      <c r="B278" s="42" t="s">
        <v>741</v>
      </c>
      <c r="C278" s="42" t="s">
        <v>327</v>
      </c>
      <c r="D278" s="42" t="s">
        <v>278</v>
      </c>
      <c r="E278" s="42"/>
      <c r="F278" s="80"/>
      <c r="G278" s="11">
        <f>G279</f>
        <v>0</v>
      </c>
    </row>
    <row r="279" spans="1:7" ht="63" hidden="1" x14ac:dyDescent="0.25">
      <c r="A279" s="31" t="s">
        <v>335</v>
      </c>
      <c r="B279" s="42" t="s">
        <v>741</v>
      </c>
      <c r="C279" s="42" t="s">
        <v>327</v>
      </c>
      <c r="D279" s="42" t="s">
        <v>278</v>
      </c>
      <c r="E279" s="42" t="s">
        <v>336</v>
      </c>
      <c r="F279" s="80"/>
      <c r="G279" s="11">
        <f>G280</f>
        <v>0</v>
      </c>
    </row>
    <row r="280" spans="1:7" ht="15.75" hidden="1" x14ac:dyDescent="0.25">
      <c r="A280" s="31" t="s">
        <v>337</v>
      </c>
      <c r="B280" s="42" t="s">
        <v>741</v>
      </c>
      <c r="C280" s="42" t="s">
        <v>327</v>
      </c>
      <c r="D280" s="42" t="s">
        <v>278</v>
      </c>
      <c r="E280" s="42" t="s">
        <v>338</v>
      </c>
      <c r="F280" s="80"/>
      <c r="G280" s="11">
        <f>G281</f>
        <v>0</v>
      </c>
    </row>
    <row r="281" spans="1:7" ht="47.25" hidden="1" x14ac:dyDescent="0.25">
      <c r="A281" s="48" t="s">
        <v>544</v>
      </c>
      <c r="B281" s="42" t="s">
        <v>741</v>
      </c>
      <c r="C281" s="42" t="s">
        <v>327</v>
      </c>
      <c r="D281" s="42" t="s">
        <v>278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341</v>
      </c>
      <c r="B282" s="42" t="s">
        <v>742</v>
      </c>
      <c r="C282" s="42" t="s">
        <v>327</v>
      </c>
      <c r="D282" s="42" t="s">
        <v>278</v>
      </c>
      <c r="E282" s="42"/>
      <c r="F282" s="80"/>
      <c r="G282" s="11">
        <f>G283</f>
        <v>0</v>
      </c>
    </row>
    <row r="283" spans="1:7" ht="63" hidden="1" x14ac:dyDescent="0.25">
      <c r="A283" s="31" t="s">
        <v>335</v>
      </c>
      <c r="B283" s="42" t="s">
        <v>742</v>
      </c>
      <c r="C283" s="42" t="s">
        <v>327</v>
      </c>
      <c r="D283" s="42" t="s">
        <v>278</v>
      </c>
      <c r="E283" s="42" t="s">
        <v>336</v>
      </c>
      <c r="F283" s="80"/>
      <c r="G283" s="11">
        <f>G284</f>
        <v>0</v>
      </c>
    </row>
    <row r="284" spans="1:7" ht="15.75" hidden="1" x14ac:dyDescent="0.25">
      <c r="A284" s="31" t="s">
        <v>337</v>
      </c>
      <c r="B284" s="42" t="s">
        <v>742</v>
      </c>
      <c r="C284" s="42" t="s">
        <v>327</v>
      </c>
      <c r="D284" s="42" t="s">
        <v>278</v>
      </c>
      <c r="E284" s="42" t="s">
        <v>338</v>
      </c>
      <c r="F284" s="80"/>
      <c r="G284" s="11"/>
    </row>
    <row r="285" spans="1:7" ht="47.25" hidden="1" x14ac:dyDescent="0.25">
      <c r="A285" s="48" t="s">
        <v>544</v>
      </c>
      <c r="B285" s="42" t="s">
        <v>742</v>
      </c>
      <c r="C285" s="42" t="s">
        <v>327</v>
      </c>
      <c r="D285" s="42" t="s">
        <v>278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343</v>
      </c>
      <c r="B286" s="42" t="s">
        <v>743</v>
      </c>
      <c r="C286" s="42" t="s">
        <v>327</v>
      </c>
      <c r="D286" s="42" t="s">
        <v>278</v>
      </c>
      <c r="E286" s="42"/>
      <c r="F286" s="80"/>
      <c r="G286" s="11">
        <f>G287</f>
        <v>0</v>
      </c>
    </row>
    <row r="287" spans="1:7" ht="63" hidden="1" x14ac:dyDescent="0.25">
      <c r="A287" s="31" t="s">
        <v>335</v>
      </c>
      <c r="B287" s="42" t="s">
        <v>743</v>
      </c>
      <c r="C287" s="42" t="s">
        <v>327</v>
      </c>
      <c r="D287" s="42" t="s">
        <v>278</v>
      </c>
      <c r="E287" s="42" t="s">
        <v>336</v>
      </c>
      <c r="F287" s="80"/>
      <c r="G287" s="11">
        <f>G288</f>
        <v>0</v>
      </c>
    </row>
    <row r="288" spans="1:7" ht="15.75" hidden="1" x14ac:dyDescent="0.25">
      <c r="A288" s="31" t="s">
        <v>337</v>
      </c>
      <c r="B288" s="42" t="s">
        <v>743</v>
      </c>
      <c r="C288" s="42" t="s">
        <v>327</v>
      </c>
      <c r="D288" s="42" t="s">
        <v>278</v>
      </c>
      <c r="E288" s="42" t="s">
        <v>338</v>
      </c>
      <c r="F288" s="80"/>
      <c r="G288" s="11"/>
    </row>
    <row r="289" spans="1:7" ht="47.25" hidden="1" x14ac:dyDescent="0.25">
      <c r="A289" s="48" t="s">
        <v>544</v>
      </c>
      <c r="B289" s="42" t="s">
        <v>743</v>
      </c>
      <c r="C289" s="42" t="s">
        <v>327</v>
      </c>
      <c r="D289" s="42" t="s">
        <v>278</v>
      </c>
      <c r="E289" s="42"/>
      <c r="F289" s="2">
        <v>907</v>
      </c>
      <c r="G289" s="11">
        <v>0</v>
      </c>
    </row>
    <row r="290" spans="1:7" ht="47.25" x14ac:dyDescent="0.25">
      <c r="A290" s="31" t="s">
        <v>345</v>
      </c>
      <c r="B290" s="42" t="s">
        <v>552</v>
      </c>
      <c r="C290" s="42" t="s">
        <v>327</v>
      </c>
      <c r="D290" s="42" t="s">
        <v>278</v>
      </c>
      <c r="E290" s="42"/>
      <c r="F290" s="80"/>
      <c r="G290" s="11">
        <f>G291</f>
        <v>36</v>
      </c>
    </row>
    <row r="291" spans="1:7" ht="63" x14ac:dyDescent="0.25">
      <c r="A291" s="31" t="s">
        <v>335</v>
      </c>
      <c r="B291" s="42" t="s">
        <v>552</v>
      </c>
      <c r="C291" s="42" t="s">
        <v>327</v>
      </c>
      <c r="D291" s="42" t="s">
        <v>278</v>
      </c>
      <c r="E291" s="42" t="s">
        <v>336</v>
      </c>
      <c r="F291" s="80"/>
      <c r="G291" s="11">
        <f>G292</f>
        <v>36</v>
      </c>
    </row>
    <row r="292" spans="1:7" ht="15.75" x14ac:dyDescent="0.25">
      <c r="A292" s="31" t="s">
        <v>337</v>
      </c>
      <c r="B292" s="42" t="s">
        <v>552</v>
      </c>
      <c r="C292" s="42" t="s">
        <v>327</v>
      </c>
      <c r="D292" s="42" t="s">
        <v>278</v>
      </c>
      <c r="E292" s="42" t="s">
        <v>338</v>
      </c>
      <c r="F292" s="80"/>
      <c r="G292" s="11">
        <f>'Прил.№4 ведомств.'!G703</f>
        <v>36</v>
      </c>
    </row>
    <row r="293" spans="1:7" ht="58.5" customHeight="1" x14ac:dyDescent="0.25">
      <c r="A293" s="82" t="s">
        <v>544</v>
      </c>
      <c r="B293" s="42" t="s">
        <v>548</v>
      </c>
      <c r="C293" s="42" t="s">
        <v>327</v>
      </c>
      <c r="D293" s="42" t="s">
        <v>278</v>
      </c>
      <c r="E293" s="42"/>
      <c r="F293" s="2">
        <v>907</v>
      </c>
      <c r="G293" s="11">
        <f>G272</f>
        <v>10705.5</v>
      </c>
    </row>
    <row r="294" spans="1:7" ht="63" x14ac:dyDescent="0.25">
      <c r="A294" s="64" t="s">
        <v>557</v>
      </c>
      <c r="B294" s="8" t="s">
        <v>558</v>
      </c>
      <c r="C294" s="8"/>
      <c r="D294" s="8"/>
      <c r="E294" s="8"/>
      <c r="F294" s="3"/>
      <c r="G294" s="68">
        <f>G295</f>
        <v>22994.200000000004</v>
      </c>
    </row>
    <row r="295" spans="1:7" ht="15.75" x14ac:dyDescent="0.25">
      <c r="A295" s="31" t="s">
        <v>554</v>
      </c>
      <c r="B295" s="42" t="s">
        <v>558</v>
      </c>
      <c r="C295" s="2">
        <v>11</v>
      </c>
      <c r="D295" s="80"/>
      <c r="E295" s="80"/>
      <c r="F295" s="80"/>
      <c r="G295" s="11">
        <f>G296</f>
        <v>22994.200000000004</v>
      </c>
    </row>
    <row r="296" spans="1:7" ht="20.25" customHeight="1" x14ac:dyDescent="0.25">
      <c r="A296" s="31" t="s">
        <v>556</v>
      </c>
      <c r="B296" s="42" t="s">
        <v>558</v>
      </c>
      <c r="C296" s="42" t="s">
        <v>555</v>
      </c>
      <c r="D296" s="42" t="s">
        <v>181</v>
      </c>
      <c r="E296" s="83"/>
      <c r="F296" s="6"/>
      <c r="G296" s="11">
        <f>G297+G301+G305+G309+G313</f>
        <v>22994.200000000004</v>
      </c>
    </row>
    <row r="297" spans="1:7" ht="47.25" x14ac:dyDescent="0.25">
      <c r="A297" s="31" t="s">
        <v>559</v>
      </c>
      <c r="B297" s="42" t="s">
        <v>560</v>
      </c>
      <c r="C297" s="42" t="s">
        <v>555</v>
      </c>
      <c r="D297" s="42" t="s">
        <v>181</v>
      </c>
      <c r="E297" s="83"/>
      <c r="F297" s="6"/>
      <c r="G297" s="11">
        <f>G298</f>
        <v>22696.700000000004</v>
      </c>
    </row>
    <row r="298" spans="1:7" ht="65.25" customHeight="1" x14ac:dyDescent="0.25">
      <c r="A298" s="31" t="s">
        <v>335</v>
      </c>
      <c r="B298" s="42" t="s">
        <v>560</v>
      </c>
      <c r="C298" s="42" t="s">
        <v>555</v>
      </c>
      <c r="D298" s="42" t="s">
        <v>181</v>
      </c>
      <c r="E298" s="42" t="s">
        <v>336</v>
      </c>
      <c r="F298" s="6"/>
      <c r="G298" s="11">
        <f>G299</f>
        <v>22696.700000000004</v>
      </c>
    </row>
    <row r="299" spans="1:7" ht="15.75" x14ac:dyDescent="0.25">
      <c r="A299" s="31" t="s">
        <v>337</v>
      </c>
      <c r="B299" s="42" t="s">
        <v>560</v>
      </c>
      <c r="C299" s="42" t="s">
        <v>555</v>
      </c>
      <c r="D299" s="42" t="s">
        <v>181</v>
      </c>
      <c r="E299" s="42" t="s">
        <v>338</v>
      </c>
      <c r="F299" s="6"/>
      <c r="G299" s="11">
        <f>'Прил.№4 ведомств.'!G724</f>
        <v>22696.700000000004</v>
      </c>
    </row>
    <row r="300" spans="1:7" ht="47.25" hidden="1" x14ac:dyDescent="0.25">
      <c r="A300" s="48" t="s">
        <v>544</v>
      </c>
      <c r="B300" s="42" t="s">
        <v>558</v>
      </c>
      <c r="C300" s="42" t="s">
        <v>555</v>
      </c>
      <c r="D300" s="42" t="s">
        <v>181</v>
      </c>
      <c r="E300" s="42"/>
      <c r="F300" s="6">
        <v>907</v>
      </c>
      <c r="G300" s="11">
        <f>G294</f>
        <v>22994.200000000004</v>
      </c>
    </row>
    <row r="301" spans="1:7" ht="63" hidden="1" x14ac:dyDescent="0.25">
      <c r="A301" s="31" t="s">
        <v>675</v>
      </c>
      <c r="B301" s="42" t="s">
        <v>744</v>
      </c>
      <c r="C301" s="42" t="s">
        <v>555</v>
      </c>
      <c r="D301" s="42" t="s">
        <v>181</v>
      </c>
      <c r="E301" s="42"/>
      <c r="F301" s="6"/>
      <c r="G301" s="11">
        <f>G302</f>
        <v>0</v>
      </c>
    </row>
    <row r="302" spans="1:7" ht="63" hidden="1" x14ac:dyDescent="0.25">
      <c r="A302" s="31" t="s">
        <v>335</v>
      </c>
      <c r="B302" s="42" t="s">
        <v>744</v>
      </c>
      <c r="C302" s="42" t="s">
        <v>555</v>
      </c>
      <c r="D302" s="42" t="s">
        <v>181</v>
      </c>
      <c r="E302" s="42" t="s">
        <v>336</v>
      </c>
      <c r="F302" s="6"/>
      <c r="G302" s="11">
        <f>G303</f>
        <v>0</v>
      </c>
    </row>
    <row r="303" spans="1:7" ht="15.75" hidden="1" x14ac:dyDescent="0.25">
      <c r="A303" s="31" t="s">
        <v>337</v>
      </c>
      <c r="B303" s="42" t="s">
        <v>744</v>
      </c>
      <c r="C303" s="42" t="s">
        <v>555</v>
      </c>
      <c r="D303" s="42" t="s">
        <v>181</v>
      </c>
      <c r="E303" s="42" t="s">
        <v>338</v>
      </c>
      <c r="F303" s="6"/>
      <c r="G303" s="11">
        <f>G304</f>
        <v>0</v>
      </c>
    </row>
    <row r="304" spans="1:7" ht="47.25" hidden="1" x14ac:dyDescent="0.25">
      <c r="A304" s="82" t="s">
        <v>544</v>
      </c>
      <c r="B304" s="42" t="s">
        <v>744</v>
      </c>
      <c r="C304" s="42" t="s">
        <v>555</v>
      </c>
      <c r="D304" s="42" t="s">
        <v>181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341</v>
      </c>
      <c r="B305" s="42" t="s">
        <v>561</v>
      </c>
      <c r="C305" s="42" t="s">
        <v>555</v>
      </c>
      <c r="D305" s="42" t="s">
        <v>181</v>
      </c>
      <c r="E305" s="42"/>
      <c r="F305" s="6"/>
      <c r="G305" s="11">
        <f>G306</f>
        <v>297.5</v>
      </c>
    </row>
    <row r="306" spans="1:8" ht="63" x14ac:dyDescent="0.25">
      <c r="A306" s="31" t="s">
        <v>335</v>
      </c>
      <c r="B306" s="42" t="s">
        <v>561</v>
      </c>
      <c r="C306" s="42" t="s">
        <v>555</v>
      </c>
      <c r="D306" s="42" t="s">
        <v>181</v>
      </c>
      <c r="E306" s="42" t="s">
        <v>336</v>
      </c>
      <c r="F306" s="6"/>
      <c r="G306" s="11">
        <f>G307</f>
        <v>297.5</v>
      </c>
    </row>
    <row r="307" spans="1:8" ht="15.75" x14ac:dyDescent="0.25">
      <c r="A307" s="31" t="s">
        <v>337</v>
      </c>
      <c r="B307" s="42" t="s">
        <v>561</v>
      </c>
      <c r="C307" s="42" t="s">
        <v>555</v>
      </c>
      <c r="D307" s="42" t="s">
        <v>181</v>
      </c>
      <c r="E307" s="42" t="s">
        <v>338</v>
      </c>
      <c r="F307" s="6"/>
      <c r="G307" s="196">
        <f>'Прил.№4 ведомств.'!G727</f>
        <v>297.5</v>
      </c>
      <c r="H307" s="197" t="s">
        <v>877</v>
      </c>
    </row>
    <row r="308" spans="1:8" ht="47.25" x14ac:dyDescent="0.25">
      <c r="A308" s="48" t="s">
        <v>544</v>
      </c>
      <c r="B308" s="42" t="s">
        <v>558</v>
      </c>
      <c r="C308" s="42" t="s">
        <v>555</v>
      </c>
      <c r="D308" s="42" t="s">
        <v>181</v>
      </c>
      <c r="E308" s="42"/>
      <c r="F308" s="6">
        <v>907</v>
      </c>
      <c r="G308" s="11">
        <f>G299+G307</f>
        <v>22994.200000000004</v>
      </c>
    </row>
    <row r="309" spans="1:8" ht="31.5" hidden="1" x14ac:dyDescent="0.25">
      <c r="A309" s="31" t="s">
        <v>343</v>
      </c>
      <c r="B309" s="42" t="s">
        <v>745</v>
      </c>
      <c r="C309" s="42" t="s">
        <v>555</v>
      </c>
      <c r="D309" s="42" t="s">
        <v>181</v>
      </c>
      <c r="E309" s="42"/>
      <c r="F309" s="6"/>
      <c r="G309" s="11">
        <f>G310</f>
        <v>0</v>
      </c>
    </row>
    <row r="310" spans="1:8" ht="63" hidden="1" x14ac:dyDescent="0.25">
      <c r="A310" s="31" t="s">
        <v>335</v>
      </c>
      <c r="B310" s="42" t="s">
        <v>745</v>
      </c>
      <c r="C310" s="42" t="s">
        <v>555</v>
      </c>
      <c r="D310" s="42" t="s">
        <v>181</v>
      </c>
      <c r="E310" s="42" t="s">
        <v>336</v>
      </c>
      <c r="F310" s="6"/>
      <c r="G310" s="11">
        <f>G311</f>
        <v>0</v>
      </c>
    </row>
    <row r="311" spans="1:8" ht="15.75" hidden="1" x14ac:dyDescent="0.25">
      <c r="A311" s="31" t="s">
        <v>337</v>
      </c>
      <c r="B311" s="42" t="s">
        <v>745</v>
      </c>
      <c r="C311" s="42" t="s">
        <v>555</v>
      </c>
      <c r="D311" s="42" t="s">
        <v>181</v>
      </c>
      <c r="E311" s="42" t="s">
        <v>338</v>
      </c>
      <c r="F311" s="6"/>
      <c r="G311" s="11"/>
    </row>
    <row r="312" spans="1:8" ht="47.25" hidden="1" x14ac:dyDescent="0.25">
      <c r="A312" s="48" t="s">
        <v>544</v>
      </c>
      <c r="B312" s="42" t="s">
        <v>745</v>
      </c>
      <c r="C312" s="42" t="s">
        <v>555</v>
      </c>
      <c r="D312" s="42" t="s">
        <v>181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347</v>
      </c>
      <c r="B313" s="42" t="s">
        <v>746</v>
      </c>
      <c r="C313" s="42" t="s">
        <v>555</v>
      </c>
      <c r="D313" s="42" t="s">
        <v>181</v>
      </c>
      <c r="E313" s="42"/>
      <c r="F313" s="6"/>
      <c r="G313" s="11">
        <f>G314</f>
        <v>0</v>
      </c>
    </row>
    <row r="314" spans="1:8" ht="63" hidden="1" x14ac:dyDescent="0.25">
      <c r="A314" s="31" t="s">
        <v>335</v>
      </c>
      <c r="B314" s="42" t="s">
        <v>746</v>
      </c>
      <c r="C314" s="42" t="s">
        <v>555</v>
      </c>
      <c r="D314" s="42" t="s">
        <v>181</v>
      </c>
      <c r="E314" s="42" t="s">
        <v>336</v>
      </c>
      <c r="F314" s="6"/>
      <c r="G314" s="11">
        <f>G315</f>
        <v>0</v>
      </c>
    </row>
    <row r="315" spans="1:8" ht="15.75" hidden="1" x14ac:dyDescent="0.25">
      <c r="A315" s="31" t="s">
        <v>337</v>
      </c>
      <c r="B315" s="42" t="s">
        <v>746</v>
      </c>
      <c r="C315" s="42" t="s">
        <v>555</v>
      </c>
      <c r="D315" s="42" t="s">
        <v>181</v>
      </c>
      <c r="E315" s="42" t="s">
        <v>338</v>
      </c>
      <c r="F315" s="6"/>
      <c r="G315" s="11"/>
    </row>
    <row r="316" spans="1:8" ht="47.25" hidden="1" x14ac:dyDescent="0.25">
      <c r="A316" s="48" t="s">
        <v>544</v>
      </c>
      <c r="B316" s="42" t="s">
        <v>746</v>
      </c>
      <c r="C316" s="42" t="s">
        <v>555</v>
      </c>
      <c r="D316" s="42" t="s">
        <v>181</v>
      </c>
      <c r="E316" s="42"/>
      <c r="F316" s="6">
        <v>907</v>
      </c>
      <c r="G316" s="11">
        <v>0</v>
      </c>
    </row>
    <row r="317" spans="1:8" ht="63" x14ac:dyDescent="0.25">
      <c r="A317" s="64" t="s">
        <v>565</v>
      </c>
      <c r="B317" s="8" t="s">
        <v>566</v>
      </c>
      <c r="C317" s="8"/>
      <c r="D317" s="8"/>
      <c r="E317" s="8"/>
      <c r="F317" s="220"/>
      <c r="G317" s="4">
        <f>G318</f>
        <v>2797</v>
      </c>
    </row>
    <row r="318" spans="1:8" ht="15.75" x14ac:dyDescent="0.25">
      <c r="A318" s="31" t="s">
        <v>554</v>
      </c>
      <c r="B318" s="42" t="s">
        <v>566</v>
      </c>
      <c r="C318" s="2">
        <v>11</v>
      </c>
      <c r="D318" s="42"/>
      <c r="E318" s="42"/>
      <c r="F318" s="6"/>
      <c r="G318" s="7">
        <f>G319</f>
        <v>2797</v>
      </c>
    </row>
    <row r="319" spans="1:8" ht="31.5" x14ac:dyDescent="0.25">
      <c r="A319" s="26" t="s">
        <v>564</v>
      </c>
      <c r="B319" s="42" t="s">
        <v>566</v>
      </c>
      <c r="C319" s="42" t="s">
        <v>555</v>
      </c>
      <c r="D319" s="42" t="s">
        <v>297</v>
      </c>
      <c r="E319" s="42"/>
      <c r="F319" s="6"/>
      <c r="G319" s="7">
        <f>G320</f>
        <v>2797</v>
      </c>
    </row>
    <row r="320" spans="1:8" ht="47.25" x14ac:dyDescent="0.25">
      <c r="A320" s="31" t="s">
        <v>220</v>
      </c>
      <c r="B320" s="42" t="s">
        <v>567</v>
      </c>
      <c r="C320" s="42" t="s">
        <v>555</v>
      </c>
      <c r="D320" s="42" t="s">
        <v>297</v>
      </c>
      <c r="E320" s="42"/>
      <c r="F320" s="6"/>
      <c r="G320" s="7">
        <f>G323+G321</f>
        <v>2797</v>
      </c>
    </row>
    <row r="321" spans="1:7" ht="110.25" x14ac:dyDescent="0.25">
      <c r="A321" s="26" t="s">
        <v>190</v>
      </c>
      <c r="B321" s="42" t="s">
        <v>567</v>
      </c>
      <c r="C321" s="42" t="s">
        <v>555</v>
      </c>
      <c r="D321" s="42" t="s">
        <v>297</v>
      </c>
      <c r="E321" s="42" t="s">
        <v>191</v>
      </c>
      <c r="F321" s="6"/>
      <c r="G321" s="7">
        <f>G322</f>
        <v>1805</v>
      </c>
    </row>
    <row r="322" spans="1:7" ht="55.5" customHeight="1" x14ac:dyDescent="0.25">
      <c r="A322" s="26" t="s">
        <v>192</v>
      </c>
      <c r="B322" s="42" t="s">
        <v>567</v>
      </c>
      <c r="C322" s="42" t="s">
        <v>555</v>
      </c>
      <c r="D322" s="42" t="s">
        <v>297</v>
      </c>
      <c r="E322" s="42" t="s">
        <v>193</v>
      </c>
      <c r="F322" s="6"/>
      <c r="G322" s="7">
        <f>'Прил.№4 ведомств.'!G744</f>
        <v>1805</v>
      </c>
    </row>
    <row r="323" spans="1:7" ht="47.25" x14ac:dyDescent="0.25">
      <c r="A323" s="31" t="s">
        <v>194</v>
      </c>
      <c r="B323" s="42" t="s">
        <v>567</v>
      </c>
      <c r="C323" s="42" t="s">
        <v>555</v>
      </c>
      <c r="D323" s="42" t="s">
        <v>297</v>
      </c>
      <c r="E323" s="42" t="s">
        <v>195</v>
      </c>
      <c r="F323" s="6"/>
      <c r="G323" s="7">
        <f>G324</f>
        <v>992</v>
      </c>
    </row>
    <row r="324" spans="1:7" ht="47.25" x14ac:dyDescent="0.25">
      <c r="A324" s="31" t="s">
        <v>196</v>
      </c>
      <c r="B324" s="42" t="s">
        <v>567</v>
      </c>
      <c r="C324" s="42" t="s">
        <v>555</v>
      </c>
      <c r="D324" s="42" t="s">
        <v>297</v>
      </c>
      <c r="E324" s="42" t="s">
        <v>197</v>
      </c>
      <c r="F324" s="6"/>
      <c r="G324" s="7">
        <f>'Прил.№4 ведомств.'!G746</f>
        <v>992</v>
      </c>
    </row>
    <row r="325" spans="1:7" ht="47.25" x14ac:dyDescent="0.25">
      <c r="A325" s="82" t="s">
        <v>544</v>
      </c>
      <c r="B325" s="42" t="s">
        <v>566</v>
      </c>
      <c r="C325" s="42" t="s">
        <v>555</v>
      </c>
      <c r="D325" s="42" t="s">
        <v>297</v>
      </c>
      <c r="E325" s="42"/>
      <c r="F325" s="6">
        <v>907</v>
      </c>
      <c r="G325" s="11">
        <f>G317</f>
        <v>2797</v>
      </c>
    </row>
    <row r="326" spans="1:7" ht="63" x14ac:dyDescent="0.25">
      <c r="A326" s="43" t="s">
        <v>329</v>
      </c>
      <c r="B326" s="8" t="s">
        <v>330</v>
      </c>
      <c r="C326" s="84"/>
      <c r="D326" s="84"/>
      <c r="E326" s="84"/>
      <c r="F326" s="3"/>
      <c r="G326" s="68">
        <f>G327+G353+G374</f>
        <v>57558.3</v>
      </c>
    </row>
    <row r="327" spans="1:7" ht="78.75" x14ac:dyDescent="0.25">
      <c r="A327" s="43" t="s">
        <v>331</v>
      </c>
      <c r="B327" s="8" t="s">
        <v>332</v>
      </c>
      <c r="C327" s="84"/>
      <c r="D327" s="84"/>
      <c r="E327" s="84"/>
      <c r="F327" s="3"/>
      <c r="G327" s="68">
        <f>G328</f>
        <v>13657.099999999999</v>
      </c>
    </row>
    <row r="328" spans="1:7" ht="15.75" x14ac:dyDescent="0.25">
      <c r="A328" s="31" t="s">
        <v>326</v>
      </c>
      <c r="B328" s="42" t="s">
        <v>332</v>
      </c>
      <c r="C328" s="42" t="s">
        <v>327</v>
      </c>
      <c r="D328" s="84"/>
      <c r="E328" s="84"/>
      <c r="F328" s="3"/>
      <c r="G328" s="11">
        <f>G329</f>
        <v>13657.099999999999</v>
      </c>
    </row>
    <row r="329" spans="1:7" ht="15.75" x14ac:dyDescent="0.25">
      <c r="A329" s="31" t="s">
        <v>489</v>
      </c>
      <c r="B329" s="42" t="s">
        <v>332</v>
      </c>
      <c r="C329" s="42" t="s">
        <v>327</v>
      </c>
      <c r="D329" s="42" t="s">
        <v>278</v>
      </c>
      <c r="E329" s="84"/>
      <c r="F329" s="3"/>
      <c r="G329" s="11">
        <f>G330+G345</f>
        <v>13657.099999999999</v>
      </c>
    </row>
    <row r="330" spans="1:7" ht="63" x14ac:dyDescent="0.25">
      <c r="A330" s="31" t="s">
        <v>333</v>
      </c>
      <c r="B330" s="42" t="s">
        <v>334</v>
      </c>
      <c r="C330" s="42" t="s">
        <v>327</v>
      </c>
      <c r="D330" s="42" t="s">
        <v>278</v>
      </c>
      <c r="E330" s="84"/>
      <c r="F330" s="3"/>
      <c r="G330" s="11">
        <f>G331</f>
        <v>13607.099999999999</v>
      </c>
    </row>
    <row r="331" spans="1:7" ht="63" x14ac:dyDescent="0.25">
      <c r="A331" s="31" t="s">
        <v>335</v>
      </c>
      <c r="B331" s="42" t="s">
        <v>334</v>
      </c>
      <c r="C331" s="42" t="s">
        <v>327</v>
      </c>
      <c r="D331" s="42" t="s">
        <v>278</v>
      </c>
      <c r="E331" s="42" t="s">
        <v>336</v>
      </c>
      <c r="F331" s="3"/>
      <c r="G331" s="11">
        <f>G332</f>
        <v>13607.099999999999</v>
      </c>
    </row>
    <row r="332" spans="1:7" ht="15.75" x14ac:dyDescent="0.25">
      <c r="A332" s="31" t="s">
        <v>337</v>
      </c>
      <c r="B332" s="42" t="s">
        <v>334</v>
      </c>
      <c r="C332" s="42" t="s">
        <v>327</v>
      </c>
      <c r="D332" s="42" t="s">
        <v>278</v>
      </c>
      <c r="E332" s="42" t="s">
        <v>338</v>
      </c>
      <c r="F332" s="3"/>
      <c r="G332" s="7">
        <f>'Прил.№4 ведомств.'!G244</f>
        <v>13607.099999999999</v>
      </c>
    </row>
    <row r="333" spans="1:7" ht="63" hidden="1" x14ac:dyDescent="0.25">
      <c r="A333" s="31" t="s">
        <v>339</v>
      </c>
      <c r="B333" s="42" t="s">
        <v>747</v>
      </c>
      <c r="C333" s="42" t="s">
        <v>327</v>
      </c>
      <c r="D333" s="42" t="s">
        <v>278</v>
      </c>
      <c r="E333" s="42"/>
      <c r="F333" s="3"/>
      <c r="G333" s="11">
        <f>G334</f>
        <v>0</v>
      </c>
    </row>
    <row r="334" spans="1:7" ht="63" hidden="1" x14ac:dyDescent="0.25">
      <c r="A334" s="31" t="s">
        <v>335</v>
      </c>
      <c r="B334" s="42" t="s">
        <v>747</v>
      </c>
      <c r="C334" s="42" t="s">
        <v>327</v>
      </c>
      <c r="D334" s="42" t="s">
        <v>278</v>
      </c>
      <c r="E334" s="42" t="s">
        <v>336</v>
      </c>
      <c r="F334" s="3"/>
      <c r="G334" s="11">
        <f>G335</f>
        <v>0</v>
      </c>
    </row>
    <row r="335" spans="1:7" ht="15.75" hidden="1" x14ac:dyDescent="0.25">
      <c r="A335" s="31" t="s">
        <v>337</v>
      </c>
      <c r="B335" s="42" t="s">
        <v>747</v>
      </c>
      <c r="C335" s="42" t="s">
        <v>327</v>
      </c>
      <c r="D335" s="42" t="s">
        <v>278</v>
      </c>
      <c r="E335" s="42" t="s">
        <v>338</v>
      </c>
      <c r="F335" s="3"/>
      <c r="G335" s="11"/>
    </row>
    <row r="336" spans="1:7" ht="63" hidden="1" x14ac:dyDescent="0.25">
      <c r="A336" s="47" t="s">
        <v>324</v>
      </c>
      <c r="B336" s="42" t="s">
        <v>747</v>
      </c>
      <c r="C336" s="42" t="s">
        <v>327</v>
      </c>
      <c r="D336" s="42" t="s">
        <v>278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341</v>
      </c>
      <c r="B337" s="42" t="s">
        <v>748</v>
      </c>
      <c r="C337" s="42" t="s">
        <v>327</v>
      </c>
      <c r="D337" s="42" t="s">
        <v>278</v>
      </c>
      <c r="E337" s="42"/>
      <c r="F337" s="3"/>
      <c r="G337" s="11">
        <f>G338</f>
        <v>0</v>
      </c>
    </row>
    <row r="338" spans="1:7" ht="63" hidden="1" x14ac:dyDescent="0.25">
      <c r="A338" s="31" t="s">
        <v>335</v>
      </c>
      <c r="B338" s="42" t="s">
        <v>748</v>
      </c>
      <c r="C338" s="42" t="s">
        <v>327</v>
      </c>
      <c r="D338" s="42" t="s">
        <v>278</v>
      </c>
      <c r="E338" s="42" t="s">
        <v>336</v>
      </c>
      <c r="F338" s="3"/>
      <c r="G338" s="11">
        <f>G339</f>
        <v>0</v>
      </c>
    </row>
    <row r="339" spans="1:7" ht="15.75" hidden="1" x14ac:dyDescent="0.25">
      <c r="A339" s="31" t="s">
        <v>337</v>
      </c>
      <c r="B339" s="42" t="s">
        <v>748</v>
      </c>
      <c r="C339" s="42" t="s">
        <v>327</v>
      </c>
      <c r="D339" s="42" t="s">
        <v>278</v>
      </c>
      <c r="E339" s="42" t="s">
        <v>338</v>
      </c>
      <c r="F339" s="3"/>
      <c r="G339" s="11"/>
    </row>
    <row r="340" spans="1:7" ht="63" hidden="1" x14ac:dyDescent="0.25">
      <c r="A340" s="47" t="s">
        <v>324</v>
      </c>
      <c r="B340" s="42" t="s">
        <v>748</v>
      </c>
      <c r="C340" s="42" t="s">
        <v>327</v>
      </c>
      <c r="D340" s="42" t="s">
        <v>278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343</v>
      </c>
      <c r="B341" s="42" t="s">
        <v>749</v>
      </c>
      <c r="C341" s="42" t="s">
        <v>327</v>
      </c>
      <c r="D341" s="42" t="s">
        <v>278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335</v>
      </c>
      <c r="B342" s="42" t="s">
        <v>749</v>
      </c>
      <c r="C342" s="42" t="s">
        <v>327</v>
      </c>
      <c r="D342" s="42" t="s">
        <v>278</v>
      </c>
      <c r="E342" s="42" t="s">
        <v>336</v>
      </c>
      <c r="F342" s="3"/>
      <c r="G342" s="11">
        <f>G343</f>
        <v>0</v>
      </c>
    </row>
    <row r="343" spans="1:7" ht="15.75" hidden="1" x14ac:dyDescent="0.25">
      <c r="A343" s="31" t="s">
        <v>337</v>
      </c>
      <c r="B343" s="42" t="s">
        <v>749</v>
      </c>
      <c r="C343" s="42" t="s">
        <v>327</v>
      </c>
      <c r="D343" s="42" t="s">
        <v>278</v>
      </c>
      <c r="E343" s="42" t="s">
        <v>338</v>
      </c>
      <c r="F343" s="3"/>
      <c r="G343" s="11"/>
    </row>
    <row r="344" spans="1:7" ht="63" hidden="1" x14ac:dyDescent="0.25">
      <c r="A344" s="47" t="s">
        <v>324</v>
      </c>
      <c r="B344" s="42" t="s">
        <v>749</v>
      </c>
      <c r="C344" s="42" t="s">
        <v>327</v>
      </c>
      <c r="D344" s="42" t="s">
        <v>278</v>
      </c>
      <c r="E344" s="42"/>
      <c r="F344" s="2">
        <v>903</v>
      </c>
      <c r="G344" s="11">
        <v>0</v>
      </c>
    </row>
    <row r="345" spans="1:7" ht="47.25" x14ac:dyDescent="0.25">
      <c r="A345" s="31" t="s">
        <v>345</v>
      </c>
      <c r="B345" s="42" t="s">
        <v>346</v>
      </c>
      <c r="C345" s="42" t="s">
        <v>327</v>
      </c>
      <c r="D345" s="42" t="s">
        <v>278</v>
      </c>
      <c r="E345" s="42"/>
      <c r="F345" s="3"/>
      <c r="G345" s="11">
        <f>G346</f>
        <v>50</v>
      </c>
    </row>
    <row r="346" spans="1:7" ht="63" x14ac:dyDescent="0.25">
      <c r="A346" s="31" t="s">
        <v>335</v>
      </c>
      <c r="B346" s="42" t="s">
        <v>346</v>
      </c>
      <c r="C346" s="42" t="s">
        <v>327</v>
      </c>
      <c r="D346" s="42" t="s">
        <v>278</v>
      </c>
      <c r="E346" s="42" t="s">
        <v>336</v>
      </c>
      <c r="F346" s="3"/>
      <c r="G346" s="11">
        <f>G347</f>
        <v>50</v>
      </c>
    </row>
    <row r="347" spans="1:7" ht="15.75" x14ac:dyDescent="0.25">
      <c r="A347" s="31" t="s">
        <v>337</v>
      </c>
      <c r="B347" s="42" t="s">
        <v>346</v>
      </c>
      <c r="C347" s="42" t="s">
        <v>327</v>
      </c>
      <c r="D347" s="42" t="s">
        <v>278</v>
      </c>
      <c r="E347" s="42" t="s">
        <v>338</v>
      </c>
      <c r="F347" s="3"/>
      <c r="G347" s="7">
        <f>'Прил.№4 ведомств.'!G256</f>
        <v>50</v>
      </c>
    </row>
    <row r="348" spans="1:7" ht="63" x14ac:dyDescent="0.25">
      <c r="A348" s="47" t="s">
        <v>324</v>
      </c>
      <c r="B348" s="42" t="s">
        <v>332</v>
      </c>
      <c r="C348" s="42" t="s">
        <v>327</v>
      </c>
      <c r="D348" s="42" t="s">
        <v>278</v>
      </c>
      <c r="E348" s="42"/>
      <c r="F348" s="2">
        <v>903</v>
      </c>
      <c r="G348" s="11">
        <f>G327</f>
        <v>13657.099999999999</v>
      </c>
    </row>
    <row r="349" spans="1:7" ht="47.25" hidden="1" x14ac:dyDescent="0.25">
      <c r="A349" s="31" t="s">
        <v>689</v>
      </c>
      <c r="B349" s="42" t="s">
        <v>690</v>
      </c>
      <c r="C349" s="42" t="s">
        <v>327</v>
      </c>
      <c r="D349" s="42" t="s">
        <v>276</v>
      </c>
      <c r="E349" s="42"/>
      <c r="F349" s="3"/>
      <c r="G349" s="11">
        <f>G350</f>
        <v>0</v>
      </c>
    </row>
    <row r="350" spans="1:7" ht="63" hidden="1" x14ac:dyDescent="0.25">
      <c r="A350" s="31" t="s">
        <v>335</v>
      </c>
      <c r="B350" s="42" t="s">
        <v>690</v>
      </c>
      <c r="C350" s="42" t="s">
        <v>327</v>
      </c>
      <c r="D350" s="42" t="s">
        <v>276</v>
      </c>
      <c r="E350" s="42" t="s">
        <v>336</v>
      </c>
      <c r="F350" s="3"/>
      <c r="G350" s="11">
        <f>G351</f>
        <v>0</v>
      </c>
    </row>
    <row r="351" spans="1:7" ht="15.75" hidden="1" x14ac:dyDescent="0.25">
      <c r="A351" s="31" t="s">
        <v>337</v>
      </c>
      <c r="B351" s="42" t="s">
        <v>690</v>
      </c>
      <c r="C351" s="42" t="s">
        <v>327</v>
      </c>
      <c r="D351" s="42" t="s">
        <v>276</v>
      </c>
      <c r="E351" s="42" t="s">
        <v>338</v>
      </c>
      <c r="F351" s="3"/>
      <c r="G351" s="11"/>
    </row>
    <row r="352" spans="1:7" ht="63" hidden="1" x14ac:dyDescent="0.25">
      <c r="A352" s="47" t="s">
        <v>324</v>
      </c>
      <c r="B352" s="42" t="s">
        <v>690</v>
      </c>
      <c r="C352" s="42" t="s">
        <v>327</v>
      </c>
      <c r="D352" s="42" t="s">
        <v>276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364</v>
      </c>
      <c r="B353" s="8" t="s">
        <v>365</v>
      </c>
      <c r="C353" s="8"/>
      <c r="D353" s="8"/>
      <c r="E353" s="84"/>
      <c r="F353" s="3"/>
      <c r="G353" s="68">
        <f>G354</f>
        <v>25842.500000000004</v>
      </c>
    </row>
    <row r="354" spans="1:7" ht="15.75" x14ac:dyDescent="0.25">
      <c r="A354" s="85" t="s">
        <v>361</v>
      </c>
      <c r="B354" s="42" t="s">
        <v>365</v>
      </c>
      <c r="C354" s="42" t="s">
        <v>362</v>
      </c>
      <c r="D354" s="85"/>
      <c r="E354" s="85"/>
      <c r="F354" s="2"/>
      <c r="G354" s="11">
        <f>G355</f>
        <v>25842.500000000004</v>
      </c>
    </row>
    <row r="355" spans="1:7" ht="15.75" x14ac:dyDescent="0.25">
      <c r="A355" s="85" t="s">
        <v>363</v>
      </c>
      <c r="B355" s="42" t="s">
        <v>365</v>
      </c>
      <c r="C355" s="42" t="s">
        <v>362</v>
      </c>
      <c r="D355" s="42" t="s">
        <v>181</v>
      </c>
      <c r="E355" s="85"/>
      <c r="F355" s="2"/>
      <c r="G355" s="11">
        <f>G356+G363+G366</f>
        <v>25842.500000000004</v>
      </c>
    </row>
    <row r="356" spans="1:7" ht="63" x14ac:dyDescent="0.25">
      <c r="A356" s="31" t="s">
        <v>366</v>
      </c>
      <c r="B356" s="42" t="s">
        <v>367</v>
      </c>
      <c r="C356" s="42" t="s">
        <v>362</v>
      </c>
      <c r="D356" s="42" t="s">
        <v>181</v>
      </c>
      <c r="E356" s="85"/>
      <c r="F356" s="2"/>
      <c r="G356" s="11">
        <f>G357</f>
        <v>23705.000000000004</v>
      </c>
    </row>
    <row r="357" spans="1:7" ht="63" x14ac:dyDescent="0.25">
      <c r="A357" s="31" t="s">
        <v>335</v>
      </c>
      <c r="B357" s="42" t="s">
        <v>367</v>
      </c>
      <c r="C357" s="42" t="s">
        <v>362</v>
      </c>
      <c r="D357" s="42" t="s">
        <v>181</v>
      </c>
      <c r="E357" s="42" t="s">
        <v>336</v>
      </c>
      <c r="F357" s="2"/>
      <c r="G357" s="11">
        <f>G358</f>
        <v>23705.000000000004</v>
      </c>
    </row>
    <row r="358" spans="1:7" ht="15.75" x14ac:dyDescent="0.25">
      <c r="A358" s="31" t="s">
        <v>337</v>
      </c>
      <c r="B358" s="42" t="s">
        <v>367</v>
      </c>
      <c r="C358" s="42" t="s">
        <v>362</v>
      </c>
      <c r="D358" s="42" t="s">
        <v>181</v>
      </c>
      <c r="E358" s="42" t="s">
        <v>338</v>
      </c>
      <c r="F358" s="2"/>
      <c r="G358" s="11">
        <f>'Прил.№4 ведомств.'!G286</f>
        <v>23705.000000000004</v>
      </c>
    </row>
    <row r="359" spans="1:7" ht="63" hidden="1" x14ac:dyDescent="0.25">
      <c r="A359" s="31" t="s">
        <v>339</v>
      </c>
      <c r="B359" s="42" t="s">
        <v>694</v>
      </c>
      <c r="C359" s="42" t="s">
        <v>362</v>
      </c>
      <c r="D359" s="42" t="s">
        <v>181</v>
      </c>
      <c r="E359" s="42"/>
      <c r="F359" s="2"/>
      <c r="G359" s="11">
        <f>G360</f>
        <v>0</v>
      </c>
    </row>
    <row r="360" spans="1:7" ht="63" hidden="1" x14ac:dyDescent="0.25">
      <c r="A360" s="31" t="s">
        <v>335</v>
      </c>
      <c r="B360" s="42" t="s">
        <v>694</v>
      </c>
      <c r="C360" s="42" t="s">
        <v>362</v>
      </c>
      <c r="D360" s="42" t="s">
        <v>181</v>
      </c>
      <c r="E360" s="42" t="s">
        <v>336</v>
      </c>
      <c r="F360" s="2"/>
      <c r="G360" s="11">
        <f>G361</f>
        <v>0</v>
      </c>
    </row>
    <row r="361" spans="1:7" ht="15.75" hidden="1" x14ac:dyDescent="0.25">
      <c r="A361" s="31" t="s">
        <v>337</v>
      </c>
      <c r="B361" s="42" t="s">
        <v>694</v>
      </c>
      <c r="C361" s="42" t="s">
        <v>362</v>
      </c>
      <c r="D361" s="42" t="s">
        <v>181</v>
      </c>
      <c r="E361" s="42" t="s">
        <v>338</v>
      </c>
      <c r="F361" s="2"/>
      <c r="G361" s="11"/>
    </row>
    <row r="362" spans="1:7" ht="63" hidden="1" x14ac:dyDescent="0.25">
      <c r="A362" s="47" t="s">
        <v>324</v>
      </c>
      <c r="B362" s="42" t="s">
        <v>694</v>
      </c>
      <c r="C362" s="42" t="s">
        <v>362</v>
      </c>
      <c r="D362" s="42" t="s">
        <v>181</v>
      </c>
      <c r="E362" s="42"/>
      <c r="F362" s="2">
        <v>903</v>
      </c>
      <c r="G362" s="11">
        <v>0</v>
      </c>
    </row>
    <row r="363" spans="1:7" ht="31.5" x14ac:dyDescent="0.25">
      <c r="A363" s="31" t="s">
        <v>698</v>
      </c>
      <c r="B363" s="42" t="s">
        <v>369</v>
      </c>
      <c r="C363" s="42" t="s">
        <v>362</v>
      </c>
      <c r="D363" s="42" t="s">
        <v>181</v>
      </c>
      <c r="E363" s="42"/>
      <c r="F363" s="2"/>
      <c r="G363" s="11">
        <f>G364</f>
        <v>142.1</v>
      </c>
    </row>
    <row r="364" spans="1:7" ht="71.25" customHeight="1" x14ac:dyDescent="0.25">
      <c r="A364" s="31" t="s">
        <v>335</v>
      </c>
      <c r="B364" s="42" t="s">
        <v>369</v>
      </c>
      <c r="C364" s="42" t="s">
        <v>362</v>
      </c>
      <c r="D364" s="42" t="s">
        <v>181</v>
      </c>
      <c r="E364" s="42" t="s">
        <v>336</v>
      </c>
      <c r="F364" s="2"/>
      <c r="G364" s="11">
        <f>G365</f>
        <v>142.1</v>
      </c>
    </row>
    <row r="365" spans="1:7" ht="15.75" x14ac:dyDescent="0.25">
      <c r="A365" s="31" t="s">
        <v>337</v>
      </c>
      <c r="B365" s="42" t="s">
        <v>369</v>
      </c>
      <c r="C365" s="42" t="s">
        <v>362</v>
      </c>
      <c r="D365" s="42" t="s">
        <v>181</v>
      </c>
      <c r="E365" s="42" t="s">
        <v>338</v>
      </c>
      <c r="F365" s="2"/>
      <c r="G365" s="11">
        <f>'Прил.№4 ведомств.'!G292</f>
        <v>142.1</v>
      </c>
    </row>
    <row r="366" spans="1:7" ht="31.5" x14ac:dyDescent="0.25">
      <c r="A366" s="31" t="s">
        <v>370</v>
      </c>
      <c r="B366" s="42" t="s">
        <v>371</v>
      </c>
      <c r="C366" s="42" t="s">
        <v>362</v>
      </c>
      <c r="D366" s="42" t="s">
        <v>181</v>
      </c>
      <c r="E366" s="42"/>
      <c r="F366" s="2"/>
      <c r="G366" s="11">
        <f>G367</f>
        <v>1995.4</v>
      </c>
    </row>
    <row r="367" spans="1:7" ht="63" x14ac:dyDescent="0.25">
      <c r="A367" s="31" t="s">
        <v>335</v>
      </c>
      <c r="B367" s="42" t="s">
        <v>371</v>
      </c>
      <c r="C367" s="42" t="s">
        <v>362</v>
      </c>
      <c r="D367" s="42" t="s">
        <v>181</v>
      </c>
      <c r="E367" s="42" t="s">
        <v>336</v>
      </c>
      <c r="F367" s="2"/>
      <c r="G367" s="11">
        <f>G368</f>
        <v>1995.4</v>
      </c>
    </row>
    <row r="368" spans="1:7" ht="15.75" x14ac:dyDescent="0.25">
      <c r="A368" s="31" t="s">
        <v>337</v>
      </c>
      <c r="B368" s="42" t="s">
        <v>371</v>
      </c>
      <c r="C368" s="42" t="s">
        <v>362</v>
      </c>
      <c r="D368" s="42" t="s">
        <v>181</v>
      </c>
      <c r="E368" s="42" t="s">
        <v>338</v>
      </c>
      <c r="F368" s="2"/>
      <c r="G368" s="11">
        <f>'Прил.№4 ведомств.'!G295</f>
        <v>1995.4</v>
      </c>
    </row>
    <row r="369" spans="1:7" ht="63" x14ac:dyDescent="0.25">
      <c r="A369" s="47" t="s">
        <v>324</v>
      </c>
      <c r="B369" s="42" t="s">
        <v>365</v>
      </c>
      <c r="C369" s="42" t="s">
        <v>362</v>
      </c>
      <c r="D369" s="42" t="s">
        <v>181</v>
      </c>
      <c r="E369" s="42"/>
      <c r="F369" s="2">
        <v>903</v>
      </c>
      <c r="G369" s="11">
        <f>G353</f>
        <v>25842.500000000004</v>
      </c>
    </row>
    <row r="370" spans="1:7" ht="31.5" hidden="1" x14ac:dyDescent="0.25">
      <c r="A370" s="31" t="s">
        <v>347</v>
      </c>
      <c r="B370" s="42" t="s">
        <v>697</v>
      </c>
      <c r="C370" s="42" t="s">
        <v>362</v>
      </c>
      <c r="D370" s="42" t="s">
        <v>181</v>
      </c>
      <c r="E370" s="42"/>
      <c r="F370" s="2"/>
      <c r="G370" s="11">
        <f>G371</f>
        <v>0</v>
      </c>
    </row>
    <row r="371" spans="1:7" ht="63" hidden="1" x14ac:dyDescent="0.25">
      <c r="A371" s="31" t="s">
        <v>335</v>
      </c>
      <c r="B371" s="42" t="s">
        <v>697</v>
      </c>
      <c r="C371" s="42" t="s">
        <v>362</v>
      </c>
      <c r="D371" s="42" t="s">
        <v>181</v>
      </c>
      <c r="E371" s="42" t="s">
        <v>336</v>
      </c>
      <c r="F371" s="2"/>
      <c r="G371" s="11">
        <f>G372</f>
        <v>0</v>
      </c>
    </row>
    <row r="372" spans="1:7" ht="15.75" hidden="1" x14ac:dyDescent="0.25">
      <c r="A372" s="31" t="s">
        <v>337</v>
      </c>
      <c r="B372" s="42" t="s">
        <v>697</v>
      </c>
      <c r="C372" s="42" t="s">
        <v>362</v>
      </c>
      <c r="D372" s="42" t="s">
        <v>181</v>
      </c>
      <c r="E372" s="42" t="s">
        <v>338</v>
      </c>
      <c r="F372" s="2"/>
      <c r="G372" s="11"/>
    </row>
    <row r="373" spans="1:7" ht="63" hidden="1" x14ac:dyDescent="0.25">
      <c r="A373" s="47" t="s">
        <v>324</v>
      </c>
      <c r="B373" s="42" t="s">
        <v>697</v>
      </c>
      <c r="C373" s="42" t="s">
        <v>362</v>
      </c>
      <c r="D373" s="42" t="s">
        <v>181</v>
      </c>
      <c r="E373" s="42"/>
      <c r="F373" s="2">
        <v>903</v>
      </c>
      <c r="G373" s="11">
        <v>0</v>
      </c>
    </row>
    <row r="374" spans="1:7" ht="63" x14ac:dyDescent="0.25">
      <c r="A374" s="43" t="s">
        <v>375</v>
      </c>
      <c r="B374" s="8" t="s">
        <v>376</v>
      </c>
      <c r="C374" s="8"/>
      <c r="D374" s="8"/>
      <c r="E374" s="8"/>
      <c r="F374" s="87"/>
      <c r="G374" s="68">
        <f>G375</f>
        <v>18058.7</v>
      </c>
    </row>
    <row r="375" spans="1:7" ht="15.75" x14ac:dyDescent="0.25">
      <c r="A375" s="85" t="s">
        <v>361</v>
      </c>
      <c r="B375" s="42" t="s">
        <v>376</v>
      </c>
      <c r="C375" s="42" t="s">
        <v>362</v>
      </c>
      <c r="D375" s="42"/>
      <c r="E375" s="8"/>
      <c r="F375" s="87"/>
      <c r="G375" s="11">
        <f>G376</f>
        <v>18058.7</v>
      </c>
    </row>
    <row r="376" spans="1:7" ht="15.75" x14ac:dyDescent="0.25">
      <c r="A376" s="85" t="s">
        <v>363</v>
      </c>
      <c r="B376" s="42" t="s">
        <v>376</v>
      </c>
      <c r="C376" s="42" t="s">
        <v>362</v>
      </c>
      <c r="D376" s="42" t="s">
        <v>181</v>
      </c>
      <c r="E376" s="8"/>
      <c r="F376" s="87"/>
      <c r="G376" s="11">
        <f>G377+G396+G401+G380</f>
        <v>18058.7</v>
      </c>
    </row>
    <row r="377" spans="1:7" ht="63" x14ac:dyDescent="0.25">
      <c r="A377" s="31" t="s">
        <v>366</v>
      </c>
      <c r="B377" s="42" t="s">
        <v>377</v>
      </c>
      <c r="C377" s="42" t="s">
        <v>362</v>
      </c>
      <c r="D377" s="42" t="s">
        <v>181</v>
      </c>
      <c r="E377" s="42"/>
      <c r="F377" s="86"/>
      <c r="G377" s="11">
        <f>G378</f>
        <v>17957.2</v>
      </c>
    </row>
    <row r="378" spans="1:7" ht="63" x14ac:dyDescent="0.25">
      <c r="A378" s="31" t="s">
        <v>335</v>
      </c>
      <c r="B378" s="42" t="s">
        <v>377</v>
      </c>
      <c r="C378" s="42" t="s">
        <v>362</v>
      </c>
      <c r="D378" s="42" t="s">
        <v>181</v>
      </c>
      <c r="E378" s="42" t="s">
        <v>336</v>
      </c>
      <c r="F378" s="86"/>
      <c r="G378" s="11">
        <f>G379</f>
        <v>17957.2</v>
      </c>
    </row>
    <row r="379" spans="1:7" ht="15.75" x14ac:dyDescent="0.25">
      <c r="A379" s="31" t="s">
        <v>337</v>
      </c>
      <c r="B379" s="42" t="s">
        <v>377</v>
      </c>
      <c r="C379" s="42" t="s">
        <v>362</v>
      </c>
      <c r="D379" s="42" t="s">
        <v>181</v>
      </c>
      <c r="E379" s="42" t="s">
        <v>338</v>
      </c>
      <c r="F379" s="86"/>
      <c r="G379" s="7">
        <f>'Прил.№4 ведомств.'!G312</f>
        <v>17957.2</v>
      </c>
    </row>
    <row r="380" spans="1:7" ht="63" x14ac:dyDescent="0.25">
      <c r="A380" s="31" t="s">
        <v>339</v>
      </c>
      <c r="B380" s="42" t="s">
        <v>380</v>
      </c>
      <c r="C380" s="42" t="s">
        <v>362</v>
      </c>
      <c r="D380" s="42" t="s">
        <v>181</v>
      </c>
      <c r="E380" s="42"/>
      <c r="F380" s="86"/>
      <c r="G380" s="11">
        <f>G381</f>
        <v>96.1</v>
      </c>
    </row>
    <row r="381" spans="1:7" ht="63" x14ac:dyDescent="0.25">
      <c r="A381" s="31" t="s">
        <v>335</v>
      </c>
      <c r="B381" s="42" t="s">
        <v>380</v>
      </c>
      <c r="C381" s="42" t="s">
        <v>362</v>
      </c>
      <c r="D381" s="42" t="s">
        <v>181</v>
      </c>
      <c r="E381" s="42" t="s">
        <v>336</v>
      </c>
      <c r="F381" s="86"/>
      <c r="G381" s="11">
        <f>G382</f>
        <v>96.1</v>
      </c>
    </row>
    <row r="382" spans="1:7" ht="15.75" x14ac:dyDescent="0.25">
      <c r="A382" s="31" t="s">
        <v>337</v>
      </c>
      <c r="B382" s="42" t="s">
        <v>380</v>
      </c>
      <c r="C382" s="42" t="s">
        <v>362</v>
      </c>
      <c r="D382" s="42" t="s">
        <v>181</v>
      </c>
      <c r="E382" s="42" t="s">
        <v>338</v>
      </c>
      <c r="F382" s="86"/>
      <c r="G382" s="11">
        <f>'Прил.№4 ведомств.'!G289</f>
        <v>96.1</v>
      </c>
    </row>
    <row r="383" spans="1:7" ht="63" hidden="1" x14ac:dyDescent="0.25">
      <c r="A383" s="47" t="s">
        <v>324</v>
      </c>
      <c r="B383" s="42" t="s">
        <v>750</v>
      </c>
      <c r="C383" s="42" t="s">
        <v>362</v>
      </c>
      <c r="D383" s="42" t="s">
        <v>181</v>
      </c>
      <c r="E383" s="42"/>
      <c r="F383" s="2">
        <v>903</v>
      </c>
      <c r="G383" s="11">
        <f>G380</f>
        <v>96.1</v>
      </c>
    </row>
    <row r="384" spans="1:7" ht="47.25" hidden="1" x14ac:dyDescent="0.25">
      <c r="A384" s="26" t="s">
        <v>341</v>
      </c>
      <c r="B384" s="42" t="s">
        <v>381</v>
      </c>
      <c r="C384" s="42" t="s">
        <v>362</v>
      </c>
      <c r="D384" s="42" t="s">
        <v>181</v>
      </c>
      <c r="E384" s="42"/>
      <c r="F384" s="86"/>
      <c r="G384" s="11">
        <f>G385</f>
        <v>0</v>
      </c>
    </row>
    <row r="385" spans="1:7" ht="63" hidden="1" x14ac:dyDescent="0.25">
      <c r="A385" s="31" t="s">
        <v>335</v>
      </c>
      <c r="B385" s="42" t="s">
        <v>381</v>
      </c>
      <c r="C385" s="42" t="s">
        <v>362</v>
      </c>
      <c r="D385" s="42" t="s">
        <v>181</v>
      </c>
      <c r="E385" s="42" t="s">
        <v>336</v>
      </c>
      <c r="F385" s="86"/>
      <c r="G385" s="11">
        <f>G386</f>
        <v>0</v>
      </c>
    </row>
    <row r="386" spans="1:7" ht="35.25" hidden="1" customHeight="1" x14ac:dyDescent="0.25">
      <c r="A386" s="31" t="s">
        <v>337</v>
      </c>
      <c r="B386" s="42" t="s">
        <v>381</v>
      </c>
      <c r="C386" s="42" t="s">
        <v>362</v>
      </c>
      <c r="D386" s="42" t="s">
        <v>181</v>
      </c>
      <c r="E386" s="42" t="s">
        <v>338</v>
      </c>
      <c r="F386" s="86"/>
      <c r="G386" s="11"/>
    </row>
    <row r="387" spans="1:7" ht="63" hidden="1" x14ac:dyDescent="0.25">
      <c r="A387" s="47" t="s">
        <v>324</v>
      </c>
      <c r="B387" s="42" t="s">
        <v>381</v>
      </c>
      <c r="C387" s="42" t="s">
        <v>362</v>
      </c>
      <c r="D387" s="42" t="s">
        <v>181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751</v>
      </c>
      <c r="B388" s="42" t="s">
        <v>382</v>
      </c>
      <c r="C388" s="42" t="s">
        <v>362</v>
      </c>
      <c r="D388" s="42" t="s">
        <v>181</v>
      </c>
      <c r="E388" s="42"/>
      <c r="F388" s="86"/>
      <c r="G388" s="11">
        <f>G389</f>
        <v>0</v>
      </c>
    </row>
    <row r="389" spans="1:7" ht="63" hidden="1" x14ac:dyDescent="0.25">
      <c r="A389" s="31" t="s">
        <v>335</v>
      </c>
      <c r="B389" s="42" t="s">
        <v>382</v>
      </c>
      <c r="C389" s="42" t="s">
        <v>362</v>
      </c>
      <c r="D389" s="42" t="s">
        <v>181</v>
      </c>
      <c r="E389" s="42" t="s">
        <v>336</v>
      </c>
      <c r="F389" s="86"/>
      <c r="G389" s="11">
        <f>G390</f>
        <v>0</v>
      </c>
    </row>
    <row r="390" spans="1:7" ht="15.75" hidden="1" x14ac:dyDescent="0.25">
      <c r="A390" s="31" t="s">
        <v>337</v>
      </c>
      <c r="B390" s="42" t="s">
        <v>382</v>
      </c>
      <c r="C390" s="42" t="s">
        <v>362</v>
      </c>
      <c r="D390" s="42" t="s">
        <v>181</v>
      </c>
      <c r="E390" s="42" t="s">
        <v>338</v>
      </c>
      <c r="F390" s="86"/>
      <c r="G390" s="11"/>
    </row>
    <row r="391" spans="1:7" ht="63" hidden="1" x14ac:dyDescent="0.25">
      <c r="A391" s="47" t="s">
        <v>324</v>
      </c>
      <c r="B391" s="42" t="s">
        <v>382</v>
      </c>
      <c r="C391" s="42" t="s">
        <v>362</v>
      </c>
      <c r="D391" s="42" t="s">
        <v>181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347</v>
      </c>
      <c r="B392" s="42" t="s">
        <v>702</v>
      </c>
      <c r="C392" s="42" t="s">
        <v>362</v>
      </c>
      <c r="D392" s="42" t="s">
        <v>181</v>
      </c>
      <c r="E392" s="42"/>
      <c r="F392" s="86"/>
      <c r="G392" s="11">
        <f>G393</f>
        <v>0</v>
      </c>
    </row>
    <row r="393" spans="1:7" ht="63" hidden="1" x14ac:dyDescent="0.25">
      <c r="A393" s="31" t="s">
        <v>335</v>
      </c>
      <c r="B393" s="42" t="s">
        <v>702</v>
      </c>
      <c r="C393" s="42" t="s">
        <v>362</v>
      </c>
      <c r="D393" s="42" t="s">
        <v>181</v>
      </c>
      <c r="E393" s="42" t="s">
        <v>336</v>
      </c>
      <c r="F393" s="86"/>
      <c r="G393" s="11">
        <f>G394</f>
        <v>0</v>
      </c>
    </row>
    <row r="394" spans="1:7" ht="15.75" hidden="1" x14ac:dyDescent="0.25">
      <c r="A394" s="31" t="s">
        <v>337</v>
      </c>
      <c r="B394" s="42" t="s">
        <v>702</v>
      </c>
      <c r="C394" s="42" t="s">
        <v>362</v>
      </c>
      <c r="D394" s="42" t="s">
        <v>181</v>
      </c>
      <c r="E394" s="42" t="s">
        <v>338</v>
      </c>
      <c r="F394" s="86"/>
      <c r="G394" s="11"/>
    </row>
    <row r="395" spans="1:7" ht="63" hidden="1" x14ac:dyDescent="0.25">
      <c r="A395" s="47" t="s">
        <v>324</v>
      </c>
      <c r="B395" s="42" t="s">
        <v>702</v>
      </c>
      <c r="C395" s="42" t="s">
        <v>362</v>
      </c>
      <c r="D395" s="42" t="s">
        <v>181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752</v>
      </c>
      <c r="B396" s="42" t="s">
        <v>379</v>
      </c>
      <c r="C396" s="42" t="s">
        <v>362</v>
      </c>
      <c r="D396" s="42" t="s">
        <v>181</v>
      </c>
      <c r="E396" s="42"/>
      <c r="F396" s="2"/>
      <c r="G396" s="11">
        <f>G397+G399</f>
        <v>5</v>
      </c>
    </row>
    <row r="397" spans="1:7" ht="47.25" hidden="1" x14ac:dyDescent="0.25">
      <c r="A397" s="31" t="s">
        <v>194</v>
      </c>
      <c r="B397" s="42" t="s">
        <v>379</v>
      </c>
      <c r="C397" s="42" t="s">
        <v>362</v>
      </c>
      <c r="D397" s="42" t="s">
        <v>181</v>
      </c>
      <c r="E397" s="42" t="s">
        <v>195</v>
      </c>
      <c r="F397" s="2"/>
      <c r="G397" s="11">
        <f>G398</f>
        <v>0</v>
      </c>
    </row>
    <row r="398" spans="1:7" ht="47.25" hidden="1" x14ac:dyDescent="0.25">
      <c r="A398" s="31" t="s">
        <v>196</v>
      </c>
      <c r="B398" s="42" t="s">
        <v>379</v>
      </c>
      <c r="C398" s="42" t="s">
        <v>362</v>
      </c>
      <c r="D398" s="42" t="s">
        <v>181</v>
      </c>
      <c r="E398" s="42" t="s">
        <v>197</v>
      </c>
      <c r="F398" s="2"/>
      <c r="G398" s="11">
        <v>0</v>
      </c>
    </row>
    <row r="399" spans="1:7" ht="62.25" customHeight="1" x14ac:dyDescent="0.25">
      <c r="A399" s="31" t="s">
        <v>335</v>
      </c>
      <c r="B399" s="42" t="s">
        <v>379</v>
      </c>
      <c r="C399" s="42" t="s">
        <v>362</v>
      </c>
      <c r="D399" s="42" t="s">
        <v>181</v>
      </c>
      <c r="E399" s="42" t="s">
        <v>336</v>
      </c>
      <c r="F399" s="2"/>
      <c r="G399" s="11">
        <f>G400</f>
        <v>5</v>
      </c>
    </row>
    <row r="400" spans="1:7" ht="15.75" x14ac:dyDescent="0.25">
      <c r="A400" s="31" t="s">
        <v>337</v>
      </c>
      <c r="B400" s="42" t="s">
        <v>379</v>
      </c>
      <c r="C400" s="42" t="s">
        <v>362</v>
      </c>
      <c r="D400" s="42" t="s">
        <v>181</v>
      </c>
      <c r="E400" s="42" t="s">
        <v>338</v>
      </c>
      <c r="F400" s="2"/>
      <c r="G400" s="11">
        <f>'Прил.№4 ведомств.'!G317</f>
        <v>5</v>
      </c>
    </row>
    <row r="401" spans="1:7" ht="15.75" x14ac:dyDescent="0.25">
      <c r="A401" s="26" t="s">
        <v>790</v>
      </c>
      <c r="B401" s="21" t="s">
        <v>791</v>
      </c>
      <c r="C401" s="42" t="s">
        <v>362</v>
      </c>
      <c r="D401" s="42" t="s">
        <v>181</v>
      </c>
      <c r="E401" s="42"/>
      <c r="F401" s="2"/>
      <c r="G401" s="11">
        <f>G402</f>
        <v>0.4</v>
      </c>
    </row>
    <row r="402" spans="1:7" ht="63" x14ac:dyDescent="0.25">
      <c r="A402" s="26" t="s">
        <v>335</v>
      </c>
      <c r="B402" s="21" t="s">
        <v>791</v>
      </c>
      <c r="C402" s="42" t="s">
        <v>362</v>
      </c>
      <c r="D402" s="42" t="s">
        <v>181</v>
      </c>
      <c r="E402" s="42" t="s">
        <v>336</v>
      </c>
      <c r="F402" s="2"/>
      <c r="G402" s="11">
        <f>G403</f>
        <v>0.4</v>
      </c>
    </row>
    <row r="403" spans="1:7" ht="15.75" x14ac:dyDescent="0.25">
      <c r="A403" s="26" t="s">
        <v>337</v>
      </c>
      <c r="B403" s="21" t="s">
        <v>791</v>
      </c>
      <c r="C403" s="42" t="s">
        <v>362</v>
      </c>
      <c r="D403" s="42" t="s">
        <v>181</v>
      </c>
      <c r="E403" s="42" t="s">
        <v>338</v>
      </c>
      <c r="F403" s="2"/>
      <c r="G403" s="11">
        <f>'Прил.№4 ведомств.'!G320</f>
        <v>0.4</v>
      </c>
    </row>
    <row r="404" spans="1:7" ht="63" x14ac:dyDescent="0.25">
      <c r="A404" s="47" t="s">
        <v>324</v>
      </c>
      <c r="B404" s="42" t="s">
        <v>376</v>
      </c>
      <c r="C404" s="42" t="s">
        <v>362</v>
      </c>
      <c r="D404" s="42" t="s">
        <v>181</v>
      </c>
      <c r="E404" s="42"/>
      <c r="F404" s="2">
        <v>903</v>
      </c>
      <c r="G404" s="11">
        <f>G374</f>
        <v>18058.7</v>
      </c>
    </row>
    <row r="405" spans="1:7" ht="47.25" hidden="1" x14ac:dyDescent="0.25">
      <c r="A405" s="70" t="s">
        <v>384</v>
      </c>
      <c r="B405" s="42" t="s">
        <v>385</v>
      </c>
      <c r="C405" s="42" t="s">
        <v>362</v>
      </c>
      <c r="D405" s="42" t="s">
        <v>181</v>
      </c>
      <c r="E405" s="42"/>
      <c r="F405" s="2"/>
      <c r="G405" s="11">
        <f>G406</f>
        <v>0</v>
      </c>
    </row>
    <row r="406" spans="1:7" ht="63" hidden="1" x14ac:dyDescent="0.25">
      <c r="A406" s="31" t="s">
        <v>335</v>
      </c>
      <c r="B406" s="42" t="s">
        <v>385</v>
      </c>
      <c r="C406" s="42" t="s">
        <v>362</v>
      </c>
      <c r="D406" s="42" t="s">
        <v>181</v>
      </c>
      <c r="E406" s="42" t="s">
        <v>336</v>
      </c>
      <c r="F406" s="2"/>
      <c r="G406" s="11"/>
    </row>
    <row r="407" spans="1:7" ht="15.75" hidden="1" x14ac:dyDescent="0.25">
      <c r="A407" s="31" t="s">
        <v>337</v>
      </c>
      <c r="B407" s="42" t="s">
        <v>385</v>
      </c>
      <c r="C407" s="42" t="s">
        <v>362</v>
      </c>
      <c r="D407" s="42" t="s">
        <v>181</v>
      </c>
      <c r="E407" s="42" t="s">
        <v>338</v>
      </c>
      <c r="F407" s="2"/>
      <c r="G407" s="11"/>
    </row>
    <row r="408" spans="1:7" ht="63" hidden="1" x14ac:dyDescent="0.25">
      <c r="A408" s="47" t="s">
        <v>324</v>
      </c>
      <c r="B408" s="42" t="s">
        <v>385</v>
      </c>
      <c r="C408" s="42" t="s">
        <v>362</v>
      </c>
      <c r="D408" s="42" t="s">
        <v>181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386</v>
      </c>
      <c r="B409" s="8" t="s">
        <v>387</v>
      </c>
      <c r="C409" s="84"/>
      <c r="D409" s="84"/>
      <c r="E409" s="84"/>
      <c r="F409" s="84"/>
      <c r="G409" s="68">
        <f>G410</f>
        <v>186.8</v>
      </c>
    </row>
    <row r="410" spans="1:7" ht="15.75" x14ac:dyDescent="0.25">
      <c r="A410" s="85" t="s">
        <v>361</v>
      </c>
      <c r="B410" s="42" t="s">
        <v>387</v>
      </c>
      <c r="C410" s="42" t="s">
        <v>362</v>
      </c>
      <c r="D410" s="85"/>
      <c r="E410" s="85"/>
      <c r="F410" s="85"/>
      <c r="G410" s="11">
        <f>G411</f>
        <v>186.8</v>
      </c>
    </row>
    <row r="411" spans="1:7" ht="15.75" x14ac:dyDescent="0.25">
      <c r="A411" s="85" t="s">
        <v>363</v>
      </c>
      <c r="B411" s="42" t="s">
        <v>387</v>
      </c>
      <c r="C411" s="42" t="s">
        <v>362</v>
      </c>
      <c r="D411" s="42" t="s">
        <v>181</v>
      </c>
      <c r="E411" s="85"/>
      <c r="F411" s="85"/>
      <c r="G411" s="11">
        <f>G412</f>
        <v>186.8</v>
      </c>
    </row>
    <row r="412" spans="1:7" ht="63" x14ac:dyDescent="0.25">
      <c r="A412" s="31" t="s">
        <v>388</v>
      </c>
      <c r="B412" s="42" t="s">
        <v>389</v>
      </c>
      <c r="C412" s="42" t="s">
        <v>362</v>
      </c>
      <c r="D412" s="42" t="s">
        <v>181</v>
      </c>
      <c r="E412" s="85"/>
      <c r="F412" s="85"/>
      <c r="G412" s="11">
        <f>G413</f>
        <v>186.8</v>
      </c>
    </row>
    <row r="413" spans="1:7" ht="63" x14ac:dyDescent="0.25">
      <c r="A413" s="26" t="s">
        <v>335</v>
      </c>
      <c r="B413" s="42" t="s">
        <v>389</v>
      </c>
      <c r="C413" s="42" t="s">
        <v>362</v>
      </c>
      <c r="D413" s="42" t="s">
        <v>181</v>
      </c>
      <c r="E413" s="42" t="s">
        <v>336</v>
      </c>
      <c r="F413" s="85"/>
      <c r="G413" s="11">
        <f>G414</f>
        <v>186.8</v>
      </c>
    </row>
    <row r="414" spans="1:7" ht="15.75" x14ac:dyDescent="0.25">
      <c r="A414" s="26" t="s">
        <v>337</v>
      </c>
      <c r="B414" s="42" t="s">
        <v>389</v>
      </c>
      <c r="C414" s="42" t="s">
        <v>362</v>
      </c>
      <c r="D414" s="42" t="s">
        <v>181</v>
      </c>
      <c r="E414" s="42" t="s">
        <v>338</v>
      </c>
      <c r="F414" s="85"/>
      <c r="G414" s="11">
        <f>'Прил.№4 ведомств.'!G339</f>
        <v>186.8</v>
      </c>
    </row>
    <row r="415" spans="1:7" ht="63" hidden="1" x14ac:dyDescent="0.25">
      <c r="A415" s="47" t="s">
        <v>753</v>
      </c>
      <c r="B415" s="42" t="s">
        <v>389</v>
      </c>
      <c r="C415" s="42" t="s">
        <v>362</v>
      </c>
      <c r="D415" s="42" t="s">
        <v>181</v>
      </c>
      <c r="E415" s="42"/>
      <c r="F415" s="85"/>
      <c r="G415" s="11">
        <f>G416</f>
        <v>0</v>
      </c>
    </row>
    <row r="416" spans="1:7" ht="63" hidden="1" x14ac:dyDescent="0.25">
      <c r="A416" s="31" t="s">
        <v>335</v>
      </c>
      <c r="B416" s="42" t="s">
        <v>389</v>
      </c>
      <c r="C416" s="42" t="s">
        <v>362</v>
      </c>
      <c r="D416" s="42" t="s">
        <v>181</v>
      </c>
      <c r="E416" s="42" t="s">
        <v>336</v>
      </c>
      <c r="F416" s="85"/>
      <c r="G416" s="11">
        <f>G417</f>
        <v>0</v>
      </c>
    </row>
    <row r="417" spans="1:7" ht="15.75" hidden="1" x14ac:dyDescent="0.25">
      <c r="A417" s="31" t="s">
        <v>337</v>
      </c>
      <c r="B417" s="42" t="s">
        <v>389</v>
      </c>
      <c r="C417" s="42" t="s">
        <v>362</v>
      </c>
      <c r="D417" s="42" t="s">
        <v>181</v>
      </c>
      <c r="E417" s="42" t="s">
        <v>338</v>
      </c>
      <c r="F417" s="85"/>
      <c r="G417" s="11"/>
    </row>
    <row r="418" spans="1:7" ht="63" x14ac:dyDescent="0.25">
      <c r="A418" s="47" t="s">
        <v>324</v>
      </c>
      <c r="B418" s="42" t="s">
        <v>387</v>
      </c>
      <c r="C418" s="42" t="s">
        <v>362</v>
      </c>
      <c r="D418" s="42" t="s">
        <v>181</v>
      </c>
      <c r="E418" s="85"/>
      <c r="F418" s="2">
        <v>903</v>
      </c>
      <c r="G418" s="11">
        <f>G409</f>
        <v>186.8</v>
      </c>
    </row>
    <row r="419" spans="1:7" ht="63" x14ac:dyDescent="0.25">
      <c r="A419" s="43" t="s">
        <v>607</v>
      </c>
      <c r="B419" s="8" t="s">
        <v>608</v>
      </c>
      <c r="C419" s="2"/>
      <c r="D419" s="2"/>
      <c r="E419" s="2"/>
      <c r="F419" s="2"/>
      <c r="G419" s="68">
        <f>G420+G433</f>
        <v>3683.4000000000005</v>
      </c>
    </row>
    <row r="420" spans="1:7" ht="78.75" x14ac:dyDescent="0.25">
      <c r="A420" s="43" t="s">
        <v>609</v>
      </c>
      <c r="B420" s="8" t="s">
        <v>610</v>
      </c>
      <c r="C420" s="8"/>
      <c r="D420" s="8"/>
      <c r="E420" s="3"/>
      <c r="F420" s="3"/>
      <c r="G420" s="68">
        <f>G421</f>
        <v>2583.2000000000007</v>
      </c>
    </row>
    <row r="421" spans="1:7" ht="15.75" x14ac:dyDescent="0.25">
      <c r="A421" s="85" t="s">
        <v>454</v>
      </c>
      <c r="B421" s="42" t="s">
        <v>610</v>
      </c>
      <c r="C421" s="42" t="s">
        <v>297</v>
      </c>
      <c r="D421" s="42"/>
      <c r="E421" s="2"/>
      <c r="F421" s="2"/>
      <c r="G421" s="11">
        <f>G422</f>
        <v>2583.2000000000007</v>
      </c>
    </row>
    <row r="422" spans="1:7" ht="15.75" x14ac:dyDescent="0.25">
      <c r="A422" s="85" t="s">
        <v>606</v>
      </c>
      <c r="B422" s="42" t="s">
        <v>610</v>
      </c>
      <c r="C422" s="42" t="s">
        <v>297</v>
      </c>
      <c r="D422" s="42" t="s">
        <v>278</v>
      </c>
      <c r="E422" s="2"/>
      <c r="F422" s="2"/>
      <c r="G422" s="11">
        <f>G423+G426+G429</f>
        <v>2583.2000000000007</v>
      </c>
    </row>
    <row r="423" spans="1:7" ht="31.5" x14ac:dyDescent="0.25">
      <c r="A423" s="26" t="s">
        <v>611</v>
      </c>
      <c r="B423" s="21" t="s">
        <v>612</v>
      </c>
      <c r="C423" s="42" t="s">
        <v>297</v>
      </c>
      <c r="D423" s="42" t="s">
        <v>278</v>
      </c>
      <c r="E423" s="2"/>
      <c r="F423" s="2"/>
      <c r="G423" s="11">
        <f>G424</f>
        <v>250</v>
      </c>
    </row>
    <row r="424" spans="1:7" ht="51" customHeight="1" x14ac:dyDescent="0.25">
      <c r="A424" s="26" t="s">
        <v>194</v>
      </c>
      <c r="B424" s="21" t="s">
        <v>612</v>
      </c>
      <c r="C424" s="42" t="s">
        <v>297</v>
      </c>
      <c r="D424" s="42" t="s">
        <v>278</v>
      </c>
      <c r="E424" s="2">
        <v>200</v>
      </c>
      <c r="F424" s="2"/>
      <c r="G424" s="11">
        <f>G425</f>
        <v>250</v>
      </c>
    </row>
    <row r="425" spans="1:7" ht="47.25" x14ac:dyDescent="0.25">
      <c r="A425" s="26" t="s">
        <v>196</v>
      </c>
      <c r="B425" s="21" t="s">
        <v>612</v>
      </c>
      <c r="C425" s="42" t="s">
        <v>297</v>
      </c>
      <c r="D425" s="42" t="s">
        <v>278</v>
      </c>
      <c r="E425" s="2">
        <v>240</v>
      </c>
      <c r="F425" s="2"/>
      <c r="G425" s="11">
        <f>'Прил.№4 ведомств.'!G871</f>
        <v>250</v>
      </c>
    </row>
    <row r="426" spans="1:7" ht="31.5" customHeight="1" x14ac:dyDescent="0.25">
      <c r="A426" s="26" t="s">
        <v>613</v>
      </c>
      <c r="B426" s="21" t="s">
        <v>614</v>
      </c>
      <c r="C426" s="42" t="s">
        <v>297</v>
      </c>
      <c r="D426" s="42" t="s">
        <v>278</v>
      </c>
      <c r="E426" s="2"/>
      <c r="F426" s="2"/>
      <c r="G426" s="11">
        <f>G427</f>
        <v>2298.6000000000004</v>
      </c>
    </row>
    <row r="427" spans="1:7" ht="47.25" x14ac:dyDescent="0.25">
      <c r="A427" s="26" t="s">
        <v>194</v>
      </c>
      <c r="B427" s="21" t="s">
        <v>614</v>
      </c>
      <c r="C427" s="42" t="s">
        <v>297</v>
      </c>
      <c r="D427" s="42" t="s">
        <v>278</v>
      </c>
      <c r="E427" s="2">
        <v>200</v>
      </c>
      <c r="F427" s="2"/>
      <c r="G427" s="11">
        <f>G428</f>
        <v>2298.6000000000004</v>
      </c>
    </row>
    <row r="428" spans="1:7" ht="47.25" x14ac:dyDescent="0.25">
      <c r="A428" s="26" t="s">
        <v>196</v>
      </c>
      <c r="B428" s="21" t="s">
        <v>614</v>
      </c>
      <c r="C428" s="42" t="s">
        <v>297</v>
      </c>
      <c r="D428" s="42" t="s">
        <v>278</v>
      </c>
      <c r="E428" s="2">
        <v>240</v>
      </c>
      <c r="F428" s="2"/>
      <c r="G428" s="11">
        <f>'Прил.№4 ведомств.'!G874</f>
        <v>2298.6000000000004</v>
      </c>
    </row>
    <row r="429" spans="1:7" ht="31.5" x14ac:dyDescent="0.25">
      <c r="A429" s="26" t="s">
        <v>615</v>
      </c>
      <c r="B429" s="21" t="s">
        <v>616</v>
      </c>
      <c r="C429" s="42" t="s">
        <v>297</v>
      </c>
      <c r="D429" s="42" t="s">
        <v>278</v>
      </c>
      <c r="E429" s="2"/>
      <c r="F429" s="2"/>
      <c r="G429" s="11">
        <f>G430</f>
        <v>34.600000000000179</v>
      </c>
    </row>
    <row r="430" spans="1:7" ht="47.25" x14ac:dyDescent="0.25">
      <c r="A430" s="26" t="s">
        <v>194</v>
      </c>
      <c r="B430" s="21" t="s">
        <v>616</v>
      </c>
      <c r="C430" s="42" t="s">
        <v>297</v>
      </c>
      <c r="D430" s="42" t="s">
        <v>278</v>
      </c>
      <c r="E430" s="2">
        <v>200</v>
      </c>
      <c r="F430" s="2"/>
      <c r="G430" s="11">
        <f>G431</f>
        <v>34.600000000000179</v>
      </c>
    </row>
    <row r="431" spans="1:7" ht="47.25" x14ac:dyDescent="0.25">
      <c r="A431" s="26" t="s">
        <v>196</v>
      </c>
      <c r="B431" s="21" t="s">
        <v>616</v>
      </c>
      <c r="C431" s="42" t="s">
        <v>297</v>
      </c>
      <c r="D431" s="42" t="s">
        <v>278</v>
      </c>
      <c r="E431" s="2">
        <v>240</v>
      </c>
      <c r="F431" s="2"/>
      <c r="G431" s="11">
        <f>'Прил.№4 ведомств.'!G877</f>
        <v>34.600000000000179</v>
      </c>
    </row>
    <row r="432" spans="1:7" ht="47.25" x14ac:dyDescent="0.25">
      <c r="A432" s="47" t="s">
        <v>721</v>
      </c>
      <c r="B432" s="42" t="s">
        <v>610</v>
      </c>
      <c r="C432" s="42" t="s">
        <v>297</v>
      </c>
      <c r="D432" s="42" t="s">
        <v>278</v>
      </c>
      <c r="E432" s="2"/>
      <c r="F432" s="2">
        <v>908</v>
      </c>
      <c r="G432" s="11">
        <f>G420</f>
        <v>2583.2000000000007</v>
      </c>
    </row>
    <row r="433" spans="1:7" ht="63" x14ac:dyDescent="0.25">
      <c r="A433" s="24" t="s">
        <v>617</v>
      </c>
      <c r="B433" s="8" t="s">
        <v>618</v>
      </c>
      <c r="C433" s="8"/>
      <c r="D433" s="8"/>
      <c r="E433" s="3"/>
      <c r="F433" s="3"/>
      <c r="G433" s="68">
        <f>G434</f>
        <v>1100.2</v>
      </c>
    </row>
    <row r="434" spans="1:7" ht="15.75" x14ac:dyDescent="0.25">
      <c r="A434" s="85" t="s">
        <v>454</v>
      </c>
      <c r="B434" s="42" t="s">
        <v>618</v>
      </c>
      <c r="C434" s="42" t="s">
        <v>297</v>
      </c>
      <c r="D434" s="42"/>
      <c r="E434" s="2"/>
      <c r="F434" s="2"/>
      <c r="G434" s="11">
        <f>G435</f>
        <v>1100.2</v>
      </c>
    </row>
    <row r="435" spans="1:7" ht="15.75" x14ac:dyDescent="0.25">
      <c r="A435" s="85" t="s">
        <v>606</v>
      </c>
      <c r="B435" s="42" t="s">
        <v>618</v>
      </c>
      <c r="C435" s="42" t="s">
        <v>297</v>
      </c>
      <c r="D435" s="42" t="s">
        <v>278</v>
      </c>
      <c r="E435" s="2"/>
      <c r="F435" s="2"/>
      <c r="G435" s="11">
        <f>G436+G441+G444+G447</f>
        <v>1100.2</v>
      </c>
    </row>
    <row r="436" spans="1:7" ht="31.5" x14ac:dyDescent="0.25">
      <c r="A436" s="26" t="s">
        <v>615</v>
      </c>
      <c r="B436" s="21" t="s">
        <v>619</v>
      </c>
      <c r="C436" s="42" t="s">
        <v>297</v>
      </c>
      <c r="D436" s="42" t="s">
        <v>278</v>
      </c>
      <c r="E436" s="2"/>
      <c r="F436" s="2"/>
      <c r="G436" s="11">
        <f>G437+G439</f>
        <v>672.3</v>
      </c>
    </row>
    <row r="437" spans="1:7" ht="110.25" x14ac:dyDescent="0.25">
      <c r="A437" s="26" t="s">
        <v>190</v>
      </c>
      <c r="B437" s="21" t="s">
        <v>619</v>
      </c>
      <c r="C437" s="42" t="s">
        <v>297</v>
      </c>
      <c r="D437" s="42" t="s">
        <v>278</v>
      </c>
      <c r="E437" s="2">
        <v>100</v>
      </c>
      <c r="F437" s="2"/>
      <c r="G437" s="11">
        <f>G438</f>
        <v>652.19999999999993</v>
      </c>
    </row>
    <row r="438" spans="1:7" ht="31.5" x14ac:dyDescent="0.25">
      <c r="A438" s="48" t="s">
        <v>405</v>
      </c>
      <c r="B438" s="21" t="s">
        <v>619</v>
      </c>
      <c r="C438" s="42" t="s">
        <v>297</v>
      </c>
      <c r="D438" s="42" t="s">
        <v>278</v>
      </c>
      <c r="E438" s="2">
        <v>110</v>
      </c>
      <c r="F438" s="2"/>
      <c r="G438" s="11">
        <f>'Прил.№4 ведомств.'!G881</f>
        <v>652.19999999999993</v>
      </c>
    </row>
    <row r="439" spans="1:7" ht="47.25" x14ac:dyDescent="0.25">
      <c r="A439" s="26" t="s">
        <v>194</v>
      </c>
      <c r="B439" s="21" t="s">
        <v>619</v>
      </c>
      <c r="C439" s="42" t="s">
        <v>297</v>
      </c>
      <c r="D439" s="42" t="s">
        <v>278</v>
      </c>
      <c r="E439" s="2">
        <v>200</v>
      </c>
      <c r="F439" s="2"/>
      <c r="G439" s="11">
        <f>G440</f>
        <v>20.099999999999994</v>
      </c>
    </row>
    <row r="440" spans="1:7" ht="47.25" x14ac:dyDescent="0.25">
      <c r="A440" s="26" t="s">
        <v>196</v>
      </c>
      <c r="B440" s="21" t="s">
        <v>619</v>
      </c>
      <c r="C440" s="42" t="s">
        <v>297</v>
      </c>
      <c r="D440" s="42" t="s">
        <v>278</v>
      </c>
      <c r="E440" s="2">
        <v>240</v>
      </c>
      <c r="F440" s="2"/>
      <c r="G440" s="11">
        <f>'Прил.№4 ведомств.'!G883</f>
        <v>20.099999999999994</v>
      </c>
    </row>
    <row r="441" spans="1:7" ht="15.75" x14ac:dyDescent="0.25">
      <c r="A441" s="26" t="s">
        <v>620</v>
      </c>
      <c r="B441" s="21" t="s">
        <v>621</v>
      </c>
      <c r="C441" s="42" t="s">
        <v>297</v>
      </c>
      <c r="D441" s="42" t="s">
        <v>278</v>
      </c>
      <c r="E441" s="2"/>
      <c r="F441" s="2"/>
      <c r="G441" s="11">
        <f>G442</f>
        <v>0</v>
      </c>
    </row>
    <row r="442" spans="1:7" ht="47.25" x14ac:dyDescent="0.25">
      <c r="A442" s="26" t="s">
        <v>194</v>
      </c>
      <c r="B442" s="21" t="s">
        <v>621</v>
      </c>
      <c r="C442" s="42" t="s">
        <v>297</v>
      </c>
      <c r="D442" s="42" t="s">
        <v>278</v>
      </c>
      <c r="E442" s="2">
        <v>200</v>
      </c>
      <c r="F442" s="2"/>
      <c r="G442" s="11">
        <f>G443</f>
        <v>0</v>
      </c>
    </row>
    <row r="443" spans="1:7" ht="47.25" x14ac:dyDescent="0.25">
      <c r="A443" s="26" t="s">
        <v>196</v>
      </c>
      <c r="B443" s="21" t="s">
        <v>621</v>
      </c>
      <c r="C443" s="42" t="s">
        <v>297</v>
      </c>
      <c r="D443" s="42" t="s">
        <v>278</v>
      </c>
      <c r="E443" s="2">
        <v>240</v>
      </c>
      <c r="F443" s="2"/>
      <c r="G443" s="11">
        <f>'Прил.№4 ведомств.'!G886</f>
        <v>0</v>
      </c>
    </row>
    <row r="444" spans="1:7" ht="63" x14ac:dyDescent="0.25">
      <c r="A444" s="125" t="s">
        <v>622</v>
      </c>
      <c r="B444" s="21" t="s">
        <v>623</v>
      </c>
      <c r="C444" s="42" t="s">
        <v>297</v>
      </c>
      <c r="D444" s="42" t="s">
        <v>278</v>
      </c>
      <c r="E444" s="2"/>
      <c r="F444" s="2"/>
      <c r="G444" s="11">
        <f>G445</f>
        <v>0</v>
      </c>
    </row>
    <row r="445" spans="1:7" ht="47.25" x14ac:dyDescent="0.25">
      <c r="A445" s="26" t="s">
        <v>194</v>
      </c>
      <c r="B445" s="21" t="s">
        <v>623</v>
      </c>
      <c r="C445" s="42" t="s">
        <v>297</v>
      </c>
      <c r="D445" s="42" t="s">
        <v>278</v>
      </c>
      <c r="E445" s="2">
        <v>200</v>
      </c>
      <c r="F445" s="2"/>
      <c r="G445" s="11">
        <f>G446</f>
        <v>0</v>
      </c>
    </row>
    <row r="446" spans="1:7" ht="47.25" x14ac:dyDescent="0.25">
      <c r="A446" s="26" t="s">
        <v>196</v>
      </c>
      <c r="B446" s="21" t="s">
        <v>623</v>
      </c>
      <c r="C446" s="42" t="s">
        <v>297</v>
      </c>
      <c r="D446" s="42" t="s">
        <v>278</v>
      </c>
      <c r="E446" s="2">
        <v>240</v>
      </c>
      <c r="F446" s="2"/>
      <c r="G446" s="11">
        <f>'Прил.№4 ведомств.'!G889</f>
        <v>0</v>
      </c>
    </row>
    <row r="447" spans="1:7" ht="31.5" x14ac:dyDescent="0.25">
      <c r="A447" s="125" t="s">
        <v>624</v>
      </c>
      <c r="B447" s="21" t="s">
        <v>625</v>
      </c>
      <c r="C447" s="42" t="s">
        <v>297</v>
      </c>
      <c r="D447" s="42" t="s">
        <v>278</v>
      </c>
      <c r="E447" s="2"/>
      <c r="F447" s="2"/>
      <c r="G447" s="11">
        <f>G448</f>
        <v>427.90000000000003</v>
      </c>
    </row>
    <row r="448" spans="1:7" ht="47.25" x14ac:dyDescent="0.25">
      <c r="A448" s="26" t="s">
        <v>194</v>
      </c>
      <c r="B448" s="21" t="s">
        <v>625</v>
      </c>
      <c r="C448" s="42" t="s">
        <v>297</v>
      </c>
      <c r="D448" s="42" t="s">
        <v>278</v>
      </c>
      <c r="E448" s="2">
        <v>200</v>
      </c>
      <c r="F448" s="2"/>
      <c r="G448" s="11">
        <f>G449</f>
        <v>427.90000000000003</v>
      </c>
    </row>
    <row r="449" spans="1:7" ht="47.25" x14ac:dyDescent="0.25">
      <c r="A449" s="26" t="s">
        <v>196</v>
      </c>
      <c r="B449" s="21" t="s">
        <v>625</v>
      </c>
      <c r="C449" s="42" t="s">
        <v>297</v>
      </c>
      <c r="D449" s="42" t="s">
        <v>278</v>
      </c>
      <c r="E449" s="2">
        <v>240</v>
      </c>
      <c r="F449" s="2"/>
      <c r="G449" s="11">
        <f>'Прил.№4 ведомств.'!G892</f>
        <v>427.90000000000003</v>
      </c>
    </row>
    <row r="450" spans="1:7" ht="47.25" x14ac:dyDescent="0.25">
      <c r="A450" s="47" t="s">
        <v>721</v>
      </c>
      <c r="B450" s="21" t="s">
        <v>618</v>
      </c>
      <c r="C450" s="42" t="s">
        <v>297</v>
      </c>
      <c r="D450" s="42" t="s">
        <v>278</v>
      </c>
      <c r="E450" s="2"/>
      <c r="F450" s="2">
        <v>908</v>
      </c>
      <c r="G450" s="11">
        <f>G433</f>
        <v>1100.2</v>
      </c>
    </row>
    <row r="451" spans="1:7" ht="78.75" x14ac:dyDescent="0.25">
      <c r="A451" s="36" t="s">
        <v>244</v>
      </c>
      <c r="B451" s="220" t="s">
        <v>245</v>
      </c>
      <c r="C451" s="8"/>
      <c r="D451" s="8"/>
      <c r="E451" s="8"/>
      <c r="F451" s="3"/>
      <c r="G451" s="68">
        <f>G452</f>
        <v>50</v>
      </c>
    </row>
    <row r="452" spans="1:7" ht="15.75" x14ac:dyDescent="0.25">
      <c r="A452" s="26" t="s">
        <v>180</v>
      </c>
      <c r="B452" s="6" t="s">
        <v>245</v>
      </c>
      <c r="C452" s="42" t="s">
        <v>181</v>
      </c>
      <c r="D452" s="42"/>
      <c r="E452" s="42"/>
      <c r="F452" s="2"/>
      <c r="G452" s="11">
        <f>G453</f>
        <v>50</v>
      </c>
    </row>
    <row r="453" spans="1:7" ht="31.5" x14ac:dyDescent="0.25">
      <c r="A453" s="26" t="s">
        <v>202</v>
      </c>
      <c r="B453" s="32" t="s">
        <v>245</v>
      </c>
      <c r="C453" s="42" t="s">
        <v>181</v>
      </c>
      <c r="D453" s="42" t="s">
        <v>203</v>
      </c>
      <c r="E453" s="42"/>
      <c r="F453" s="2"/>
      <c r="G453" s="11">
        <f>G454</f>
        <v>50</v>
      </c>
    </row>
    <row r="454" spans="1:7" ht="47.25" x14ac:dyDescent="0.25">
      <c r="A454" s="31" t="s">
        <v>220</v>
      </c>
      <c r="B454" s="21" t="s">
        <v>246</v>
      </c>
      <c r="C454" s="42" t="s">
        <v>181</v>
      </c>
      <c r="D454" s="42" t="s">
        <v>203</v>
      </c>
      <c r="E454" s="42"/>
      <c r="F454" s="2"/>
      <c r="G454" s="11">
        <f>G455</f>
        <v>50</v>
      </c>
    </row>
    <row r="455" spans="1:7" ht="47.25" x14ac:dyDescent="0.25">
      <c r="A455" s="31" t="s">
        <v>194</v>
      </c>
      <c r="B455" s="21" t="s">
        <v>246</v>
      </c>
      <c r="C455" s="42" t="s">
        <v>181</v>
      </c>
      <c r="D455" s="42" t="s">
        <v>203</v>
      </c>
      <c r="E455" s="42" t="s">
        <v>208</v>
      </c>
      <c r="F455" s="2"/>
      <c r="G455" s="11">
        <f>G456</f>
        <v>50</v>
      </c>
    </row>
    <row r="456" spans="1:7" ht="78.75" x14ac:dyDescent="0.25">
      <c r="A456" s="31" t="s">
        <v>247</v>
      </c>
      <c r="B456" s="21" t="s">
        <v>246</v>
      </c>
      <c r="C456" s="42" t="s">
        <v>181</v>
      </c>
      <c r="D456" s="42" t="s">
        <v>203</v>
      </c>
      <c r="E456" s="42" t="s">
        <v>223</v>
      </c>
      <c r="F456" s="2"/>
      <c r="G456" s="11">
        <f>'Прил.№4 ведомств.'!G89</f>
        <v>50</v>
      </c>
    </row>
    <row r="457" spans="1:7" ht="31.5" x14ac:dyDescent="0.25">
      <c r="A457" s="31" t="s">
        <v>211</v>
      </c>
      <c r="B457" s="32" t="s">
        <v>245</v>
      </c>
      <c r="C457" s="42" t="s">
        <v>181</v>
      </c>
      <c r="D457" s="42" t="s">
        <v>203</v>
      </c>
      <c r="E457" s="42"/>
      <c r="F457" s="2">
        <v>902</v>
      </c>
      <c r="G457" s="11">
        <f>G451</f>
        <v>50</v>
      </c>
    </row>
    <row r="458" spans="1:7" ht="94.5" x14ac:dyDescent="0.25">
      <c r="A458" s="43" t="s">
        <v>754</v>
      </c>
      <c r="B458" s="8" t="s">
        <v>582</v>
      </c>
      <c r="C458" s="8"/>
      <c r="D458" s="8"/>
      <c r="E458" s="84"/>
      <c r="F458" s="3"/>
      <c r="G458" s="68">
        <f>G459</f>
        <v>4565.9000000000005</v>
      </c>
    </row>
    <row r="459" spans="1:7" ht="15.75" x14ac:dyDescent="0.25">
      <c r="A459" s="31" t="s">
        <v>454</v>
      </c>
      <c r="B459" s="42" t="s">
        <v>582</v>
      </c>
      <c r="C459" s="42" t="s">
        <v>297</v>
      </c>
      <c r="D459" s="42"/>
      <c r="E459" s="85"/>
      <c r="F459" s="2"/>
      <c r="G459" s="11">
        <f>G460</f>
        <v>4565.9000000000005</v>
      </c>
    </row>
    <row r="460" spans="1:7" ht="15.75" x14ac:dyDescent="0.25">
      <c r="A460" s="31" t="s">
        <v>581</v>
      </c>
      <c r="B460" s="42" t="s">
        <v>582</v>
      </c>
      <c r="C460" s="42" t="s">
        <v>297</v>
      </c>
      <c r="D460" s="42" t="s">
        <v>276</v>
      </c>
      <c r="E460" s="85"/>
      <c r="F460" s="2"/>
      <c r="G460" s="11">
        <f>G465+G468+G471+G474+G477+G480+G483</f>
        <v>4565.9000000000005</v>
      </c>
    </row>
    <row r="461" spans="1:7" ht="63" hidden="1" x14ac:dyDescent="0.25">
      <c r="A461" s="37" t="s">
        <v>583</v>
      </c>
      <c r="B461" s="21" t="s">
        <v>584</v>
      </c>
      <c r="C461" s="42" t="s">
        <v>297</v>
      </c>
      <c r="D461" s="42" t="s">
        <v>276</v>
      </c>
      <c r="E461" s="85"/>
      <c r="F461" s="2"/>
      <c r="G461" s="11">
        <f>G462</f>
        <v>0</v>
      </c>
    </row>
    <row r="462" spans="1:7" ht="47.25" hidden="1" x14ac:dyDescent="0.25">
      <c r="A462" s="31" t="s">
        <v>194</v>
      </c>
      <c r="B462" s="21" t="s">
        <v>584</v>
      </c>
      <c r="C462" s="42" t="s">
        <v>297</v>
      </c>
      <c r="D462" s="42" t="s">
        <v>276</v>
      </c>
      <c r="E462" s="42" t="s">
        <v>195</v>
      </c>
      <c r="F462" s="2"/>
      <c r="G462" s="11">
        <f>G463</f>
        <v>0</v>
      </c>
    </row>
    <row r="463" spans="1:7" ht="47.25" hidden="1" x14ac:dyDescent="0.25">
      <c r="A463" s="31" t="s">
        <v>196</v>
      </c>
      <c r="B463" s="21" t="s">
        <v>584</v>
      </c>
      <c r="C463" s="42" t="s">
        <v>297</v>
      </c>
      <c r="D463" s="42" t="s">
        <v>276</v>
      </c>
      <c r="E463" s="42" t="s">
        <v>197</v>
      </c>
      <c r="F463" s="2"/>
      <c r="G463" s="11"/>
    </row>
    <row r="464" spans="1:7" ht="47.25" hidden="1" x14ac:dyDescent="0.25">
      <c r="A464" s="47" t="s">
        <v>721</v>
      </c>
      <c r="B464" s="21" t="s">
        <v>584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5" t="s">
        <v>585</v>
      </c>
      <c r="B465" s="21" t="s">
        <v>586</v>
      </c>
      <c r="C465" s="42" t="s">
        <v>297</v>
      </c>
      <c r="D465" s="42" t="s">
        <v>276</v>
      </c>
      <c r="E465" s="42"/>
      <c r="F465" s="2"/>
      <c r="G465" s="11">
        <f>G466</f>
        <v>919.5</v>
      </c>
    </row>
    <row r="466" spans="1:7" ht="47.25" x14ac:dyDescent="0.25">
      <c r="A466" s="33" t="s">
        <v>194</v>
      </c>
      <c r="B466" s="21" t="s">
        <v>586</v>
      </c>
      <c r="C466" s="42" t="s">
        <v>297</v>
      </c>
      <c r="D466" s="42" t="s">
        <v>276</v>
      </c>
      <c r="E466" s="42" t="s">
        <v>195</v>
      </c>
      <c r="F466" s="2"/>
      <c r="G466" s="11">
        <f>G467</f>
        <v>919.5</v>
      </c>
    </row>
    <row r="467" spans="1:7" ht="47.25" x14ac:dyDescent="0.25">
      <c r="A467" s="33" t="s">
        <v>196</v>
      </c>
      <c r="B467" s="21" t="s">
        <v>586</v>
      </c>
      <c r="C467" s="42" t="s">
        <v>297</v>
      </c>
      <c r="D467" s="42" t="s">
        <v>276</v>
      </c>
      <c r="E467" s="42" t="s">
        <v>197</v>
      </c>
      <c r="F467" s="2"/>
      <c r="G467" s="11">
        <f>'Прил.№4 ведомств.'!G822</f>
        <v>919.5</v>
      </c>
    </row>
    <row r="468" spans="1:7" ht="15.75" x14ac:dyDescent="0.25">
      <c r="A468" s="125" t="s">
        <v>587</v>
      </c>
      <c r="B468" s="21" t="s">
        <v>588</v>
      </c>
      <c r="C468" s="42" t="s">
        <v>297</v>
      </c>
      <c r="D468" s="42" t="s">
        <v>276</v>
      </c>
      <c r="E468" s="42"/>
      <c r="F468" s="2"/>
      <c r="G468" s="11">
        <f>G469</f>
        <v>499.90000000000003</v>
      </c>
    </row>
    <row r="469" spans="1:7" ht="47.25" x14ac:dyDescent="0.25">
      <c r="A469" s="33" t="s">
        <v>194</v>
      </c>
      <c r="B469" s="21" t="s">
        <v>588</v>
      </c>
      <c r="C469" s="42" t="s">
        <v>297</v>
      </c>
      <c r="D469" s="42" t="s">
        <v>276</v>
      </c>
      <c r="E469" s="42" t="s">
        <v>195</v>
      </c>
      <c r="F469" s="2"/>
      <c r="G469" s="11">
        <f>G470</f>
        <v>499.90000000000003</v>
      </c>
    </row>
    <row r="470" spans="1:7" ht="47.25" x14ac:dyDescent="0.25">
      <c r="A470" s="33" t="s">
        <v>196</v>
      </c>
      <c r="B470" s="21" t="s">
        <v>588</v>
      </c>
      <c r="C470" s="42" t="s">
        <v>297</v>
      </c>
      <c r="D470" s="42" t="s">
        <v>276</v>
      </c>
      <c r="E470" s="42" t="s">
        <v>197</v>
      </c>
      <c r="F470" s="2"/>
      <c r="G470" s="11">
        <f>'Прил.№4 ведомств.'!G825</f>
        <v>499.90000000000003</v>
      </c>
    </row>
    <row r="471" spans="1:7" ht="15.75" x14ac:dyDescent="0.25">
      <c r="A471" s="125" t="s">
        <v>589</v>
      </c>
      <c r="B471" s="21" t="s">
        <v>590</v>
      </c>
      <c r="C471" s="42" t="s">
        <v>297</v>
      </c>
      <c r="D471" s="42" t="s">
        <v>276</v>
      </c>
      <c r="E471" s="42"/>
      <c r="F471" s="2"/>
      <c r="G471" s="11">
        <f>G472</f>
        <v>1873</v>
      </c>
    </row>
    <row r="472" spans="1:7" ht="47.25" x14ac:dyDescent="0.25">
      <c r="A472" s="33" t="s">
        <v>194</v>
      </c>
      <c r="B472" s="21" t="s">
        <v>590</v>
      </c>
      <c r="C472" s="42" t="s">
        <v>297</v>
      </c>
      <c r="D472" s="42" t="s">
        <v>276</v>
      </c>
      <c r="E472" s="42" t="s">
        <v>195</v>
      </c>
      <c r="F472" s="2"/>
      <c r="G472" s="11">
        <f>G473</f>
        <v>1873</v>
      </c>
    </row>
    <row r="473" spans="1:7" ht="47.25" x14ac:dyDescent="0.25">
      <c r="A473" s="33" t="s">
        <v>196</v>
      </c>
      <c r="B473" s="21" t="s">
        <v>590</v>
      </c>
      <c r="C473" s="42" t="s">
        <v>297</v>
      </c>
      <c r="D473" s="42" t="s">
        <v>276</v>
      </c>
      <c r="E473" s="42" t="s">
        <v>197</v>
      </c>
      <c r="F473" s="2"/>
      <c r="G473" s="11">
        <f>'Прил.№4 ведомств.'!G828</f>
        <v>1873</v>
      </c>
    </row>
    <row r="474" spans="1:7" ht="31.5" x14ac:dyDescent="0.25">
      <c r="A474" s="125" t="s">
        <v>591</v>
      </c>
      <c r="B474" s="21" t="s">
        <v>592</v>
      </c>
      <c r="C474" s="42" t="s">
        <v>297</v>
      </c>
      <c r="D474" s="42" t="s">
        <v>276</v>
      </c>
      <c r="E474" s="42"/>
      <c r="F474" s="2"/>
      <c r="G474" s="11">
        <f>G475</f>
        <v>766.1</v>
      </c>
    </row>
    <row r="475" spans="1:7" ht="47.25" x14ac:dyDescent="0.25">
      <c r="A475" s="33" t="s">
        <v>194</v>
      </c>
      <c r="B475" s="21" t="s">
        <v>592</v>
      </c>
      <c r="C475" s="42" t="s">
        <v>297</v>
      </c>
      <c r="D475" s="42" t="s">
        <v>276</v>
      </c>
      <c r="E475" s="42" t="s">
        <v>195</v>
      </c>
      <c r="F475" s="2"/>
      <c r="G475" s="11">
        <f>G476</f>
        <v>766.1</v>
      </c>
    </row>
    <row r="476" spans="1:7" ht="47.25" x14ac:dyDescent="0.25">
      <c r="A476" s="33" t="s">
        <v>196</v>
      </c>
      <c r="B476" s="21" t="s">
        <v>592</v>
      </c>
      <c r="C476" s="42" t="s">
        <v>297</v>
      </c>
      <c r="D476" s="42" t="s">
        <v>276</v>
      </c>
      <c r="E476" s="42" t="s">
        <v>197</v>
      </c>
      <c r="F476" s="2"/>
      <c r="G476" s="11">
        <f>'Прил.№4 ведомств.'!G833</f>
        <v>766.1</v>
      </c>
    </row>
    <row r="477" spans="1:7" ht="15.75" x14ac:dyDescent="0.25">
      <c r="A477" s="125" t="s">
        <v>593</v>
      </c>
      <c r="B477" s="21" t="s">
        <v>594</v>
      </c>
      <c r="C477" s="42" t="s">
        <v>297</v>
      </c>
      <c r="D477" s="42" t="s">
        <v>276</v>
      </c>
      <c r="E477" s="42"/>
      <c r="F477" s="2"/>
      <c r="G477" s="11">
        <f>G478</f>
        <v>497.29999999999995</v>
      </c>
    </row>
    <row r="478" spans="1:7" ht="47.25" x14ac:dyDescent="0.25">
      <c r="A478" s="33" t="s">
        <v>194</v>
      </c>
      <c r="B478" s="21" t="s">
        <v>594</v>
      </c>
      <c r="C478" s="42" t="s">
        <v>297</v>
      </c>
      <c r="D478" s="42" t="s">
        <v>276</v>
      </c>
      <c r="E478" s="42" t="s">
        <v>195</v>
      </c>
      <c r="F478" s="2"/>
      <c r="G478" s="11">
        <f>G479</f>
        <v>497.29999999999995</v>
      </c>
    </row>
    <row r="479" spans="1:7" ht="47.25" x14ac:dyDescent="0.25">
      <c r="A479" s="33" t="s">
        <v>196</v>
      </c>
      <c r="B479" s="21" t="s">
        <v>594</v>
      </c>
      <c r="C479" s="42" t="s">
        <v>297</v>
      </c>
      <c r="D479" s="42" t="s">
        <v>276</v>
      </c>
      <c r="E479" s="42" t="s">
        <v>197</v>
      </c>
      <c r="F479" s="2"/>
      <c r="G479" s="11">
        <f>'Прил.№4 ведомств.'!G836</f>
        <v>497.29999999999995</v>
      </c>
    </row>
    <row r="480" spans="1:7" ht="31.5" hidden="1" x14ac:dyDescent="0.25">
      <c r="A480" s="123" t="s">
        <v>595</v>
      </c>
      <c r="B480" s="21" t="s">
        <v>596</v>
      </c>
      <c r="C480" s="42" t="s">
        <v>297</v>
      </c>
      <c r="D480" s="42" t="s">
        <v>276</v>
      </c>
      <c r="E480" s="42"/>
      <c r="F480" s="2"/>
      <c r="G480" s="11">
        <f>G481</f>
        <v>0</v>
      </c>
    </row>
    <row r="481" spans="1:7" ht="47.25" hidden="1" x14ac:dyDescent="0.25">
      <c r="A481" s="33" t="s">
        <v>194</v>
      </c>
      <c r="B481" s="21" t="s">
        <v>596</v>
      </c>
      <c r="C481" s="42" t="s">
        <v>297</v>
      </c>
      <c r="D481" s="42" t="s">
        <v>276</v>
      </c>
      <c r="E481" s="42"/>
      <c r="F481" s="2"/>
      <c r="G481" s="11">
        <f>G482</f>
        <v>0</v>
      </c>
    </row>
    <row r="482" spans="1:7" ht="47.25" hidden="1" x14ac:dyDescent="0.25">
      <c r="A482" s="33" t="s">
        <v>196</v>
      </c>
      <c r="B482" s="21" t="s">
        <v>596</v>
      </c>
      <c r="C482" s="42" t="s">
        <v>297</v>
      </c>
      <c r="D482" s="42" t="s">
        <v>276</v>
      </c>
      <c r="E482" s="42"/>
      <c r="F482" s="2"/>
      <c r="G482" s="11"/>
    </row>
    <row r="483" spans="1:7" ht="31.5" x14ac:dyDescent="0.25">
      <c r="A483" s="123" t="s">
        <v>597</v>
      </c>
      <c r="B483" s="21" t="s">
        <v>598</v>
      </c>
      <c r="C483" s="42" t="s">
        <v>297</v>
      </c>
      <c r="D483" s="42" t="s">
        <v>276</v>
      </c>
      <c r="E483" s="42"/>
      <c r="F483" s="2"/>
      <c r="G483" s="11">
        <f>G484</f>
        <v>10.1</v>
      </c>
    </row>
    <row r="484" spans="1:7" ht="47.25" x14ac:dyDescent="0.3">
      <c r="A484" s="26" t="s">
        <v>194</v>
      </c>
      <c r="B484" s="21" t="s">
        <v>598</v>
      </c>
      <c r="C484" s="42" t="s">
        <v>297</v>
      </c>
      <c r="D484" s="42" t="s">
        <v>276</v>
      </c>
      <c r="E484" s="2">
        <v>200</v>
      </c>
      <c r="F484" s="89"/>
      <c r="G484" s="7">
        <f>G485</f>
        <v>10.1</v>
      </c>
    </row>
    <row r="485" spans="1:7" ht="47.25" x14ac:dyDescent="0.3">
      <c r="A485" s="26" t="s">
        <v>196</v>
      </c>
      <c r="B485" s="21" t="s">
        <v>598</v>
      </c>
      <c r="C485" s="42" t="s">
        <v>297</v>
      </c>
      <c r="D485" s="42" t="s">
        <v>276</v>
      </c>
      <c r="E485" s="2">
        <v>240</v>
      </c>
      <c r="F485" s="89"/>
      <c r="G485" s="7">
        <f>'Прил.№4 ведомств.'!G842</f>
        <v>10.1</v>
      </c>
    </row>
    <row r="486" spans="1:7" ht="47.25" x14ac:dyDescent="0.25">
      <c r="A486" s="47" t="s">
        <v>721</v>
      </c>
      <c r="B486" s="21" t="s">
        <v>582</v>
      </c>
      <c r="C486" s="42"/>
      <c r="D486" s="42"/>
      <c r="E486" s="2"/>
      <c r="F486" s="2">
        <v>908</v>
      </c>
      <c r="G486" s="7">
        <f>G458</f>
        <v>4565.9000000000005</v>
      </c>
    </row>
    <row r="487" spans="1:7" ht="63" x14ac:dyDescent="0.25">
      <c r="A487" s="24" t="s">
        <v>397</v>
      </c>
      <c r="B487" s="25" t="s">
        <v>398</v>
      </c>
      <c r="C487" s="8"/>
      <c r="D487" s="8"/>
      <c r="E487" s="3"/>
      <c r="F487" s="3"/>
      <c r="G487" s="4">
        <f>G488+G499</f>
        <v>125</v>
      </c>
    </row>
    <row r="488" spans="1:7" ht="15.75" x14ac:dyDescent="0.25">
      <c r="A488" s="26" t="s">
        <v>326</v>
      </c>
      <c r="B488" s="21" t="s">
        <v>398</v>
      </c>
      <c r="C488" s="42" t="s">
        <v>327</v>
      </c>
      <c r="D488" s="42"/>
      <c r="E488" s="2"/>
      <c r="F488" s="2"/>
      <c r="G488" s="7">
        <f>G489</f>
        <v>0</v>
      </c>
    </row>
    <row r="489" spans="1:7" ht="31.5" x14ac:dyDescent="0.25">
      <c r="A489" s="26" t="s">
        <v>358</v>
      </c>
      <c r="B489" s="21" t="s">
        <v>398</v>
      </c>
      <c r="C489" s="42" t="s">
        <v>327</v>
      </c>
      <c r="D489" s="42" t="s">
        <v>282</v>
      </c>
      <c r="E489" s="2"/>
      <c r="F489" s="2"/>
      <c r="G489" s="7">
        <f>G490+G493</f>
        <v>0</v>
      </c>
    </row>
    <row r="490" spans="1:7" ht="47.25" x14ac:dyDescent="0.25">
      <c r="A490" s="26" t="s">
        <v>399</v>
      </c>
      <c r="B490" s="21" t="s">
        <v>400</v>
      </c>
      <c r="C490" s="42" t="s">
        <v>327</v>
      </c>
      <c r="D490" s="42" t="s">
        <v>282</v>
      </c>
      <c r="E490" s="2"/>
      <c r="F490" s="2"/>
      <c r="G490" s="7">
        <f>G491</f>
        <v>0</v>
      </c>
    </row>
    <row r="491" spans="1:7" ht="47.25" x14ac:dyDescent="0.25">
      <c r="A491" s="26" t="s">
        <v>194</v>
      </c>
      <c r="B491" s="21" t="s">
        <v>400</v>
      </c>
      <c r="C491" s="42" t="s">
        <v>327</v>
      </c>
      <c r="D491" s="42" t="s">
        <v>282</v>
      </c>
      <c r="E491" s="2">
        <v>200</v>
      </c>
      <c r="F491" s="2"/>
      <c r="G491" s="7">
        <f>G492</f>
        <v>0</v>
      </c>
    </row>
    <row r="492" spans="1:7" ht="47.25" x14ac:dyDescent="0.25">
      <c r="A492" s="26" t="s">
        <v>196</v>
      </c>
      <c r="B492" s="21" t="s">
        <v>400</v>
      </c>
      <c r="C492" s="42" t="s">
        <v>327</v>
      </c>
      <c r="D492" s="42" t="s">
        <v>282</v>
      </c>
      <c r="E492" s="2">
        <v>240</v>
      </c>
      <c r="F492" s="2"/>
      <c r="G492" s="7">
        <f>'Прил.№4 ведомств.'!G663</f>
        <v>0</v>
      </c>
    </row>
    <row r="493" spans="1:7" ht="78.75" x14ac:dyDescent="0.25">
      <c r="A493" s="26" t="s">
        <v>540</v>
      </c>
      <c r="B493" s="21" t="s">
        <v>541</v>
      </c>
      <c r="C493" s="42" t="s">
        <v>327</v>
      </c>
      <c r="D493" s="42" t="s">
        <v>282</v>
      </c>
      <c r="E493" s="2"/>
      <c r="F493" s="2"/>
      <c r="G493" s="7">
        <f>G494+G496</f>
        <v>0</v>
      </c>
    </row>
    <row r="494" spans="1:7" ht="110.25" x14ac:dyDescent="0.25">
      <c r="A494" s="26" t="s">
        <v>190</v>
      </c>
      <c r="B494" s="21" t="s">
        <v>541</v>
      </c>
      <c r="C494" s="42" t="s">
        <v>327</v>
      </c>
      <c r="D494" s="42" t="s">
        <v>282</v>
      </c>
      <c r="E494" s="2">
        <v>100</v>
      </c>
      <c r="F494" s="2"/>
      <c r="G494" s="7">
        <f>G495</f>
        <v>0</v>
      </c>
    </row>
    <row r="495" spans="1:7" ht="31.5" x14ac:dyDescent="0.25">
      <c r="A495" s="26" t="s">
        <v>405</v>
      </c>
      <c r="B495" s="21" t="s">
        <v>541</v>
      </c>
      <c r="C495" s="42" t="s">
        <v>327</v>
      </c>
      <c r="D495" s="42" t="s">
        <v>282</v>
      </c>
      <c r="E495" s="2">
        <v>110</v>
      </c>
      <c r="F495" s="2"/>
      <c r="G495" s="7">
        <f>'Прил.№4 ведомств.'!G666</f>
        <v>0</v>
      </c>
    </row>
    <row r="496" spans="1:7" ht="47.25" x14ac:dyDescent="0.25">
      <c r="A496" s="26" t="s">
        <v>194</v>
      </c>
      <c r="B496" s="21" t="s">
        <v>541</v>
      </c>
      <c r="C496" s="42" t="s">
        <v>327</v>
      </c>
      <c r="D496" s="42" t="s">
        <v>282</v>
      </c>
      <c r="E496" s="2">
        <v>200</v>
      </c>
      <c r="F496" s="2"/>
      <c r="G496" s="7">
        <f>G497</f>
        <v>0</v>
      </c>
    </row>
    <row r="497" spans="1:9" ht="47.25" x14ac:dyDescent="0.25">
      <c r="A497" s="26" t="s">
        <v>196</v>
      </c>
      <c r="B497" s="21" t="s">
        <v>541</v>
      </c>
      <c r="C497" s="42" t="s">
        <v>327</v>
      </c>
      <c r="D497" s="42" t="s">
        <v>282</v>
      </c>
      <c r="E497" s="2">
        <v>240</v>
      </c>
      <c r="F497" s="2"/>
      <c r="G497" s="7">
        <f>'Прил.№4 ведомств.'!G668</f>
        <v>0</v>
      </c>
    </row>
    <row r="498" spans="1:9" ht="47.25" x14ac:dyDescent="0.25">
      <c r="A498" s="31" t="s">
        <v>467</v>
      </c>
      <c r="B498" s="21" t="s">
        <v>398</v>
      </c>
      <c r="C498" s="42" t="s">
        <v>327</v>
      </c>
      <c r="D498" s="42" t="s">
        <v>282</v>
      </c>
      <c r="E498" s="2"/>
      <c r="F498" s="2">
        <v>906</v>
      </c>
      <c r="G498" s="7">
        <f>G490+G493</f>
        <v>0</v>
      </c>
    </row>
    <row r="499" spans="1:9" ht="15.75" x14ac:dyDescent="0.25">
      <c r="A499" s="85" t="s">
        <v>361</v>
      </c>
      <c r="B499" s="21" t="s">
        <v>398</v>
      </c>
      <c r="C499" s="42" t="s">
        <v>362</v>
      </c>
      <c r="D499" s="42"/>
      <c r="E499" s="2"/>
      <c r="F499" s="2"/>
      <c r="G499" s="7">
        <f>G500</f>
        <v>125</v>
      </c>
    </row>
    <row r="500" spans="1:9" ht="31.5" x14ac:dyDescent="0.25">
      <c r="A500" s="26" t="s">
        <v>396</v>
      </c>
      <c r="B500" s="21" t="s">
        <v>398</v>
      </c>
      <c r="C500" s="42" t="s">
        <v>362</v>
      </c>
      <c r="D500" s="42" t="s">
        <v>213</v>
      </c>
      <c r="E500" s="2"/>
      <c r="F500" s="2"/>
      <c r="G500" s="7">
        <f>G501+G504+G507</f>
        <v>125</v>
      </c>
    </row>
    <row r="501" spans="1:9" ht="47.25" hidden="1" x14ac:dyDescent="0.25">
      <c r="A501" s="26" t="s">
        <v>399</v>
      </c>
      <c r="B501" s="21" t="s">
        <v>400</v>
      </c>
      <c r="C501" s="42" t="s">
        <v>362</v>
      </c>
      <c r="D501" s="42" t="s">
        <v>213</v>
      </c>
      <c r="E501" s="2"/>
      <c r="F501" s="2"/>
      <c r="G501" s="7">
        <f>G502</f>
        <v>0</v>
      </c>
    </row>
    <row r="502" spans="1:9" ht="47.25" hidden="1" x14ac:dyDescent="0.25">
      <c r="A502" s="26" t="s">
        <v>194</v>
      </c>
      <c r="B502" s="21" t="s">
        <v>400</v>
      </c>
      <c r="C502" s="42" t="s">
        <v>362</v>
      </c>
      <c r="D502" s="42" t="s">
        <v>213</v>
      </c>
      <c r="E502" s="2">
        <v>200</v>
      </c>
      <c r="F502" s="2"/>
      <c r="G502" s="7">
        <f>G503</f>
        <v>0</v>
      </c>
    </row>
    <row r="503" spans="1:9" ht="47.25" hidden="1" x14ac:dyDescent="0.25">
      <c r="A503" s="26" t="s">
        <v>196</v>
      </c>
      <c r="B503" s="21" t="s">
        <v>400</v>
      </c>
      <c r="C503" s="42" t="s">
        <v>362</v>
      </c>
      <c r="D503" s="42" t="s">
        <v>213</v>
      </c>
      <c r="E503" s="2">
        <v>240</v>
      </c>
      <c r="F503" s="2"/>
      <c r="G503" s="7">
        <f>'Прил.№4 ведомств.'!G365</f>
        <v>0</v>
      </c>
    </row>
    <row r="504" spans="1:9" ht="31.5" x14ac:dyDescent="0.25">
      <c r="A504" s="26" t="s">
        <v>401</v>
      </c>
      <c r="B504" s="21" t="s">
        <v>402</v>
      </c>
      <c r="C504" s="42" t="s">
        <v>362</v>
      </c>
      <c r="D504" s="42" t="s">
        <v>213</v>
      </c>
      <c r="E504" s="2"/>
      <c r="F504" s="2"/>
      <c r="G504" s="7">
        <f>G505</f>
        <v>20</v>
      </c>
    </row>
    <row r="505" spans="1:9" ht="47.25" x14ac:dyDescent="0.25">
      <c r="A505" s="26" t="s">
        <v>194</v>
      </c>
      <c r="B505" s="21" t="s">
        <v>402</v>
      </c>
      <c r="C505" s="42" t="s">
        <v>362</v>
      </c>
      <c r="D505" s="42" t="s">
        <v>213</v>
      </c>
      <c r="E505" s="2">
        <v>200</v>
      </c>
      <c r="F505" s="2"/>
      <c r="G505" s="7">
        <f>G506</f>
        <v>20</v>
      </c>
    </row>
    <row r="506" spans="1:9" ht="47.25" x14ac:dyDescent="0.25">
      <c r="A506" s="26" t="s">
        <v>196</v>
      </c>
      <c r="B506" s="21" t="s">
        <v>402</v>
      </c>
      <c r="C506" s="42" t="s">
        <v>362</v>
      </c>
      <c r="D506" s="42" t="s">
        <v>213</v>
      </c>
      <c r="E506" s="2">
        <v>240</v>
      </c>
      <c r="F506" s="2"/>
      <c r="G506" s="7">
        <f>'Прил.№4 ведомств.'!G373</f>
        <v>20</v>
      </c>
    </row>
    <row r="507" spans="1:9" ht="47.25" x14ac:dyDescent="0.25">
      <c r="A507" s="26" t="s">
        <v>786</v>
      </c>
      <c r="B507" s="21" t="s">
        <v>787</v>
      </c>
      <c r="C507" s="42" t="s">
        <v>362</v>
      </c>
      <c r="D507" s="42" t="s">
        <v>213</v>
      </c>
      <c r="E507" s="2"/>
      <c r="F507" s="2"/>
      <c r="G507" s="7">
        <f>G508</f>
        <v>105</v>
      </c>
    </row>
    <row r="508" spans="1:9" ht="47.25" x14ac:dyDescent="0.25">
      <c r="A508" s="26" t="s">
        <v>194</v>
      </c>
      <c r="B508" s="21" t="s">
        <v>787</v>
      </c>
      <c r="C508" s="42" t="s">
        <v>362</v>
      </c>
      <c r="D508" s="42" t="s">
        <v>213</v>
      </c>
      <c r="E508" s="2">
        <v>200</v>
      </c>
      <c r="F508" s="2"/>
      <c r="G508" s="7">
        <f>G509</f>
        <v>105</v>
      </c>
    </row>
    <row r="509" spans="1:9" ht="47.25" x14ac:dyDescent="0.25">
      <c r="A509" s="26" t="s">
        <v>196</v>
      </c>
      <c r="B509" s="21" t="s">
        <v>787</v>
      </c>
      <c r="C509" s="42" t="s">
        <v>362</v>
      </c>
      <c r="D509" s="42" t="s">
        <v>213</v>
      </c>
      <c r="E509" s="2">
        <v>240</v>
      </c>
      <c r="F509" s="2"/>
      <c r="G509" s="7">
        <f>'Прил.№4 ведомств.'!G376</f>
        <v>105</v>
      </c>
    </row>
    <row r="510" spans="1:9" ht="63" x14ac:dyDescent="0.25">
      <c r="A510" s="47" t="s">
        <v>324</v>
      </c>
      <c r="B510" s="21" t="s">
        <v>398</v>
      </c>
      <c r="C510" s="42" t="s">
        <v>362</v>
      </c>
      <c r="D510" s="42" t="s">
        <v>213</v>
      </c>
      <c r="E510" s="2"/>
      <c r="F510" s="2">
        <v>903</v>
      </c>
      <c r="G510" s="7">
        <f>G499</f>
        <v>125</v>
      </c>
    </row>
    <row r="511" spans="1:9" ht="78.75" x14ac:dyDescent="0.25">
      <c r="A511" s="43" t="s">
        <v>843</v>
      </c>
      <c r="B511" s="25" t="s">
        <v>841</v>
      </c>
      <c r="C511" s="8"/>
      <c r="D511" s="8"/>
      <c r="E511" s="3"/>
      <c r="F511" s="3"/>
      <c r="G511" s="4">
        <f>G512+G521</f>
        <v>34</v>
      </c>
    </row>
    <row r="512" spans="1:9" s="150" customFormat="1" ht="15.75" x14ac:dyDescent="0.25">
      <c r="A512" s="31" t="s">
        <v>180</v>
      </c>
      <c r="B512" s="21" t="s">
        <v>841</v>
      </c>
      <c r="C512" s="42" t="s">
        <v>181</v>
      </c>
      <c r="D512" s="42"/>
      <c r="E512" s="2"/>
      <c r="F512" s="2"/>
      <c r="G512" s="7">
        <f>G513</f>
        <v>29</v>
      </c>
      <c r="I512" s="151"/>
    </row>
    <row r="513" spans="1:9" s="150" customFormat="1" ht="31.5" x14ac:dyDescent="0.25">
      <c r="A513" s="31" t="s">
        <v>202</v>
      </c>
      <c r="B513" s="21" t="s">
        <v>841</v>
      </c>
      <c r="C513" s="42" t="s">
        <v>181</v>
      </c>
      <c r="D513" s="42" t="s">
        <v>203</v>
      </c>
      <c r="E513" s="2"/>
      <c r="F513" s="2"/>
      <c r="G513" s="7">
        <f>G514+G517</f>
        <v>29</v>
      </c>
      <c r="I513" s="151"/>
    </row>
    <row r="514" spans="1:9" ht="47.25" x14ac:dyDescent="0.25">
      <c r="A514" s="33" t="s">
        <v>220</v>
      </c>
      <c r="B514" s="21" t="s">
        <v>849</v>
      </c>
      <c r="C514" s="42" t="s">
        <v>181</v>
      </c>
      <c r="D514" s="42" t="s">
        <v>203</v>
      </c>
      <c r="E514" s="2"/>
      <c r="F514" s="2"/>
      <c r="G514" s="7">
        <f>G515</f>
        <v>29</v>
      </c>
    </row>
    <row r="515" spans="1:9" ht="47.25" x14ac:dyDescent="0.25">
      <c r="A515" s="26" t="s">
        <v>194</v>
      </c>
      <c r="B515" s="21" t="s">
        <v>849</v>
      </c>
      <c r="C515" s="42" t="s">
        <v>181</v>
      </c>
      <c r="D515" s="42" t="s">
        <v>203</v>
      </c>
      <c r="E515" s="2">
        <v>200</v>
      </c>
      <c r="F515" s="2"/>
      <c r="G515" s="7">
        <f>G516</f>
        <v>29</v>
      </c>
    </row>
    <row r="516" spans="1:9" ht="47.25" x14ac:dyDescent="0.25">
      <c r="A516" s="26" t="s">
        <v>196</v>
      </c>
      <c r="B516" s="21" t="s">
        <v>849</v>
      </c>
      <c r="C516" s="42" t="s">
        <v>181</v>
      </c>
      <c r="D516" s="42" t="s">
        <v>203</v>
      </c>
      <c r="E516" s="2">
        <v>240</v>
      </c>
      <c r="F516" s="2"/>
      <c r="G516" s="7">
        <f>'Прил.№4 ведомств.'!G93</f>
        <v>29</v>
      </c>
    </row>
    <row r="517" spans="1:9" ht="66" hidden="1" customHeight="1" x14ac:dyDescent="0.25">
      <c r="A517" s="31"/>
      <c r="B517" s="21" t="s">
        <v>842</v>
      </c>
      <c r="C517" s="42" t="s">
        <v>181</v>
      </c>
      <c r="D517" s="42" t="s">
        <v>203</v>
      </c>
      <c r="E517" s="2"/>
      <c r="F517" s="2"/>
      <c r="G517" s="7">
        <f>G518</f>
        <v>0</v>
      </c>
    </row>
    <row r="518" spans="1:9" ht="47.25" hidden="1" x14ac:dyDescent="0.25">
      <c r="A518" s="26" t="s">
        <v>194</v>
      </c>
      <c r="B518" s="21" t="s">
        <v>842</v>
      </c>
      <c r="C518" s="42" t="s">
        <v>181</v>
      </c>
      <c r="D518" s="42" t="s">
        <v>203</v>
      </c>
      <c r="E518" s="2">
        <v>200</v>
      </c>
      <c r="F518" s="2"/>
      <c r="G518" s="7">
        <f>G519</f>
        <v>0</v>
      </c>
    </row>
    <row r="519" spans="1:9" ht="47.25" hidden="1" x14ac:dyDescent="0.25">
      <c r="A519" s="26" t="s">
        <v>196</v>
      </c>
      <c r="B519" s="21" t="s">
        <v>842</v>
      </c>
      <c r="C519" s="42" t="s">
        <v>181</v>
      </c>
      <c r="D519" s="42" t="s">
        <v>203</v>
      </c>
      <c r="E519" s="2">
        <v>240</v>
      </c>
      <c r="F519" s="2"/>
      <c r="G519" s="7">
        <f>'Прил.№4 ведомств.'!G96</f>
        <v>0</v>
      </c>
    </row>
    <row r="520" spans="1:9" ht="31.5" x14ac:dyDescent="0.25">
      <c r="A520" s="31" t="s">
        <v>211</v>
      </c>
      <c r="B520" s="21" t="s">
        <v>841</v>
      </c>
      <c r="C520" s="42" t="s">
        <v>181</v>
      </c>
      <c r="D520" s="42" t="s">
        <v>203</v>
      </c>
      <c r="E520" s="2"/>
      <c r="F520" s="2">
        <v>902</v>
      </c>
      <c r="G520" s="7">
        <f>G511</f>
        <v>34</v>
      </c>
    </row>
    <row r="521" spans="1:9" s="150" customFormat="1" ht="15.75" x14ac:dyDescent="0.25">
      <c r="A521" s="26" t="s">
        <v>361</v>
      </c>
      <c r="B521" s="21" t="s">
        <v>841</v>
      </c>
      <c r="C521" s="42" t="s">
        <v>362</v>
      </c>
      <c r="D521" s="42"/>
      <c r="E521" s="2"/>
      <c r="F521" s="2"/>
      <c r="G521" s="7">
        <f>G522</f>
        <v>5</v>
      </c>
      <c r="I521" s="151"/>
    </row>
    <row r="522" spans="1:9" ht="31.5" x14ac:dyDescent="0.25">
      <c r="A522" s="43" t="s">
        <v>396</v>
      </c>
      <c r="B522" s="21" t="s">
        <v>841</v>
      </c>
      <c r="C522" s="42" t="s">
        <v>362</v>
      </c>
      <c r="D522" s="42" t="s">
        <v>213</v>
      </c>
      <c r="E522" s="2"/>
      <c r="F522" s="2"/>
      <c r="G522" s="7">
        <f>G523</f>
        <v>5</v>
      </c>
    </row>
    <row r="523" spans="1:9" ht="47.25" x14ac:dyDescent="0.25">
      <c r="A523" s="33" t="s">
        <v>220</v>
      </c>
      <c r="B523" s="21" t="s">
        <v>849</v>
      </c>
      <c r="C523" s="42" t="s">
        <v>362</v>
      </c>
      <c r="D523" s="42" t="s">
        <v>213</v>
      </c>
      <c r="E523" s="2"/>
      <c r="F523" s="2"/>
      <c r="G523" s="7">
        <f>G524</f>
        <v>5</v>
      </c>
    </row>
    <row r="524" spans="1:9" ht="47.25" x14ac:dyDescent="0.25">
      <c r="A524" s="26" t="s">
        <v>194</v>
      </c>
      <c r="B524" s="21" t="s">
        <v>849</v>
      </c>
      <c r="C524" s="42" t="s">
        <v>362</v>
      </c>
      <c r="D524" s="42" t="s">
        <v>213</v>
      </c>
      <c r="E524" s="2">
        <v>200</v>
      </c>
      <c r="F524" s="2"/>
      <c r="G524" s="7">
        <f>G525</f>
        <v>5</v>
      </c>
    </row>
    <row r="525" spans="1:9" ht="47.25" x14ac:dyDescent="0.25">
      <c r="A525" s="26" t="s">
        <v>196</v>
      </c>
      <c r="B525" s="21" t="s">
        <v>849</v>
      </c>
      <c r="C525" s="42" t="s">
        <v>362</v>
      </c>
      <c r="D525" s="42" t="s">
        <v>213</v>
      </c>
      <c r="E525" s="2">
        <v>240</v>
      </c>
      <c r="F525" s="2"/>
      <c r="G525" s="7">
        <f>'Прил.№4 ведомств.'!G380</f>
        <v>5</v>
      </c>
    </row>
    <row r="526" spans="1:9" ht="63" x14ac:dyDescent="0.25">
      <c r="A526" s="47" t="s">
        <v>324</v>
      </c>
      <c r="B526" s="21" t="s">
        <v>841</v>
      </c>
      <c r="C526" s="42" t="s">
        <v>362</v>
      </c>
      <c r="D526" s="42" t="s">
        <v>213</v>
      </c>
      <c r="E526" s="2"/>
      <c r="F526" s="2">
        <v>903</v>
      </c>
      <c r="G526" s="7">
        <f>G522</f>
        <v>5</v>
      </c>
    </row>
    <row r="527" spans="1:9" ht="78.75" x14ac:dyDescent="0.25">
      <c r="A527" s="24" t="s">
        <v>845</v>
      </c>
      <c r="B527" s="25" t="s">
        <v>847</v>
      </c>
      <c r="C527" s="8"/>
      <c r="D527" s="8"/>
      <c r="E527" s="3"/>
      <c r="F527" s="3"/>
      <c r="G527" s="4">
        <f>G528</f>
        <v>539.5</v>
      </c>
    </row>
    <row r="528" spans="1:9" ht="15.75" x14ac:dyDescent="0.25">
      <c r="A528" s="26" t="s">
        <v>454</v>
      </c>
      <c r="B528" s="21" t="s">
        <v>847</v>
      </c>
      <c r="C528" s="42" t="s">
        <v>297</v>
      </c>
      <c r="D528" s="42"/>
      <c r="E528" s="2"/>
      <c r="F528" s="2"/>
      <c r="G528" s="7">
        <f>G529</f>
        <v>539.5</v>
      </c>
    </row>
    <row r="529" spans="1:7" ht="15.75" x14ac:dyDescent="0.25">
      <c r="A529" s="26" t="s">
        <v>606</v>
      </c>
      <c r="B529" s="21" t="s">
        <v>847</v>
      </c>
      <c r="C529" s="42" t="s">
        <v>297</v>
      </c>
      <c r="D529" s="42" t="s">
        <v>278</v>
      </c>
      <c r="E529" s="2"/>
      <c r="F529" s="2"/>
      <c r="G529" s="7">
        <f>G530</f>
        <v>539.5</v>
      </c>
    </row>
    <row r="530" spans="1:7" ht="31.5" x14ac:dyDescent="0.25">
      <c r="A530" s="155" t="s">
        <v>846</v>
      </c>
      <c r="B530" s="21" t="s">
        <v>848</v>
      </c>
      <c r="C530" s="42" t="s">
        <v>297</v>
      </c>
      <c r="D530" s="42" t="s">
        <v>278</v>
      </c>
      <c r="E530" s="2"/>
      <c r="F530" s="2"/>
      <c r="G530" s="7">
        <f>G531</f>
        <v>539.5</v>
      </c>
    </row>
    <row r="531" spans="1:7" ht="47.25" x14ac:dyDescent="0.25">
      <c r="A531" s="26" t="s">
        <v>194</v>
      </c>
      <c r="B531" s="21" t="s">
        <v>848</v>
      </c>
      <c r="C531" s="42" t="s">
        <v>297</v>
      </c>
      <c r="D531" s="42" t="s">
        <v>278</v>
      </c>
      <c r="E531" s="2">
        <v>200</v>
      </c>
      <c r="F531" s="2"/>
      <c r="G531" s="7">
        <f>G532</f>
        <v>539.5</v>
      </c>
    </row>
    <row r="532" spans="1:7" ht="47.25" x14ac:dyDescent="0.25">
      <c r="A532" s="26" t="s">
        <v>196</v>
      </c>
      <c r="B532" s="21" t="s">
        <v>848</v>
      </c>
      <c r="C532" s="42" t="s">
        <v>297</v>
      </c>
      <c r="D532" s="42" t="s">
        <v>278</v>
      </c>
      <c r="E532" s="2">
        <v>240</v>
      </c>
      <c r="F532" s="2"/>
      <c r="G532" s="7">
        <f>'Прил.№4 ведомств.'!G896</f>
        <v>539.5</v>
      </c>
    </row>
    <row r="533" spans="1:7" ht="47.25" x14ac:dyDescent="0.25">
      <c r="A533" s="47" t="s">
        <v>721</v>
      </c>
      <c r="B533" s="21" t="s">
        <v>847</v>
      </c>
      <c r="C533" s="42" t="s">
        <v>297</v>
      </c>
      <c r="D533" s="42" t="s">
        <v>278</v>
      </c>
      <c r="E533" s="2"/>
      <c r="F533" s="2">
        <v>908</v>
      </c>
      <c r="G533" s="7">
        <f>G527</f>
        <v>539.5</v>
      </c>
    </row>
    <row r="534" spans="1:7" ht="15.75" x14ac:dyDescent="0.25">
      <c r="A534" s="84" t="s">
        <v>755</v>
      </c>
      <c r="B534" s="84"/>
      <c r="C534" s="84"/>
      <c r="D534" s="90"/>
      <c r="E534" s="90"/>
      <c r="F534" s="90"/>
      <c r="G534" s="147">
        <f>G10+G19+G102+G217+G224+G242+G249+G271+G326+G409+G419+G451+G458+G487+G511+G527</f>
        <v>207849.09999999998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topLeftCell="A17" zoomScale="60" zoomScaleNormal="100" workbookViewId="0">
      <selection activeCell="F3" sqref="F3"/>
    </sheetView>
  </sheetViews>
  <sheetFormatPr defaultRowHeight="15" x14ac:dyDescent="0.25"/>
  <cols>
    <col min="1" max="1" width="33.28515625" customWidth="1"/>
    <col min="5" max="5" width="15.85546875" customWidth="1"/>
    <col min="7" max="7" width="16.85546875" customWidth="1"/>
  </cols>
  <sheetData>
    <row r="1" spans="1:7" ht="18.75" customHeight="1" x14ac:dyDescent="0.3">
      <c r="A1" s="227"/>
      <c r="B1" s="227"/>
      <c r="C1" s="227"/>
      <c r="D1" s="13"/>
      <c r="F1" s="91" t="s">
        <v>714</v>
      </c>
      <c r="G1" s="73"/>
    </row>
    <row r="2" spans="1:7" ht="18.75" customHeight="1" x14ac:dyDescent="0.3">
      <c r="A2" s="227"/>
      <c r="B2" s="227"/>
      <c r="C2" s="227"/>
      <c r="D2" s="13"/>
      <c r="F2" s="91" t="s">
        <v>0</v>
      </c>
      <c r="G2" s="73"/>
    </row>
    <row r="3" spans="1:7" ht="18.75" x14ac:dyDescent="0.3">
      <c r="A3" s="13"/>
      <c r="B3" s="13"/>
      <c r="C3" s="13"/>
      <c r="D3" s="13"/>
      <c r="F3" s="191" t="s">
        <v>1032</v>
      </c>
      <c r="G3" s="73"/>
    </row>
    <row r="4" spans="1:7" ht="15.75" x14ac:dyDescent="0.25">
      <c r="A4" s="13"/>
      <c r="B4" s="13"/>
      <c r="C4" s="13"/>
      <c r="D4" s="13"/>
      <c r="E4" s="13"/>
      <c r="F4" s="13"/>
      <c r="G4" s="73"/>
    </row>
    <row r="5" spans="1:7" x14ac:dyDescent="0.25">
      <c r="A5" s="281" t="s">
        <v>912</v>
      </c>
      <c r="B5" s="281"/>
      <c r="C5" s="281"/>
      <c r="D5" s="281"/>
      <c r="E5" s="281"/>
      <c r="F5" s="281"/>
      <c r="G5" s="281"/>
    </row>
    <row r="6" spans="1:7" x14ac:dyDescent="0.25">
      <c r="A6" s="281"/>
      <c r="B6" s="281"/>
      <c r="C6" s="281"/>
      <c r="D6" s="281"/>
      <c r="E6" s="281"/>
      <c r="F6" s="281"/>
      <c r="G6" s="281"/>
    </row>
    <row r="7" spans="1:7" ht="15.75" x14ac:dyDescent="0.25">
      <c r="A7" s="13"/>
      <c r="B7" s="13"/>
      <c r="C7" s="13"/>
      <c r="D7" s="13"/>
      <c r="E7" s="92"/>
      <c r="F7" s="92"/>
      <c r="G7" s="77" t="s">
        <v>4</v>
      </c>
    </row>
    <row r="8" spans="1:7" ht="31.5" x14ac:dyDescent="0.25">
      <c r="A8" s="93" t="s">
        <v>659</v>
      </c>
      <c r="B8" s="93" t="s">
        <v>719</v>
      </c>
      <c r="C8" s="93" t="s">
        <v>716</v>
      </c>
      <c r="D8" s="93" t="s">
        <v>717</v>
      </c>
      <c r="E8" s="93" t="s">
        <v>715</v>
      </c>
      <c r="F8" s="93" t="s">
        <v>718</v>
      </c>
      <c r="G8" s="78" t="s">
        <v>7</v>
      </c>
    </row>
    <row r="9" spans="1:7" ht="95.25" hidden="1" customHeight="1" x14ac:dyDescent="0.25">
      <c r="A9" s="282" t="s">
        <v>756</v>
      </c>
      <c r="B9" s="282"/>
      <c r="C9" s="282"/>
      <c r="D9" s="282"/>
      <c r="E9" s="282"/>
      <c r="F9" s="282"/>
      <c r="G9" s="94">
        <f>G11</f>
        <v>0</v>
      </c>
    </row>
    <row r="10" spans="1:7" ht="78.75" hidden="1" x14ac:dyDescent="0.25">
      <c r="A10" s="5" t="s">
        <v>757</v>
      </c>
      <c r="B10" s="5">
        <v>903</v>
      </c>
      <c r="C10" s="5"/>
      <c r="D10" s="5"/>
      <c r="E10" s="5"/>
      <c r="F10" s="5"/>
      <c r="G10" s="94">
        <f>G11</f>
        <v>0</v>
      </c>
    </row>
    <row r="11" spans="1:7" ht="15.75" hidden="1" x14ac:dyDescent="0.25">
      <c r="A11" s="47" t="s">
        <v>306</v>
      </c>
      <c r="B11" s="6">
        <v>903</v>
      </c>
      <c r="C11" s="42" t="s">
        <v>307</v>
      </c>
      <c r="D11" s="42"/>
      <c r="E11" s="42"/>
      <c r="F11" s="42"/>
      <c r="G11" s="95">
        <f>G12</f>
        <v>0</v>
      </c>
    </row>
    <row r="12" spans="1:7" ht="15.75" hidden="1" x14ac:dyDescent="0.25">
      <c r="A12" s="31" t="s">
        <v>184</v>
      </c>
      <c r="B12" s="6">
        <v>903</v>
      </c>
      <c r="C12" s="42" t="s">
        <v>307</v>
      </c>
      <c r="D12" s="42" t="s">
        <v>278</v>
      </c>
      <c r="E12" s="42" t="s">
        <v>185</v>
      </c>
      <c r="F12" s="42"/>
      <c r="G12" s="95">
        <f>G14</f>
        <v>0</v>
      </c>
    </row>
    <row r="13" spans="1:7" ht="31.5" hidden="1" x14ac:dyDescent="0.25">
      <c r="A13" s="31" t="s">
        <v>204</v>
      </c>
      <c r="B13" s="6">
        <v>903</v>
      </c>
      <c r="C13" s="42" t="s">
        <v>307</v>
      </c>
      <c r="D13" s="42" t="s">
        <v>278</v>
      </c>
      <c r="E13" s="42" t="s">
        <v>205</v>
      </c>
      <c r="F13" s="42"/>
      <c r="G13" s="95">
        <f>G14</f>
        <v>0</v>
      </c>
    </row>
    <row r="14" spans="1:7" ht="31.5" hidden="1" x14ac:dyDescent="0.25">
      <c r="A14" s="31" t="s">
        <v>264</v>
      </c>
      <c r="B14" s="6">
        <v>903</v>
      </c>
      <c r="C14" s="42" t="s">
        <v>307</v>
      </c>
      <c r="D14" s="42" t="s">
        <v>278</v>
      </c>
      <c r="E14" s="42" t="s">
        <v>265</v>
      </c>
      <c r="F14" s="42"/>
      <c r="G14" s="95">
        <f>G15</f>
        <v>0</v>
      </c>
    </row>
    <row r="15" spans="1:7" ht="31.5" hidden="1" x14ac:dyDescent="0.25">
      <c r="A15" s="31" t="s">
        <v>311</v>
      </c>
      <c r="B15" s="6">
        <v>903</v>
      </c>
      <c r="C15" s="42" t="s">
        <v>307</v>
      </c>
      <c r="D15" s="42" t="s">
        <v>278</v>
      </c>
      <c r="E15" s="42" t="s">
        <v>265</v>
      </c>
      <c r="F15" s="42" t="s">
        <v>312</v>
      </c>
      <c r="G15" s="95">
        <f>G16</f>
        <v>0</v>
      </c>
    </row>
    <row r="16" spans="1:7" ht="47.25" hidden="1" x14ac:dyDescent="0.25">
      <c r="A16" s="31" t="s">
        <v>411</v>
      </c>
      <c r="B16" s="6">
        <v>903</v>
      </c>
      <c r="C16" s="42" t="s">
        <v>307</v>
      </c>
      <c r="D16" s="42" t="s">
        <v>278</v>
      </c>
      <c r="E16" s="42" t="s">
        <v>265</v>
      </c>
      <c r="F16" s="42" t="s">
        <v>412</v>
      </c>
      <c r="G16" s="95"/>
    </row>
    <row r="17" spans="1:7" ht="59.25" customHeight="1" x14ac:dyDescent="0.25">
      <c r="A17" s="226" t="s">
        <v>211</v>
      </c>
      <c r="B17" s="226">
        <v>902</v>
      </c>
      <c r="C17" s="226"/>
      <c r="D17" s="226"/>
      <c r="E17" s="226"/>
      <c r="F17" s="226"/>
      <c r="G17" s="94">
        <f t="shared" ref="G17:G23" si="0">G18</f>
        <v>9066.5</v>
      </c>
    </row>
    <row r="18" spans="1:7" ht="15.75" x14ac:dyDescent="0.25">
      <c r="A18" s="96" t="s">
        <v>306</v>
      </c>
      <c r="B18" s="228">
        <v>902</v>
      </c>
      <c r="C18" s="228">
        <v>10</v>
      </c>
      <c r="D18" s="228"/>
      <c r="E18" s="228"/>
      <c r="F18" s="228"/>
      <c r="G18" s="95">
        <f t="shared" si="0"/>
        <v>9066.5</v>
      </c>
    </row>
    <row r="19" spans="1:7" ht="15.75" x14ac:dyDescent="0.25">
      <c r="A19" s="229" t="s">
        <v>308</v>
      </c>
      <c r="B19" s="230">
        <v>902</v>
      </c>
      <c r="C19" s="230">
        <v>10</v>
      </c>
      <c r="D19" s="230" t="s">
        <v>181</v>
      </c>
      <c r="E19" s="230"/>
      <c r="F19" s="230"/>
      <c r="G19" s="95">
        <f t="shared" si="0"/>
        <v>9066.5</v>
      </c>
    </row>
    <row r="20" spans="1:7" ht="15.75" x14ac:dyDescent="0.25">
      <c r="A20" s="26" t="s">
        <v>184</v>
      </c>
      <c r="B20" s="230">
        <v>902</v>
      </c>
      <c r="C20" s="230">
        <v>10</v>
      </c>
      <c r="D20" s="230" t="s">
        <v>181</v>
      </c>
      <c r="E20" s="21" t="s">
        <v>185</v>
      </c>
      <c r="F20" s="230"/>
      <c r="G20" s="95">
        <f t="shared" si="0"/>
        <v>9066.5</v>
      </c>
    </row>
    <row r="21" spans="1:7" ht="31.5" x14ac:dyDescent="0.25">
      <c r="A21" s="26" t="s">
        <v>204</v>
      </c>
      <c r="B21" s="230">
        <v>902</v>
      </c>
      <c r="C21" s="230">
        <v>10</v>
      </c>
      <c r="D21" s="230" t="s">
        <v>181</v>
      </c>
      <c r="E21" s="21" t="s">
        <v>205</v>
      </c>
      <c r="F21" s="230"/>
      <c r="G21" s="95">
        <f t="shared" si="0"/>
        <v>9066.5</v>
      </c>
    </row>
    <row r="22" spans="1:7" ht="31.5" x14ac:dyDescent="0.25">
      <c r="A22" s="26" t="s">
        <v>309</v>
      </c>
      <c r="B22" s="230">
        <v>902</v>
      </c>
      <c r="C22" s="230">
        <v>10</v>
      </c>
      <c r="D22" s="230" t="s">
        <v>181</v>
      </c>
      <c r="E22" s="21" t="s">
        <v>310</v>
      </c>
      <c r="F22" s="230"/>
      <c r="G22" s="95">
        <f t="shared" si="0"/>
        <v>9066.5</v>
      </c>
    </row>
    <row r="23" spans="1:7" ht="31.5" x14ac:dyDescent="0.25">
      <c r="A23" s="26" t="s">
        <v>311</v>
      </c>
      <c r="B23" s="230">
        <v>902</v>
      </c>
      <c r="C23" s="230">
        <v>10</v>
      </c>
      <c r="D23" s="230" t="s">
        <v>181</v>
      </c>
      <c r="E23" s="21" t="s">
        <v>310</v>
      </c>
      <c r="F23" s="230"/>
      <c r="G23" s="95">
        <f t="shared" si="0"/>
        <v>9066.5</v>
      </c>
    </row>
    <row r="24" spans="1:7" ht="47.25" x14ac:dyDescent="0.25">
      <c r="A24" s="26" t="s">
        <v>411</v>
      </c>
      <c r="B24" s="230">
        <v>902</v>
      </c>
      <c r="C24" s="230">
        <v>10</v>
      </c>
      <c r="D24" s="230" t="s">
        <v>181</v>
      </c>
      <c r="E24" s="21" t="s">
        <v>310</v>
      </c>
      <c r="F24" s="230" t="s">
        <v>412</v>
      </c>
      <c r="G24" s="95">
        <f>'Прил.№4 ведомств.'!G203</f>
        <v>9066.5</v>
      </c>
    </row>
    <row r="25" spans="1:7" ht="57" customHeight="1" x14ac:dyDescent="0.25">
      <c r="A25" s="283" t="s">
        <v>758</v>
      </c>
      <c r="B25" s="283"/>
      <c r="C25" s="283"/>
      <c r="D25" s="283"/>
      <c r="E25" s="283"/>
      <c r="F25" s="283"/>
      <c r="G25" s="94">
        <f>G26</f>
        <v>2128.6999999999998</v>
      </c>
    </row>
    <row r="26" spans="1:7" ht="78.75" x14ac:dyDescent="0.25">
      <c r="A26" s="5" t="s">
        <v>757</v>
      </c>
      <c r="B26" s="5">
        <v>903</v>
      </c>
      <c r="C26" s="5"/>
      <c r="D26" s="5"/>
      <c r="E26" s="5"/>
      <c r="F26" s="5"/>
      <c r="G26" s="94">
        <f>G27</f>
        <v>2128.6999999999998</v>
      </c>
    </row>
    <row r="27" spans="1:7" ht="15.75" x14ac:dyDescent="0.25">
      <c r="A27" s="96" t="s">
        <v>306</v>
      </c>
      <c r="B27" s="10" t="s">
        <v>725</v>
      </c>
      <c r="C27" s="10" t="s">
        <v>307</v>
      </c>
      <c r="D27" s="10"/>
      <c r="E27" s="10"/>
      <c r="F27" s="10"/>
      <c r="G27" s="97">
        <f>G28</f>
        <v>2128.6999999999998</v>
      </c>
    </row>
    <row r="28" spans="1:7" ht="31.5" x14ac:dyDescent="0.25">
      <c r="A28" s="31" t="s">
        <v>315</v>
      </c>
      <c r="B28" s="6">
        <v>903</v>
      </c>
      <c r="C28" s="42" t="s">
        <v>307</v>
      </c>
      <c r="D28" s="42" t="s">
        <v>278</v>
      </c>
      <c r="E28" s="42"/>
      <c r="F28" s="42"/>
      <c r="G28" s="95">
        <f>G29</f>
        <v>2128.6999999999998</v>
      </c>
    </row>
    <row r="29" spans="1:7" ht="78.75" x14ac:dyDescent="0.25">
      <c r="A29" s="31" t="s">
        <v>759</v>
      </c>
      <c r="B29" s="6">
        <v>903</v>
      </c>
      <c r="C29" s="42" t="s">
        <v>307</v>
      </c>
      <c r="D29" s="42" t="s">
        <v>278</v>
      </c>
      <c r="E29" s="42" t="s">
        <v>407</v>
      </c>
      <c r="F29" s="42"/>
      <c r="G29" s="95">
        <f>G33+G30+G37+G41</f>
        <v>2128.6999999999998</v>
      </c>
    </row>
    <row r="30" spans="1:7" ht="47.25" x14ac:dyDescent="0.25">
      <c r="A30" s="31" t="s">
        <v>408</v>
      </c>
      <c r="B30" s="6">
        <v>903</v>
      </c>
      <c r="C30" s="42" t="s">
        <v>307</v>
      </c>
      <c r="D30" s="42" t="s">
        <v>278</v>
      </c>
      <c r="E30" s="42" t="s">
        <v>409</v>
      </c>
      <c r="F30" s="42"/>
      <c r="G30" s="95">
        <f>G31</f>
        <v>25</v>
      </c>
    </row>
    <row r="31" spans="1:7" ht="31.5" x14ac:dyDescent="0.25">
      <c r="A31" s="31" t="s">
        <v>311</v>
      </c>
      <c r="B31" s="6">
        <v>903</v>
      </c>
      <c r="C31" s="42" t="s">
        <v>307</v>
      </c>
      <c r="D31" s="42" t="s">
        <v>278</v>
      </c>
      <c r="E31" s="42" t="s">
        <v>410</v>
      </c>
      <c r="F31" s="42" t="s">
        <v>312</v>
      </c>
      <c r="G31" s="95">
        <f>G32</f>
        <v>25</v>
      </c>
    </row>
    <row r="32" spans="1:7" ht="47.25" x14ac:dyDescent="0.25">
      <c r="A32" s="31" t="s">
        <v>411</v>
      </c>
      <c r="B32" s="6">
        <v>903</v>
      </c>
      <c r="C32" s="42" t="s">
        <v>307</v>
      </c>
      <c r="D32" s="42" t="s">
        <v>278</v>
      </c>
      <c r="E32" s="42" t="s">
        <v>410</v>
      </c>
      <c r="F32" s="42" t="s">
        <v>412</v>
      </c>
      <c r="G32" s="95">
        <v>25</v>
      </c>
    </row>
    <row r="33" spans="1:7" ht="63" x14ac:dyDescent="0.25">
      <c r="A33" s="47" t="s">
        <v>727</v>
      </c>
      <c r="B33" s="6">
        <v>903</v>
      </c>
      <c r="C33" s="42" t="s">
        <v>307</v>
      </c>
      <c r="D33" s="42" t="s">
        <v>278</v>
      </c>
      <c r="E33" s="42" t="s">
        <v>419</v>
      </c>
      <c r="F33" s="42"/>
      <c r="G33" s="95">
        <f>G34</f>
        <v>390</v>
      </c>
    </row>
    <row r="34" spans="1:7" ht="47.25" x14ac:dyDescent="0.25">
      <c r="A34" s="31" t="s">
        <v>220</v>
      </c>
      <c r="B34" s="6">
        <v>903</v>
      </c>
      <c r="C34" s="42" t="s">
        <v>307</v>
      </c>
      <c r="D34" s="42" t="s">
        <v>278</v>
      </c>
      <c r="E34" s="42" t="s">
        <v>420</v>
      </c>
      <c r="F34" s="42"/>
      <c r="G34" s="95">
        <f>G35</f>
        <v>390</v>
      </c>
    </row>
    <row r="35" spans="1:7" ht="31.5" x14ac:dyDescent="0.25">
      <c r="A35" s="31" t="s">
        <v>311</v>
      </c>
      <c r="B35" s="6">
        <v>903</v>
      </c>
      <c r="C35" s="42" t="s">
        <v>307</v>
      </c>
      <c r="D35" s="42" t="s">
        <v>278</v>
      </c>
      <c r="E35" s="42" t="s">
        <v>420</v>
      </c>
      <c r="F35" s="42" t="s">
        <v>312</v>
      </c>
      <c r="G35" s="95">
        <f>G36</f>
        <v>390</v>
      </c>
    </row>
    <row r="36" spans="1:7" ht="47.25" x14ac:dyDescent="0.25">
      <c r="A36" s="31" t="s">
        <v>411</v>
      </c>
      <c r="B36" s="98">
        <v>903</v>
      </c>
      <c r="C36" s="42" t="s">
        <v>307</v>
      </c>
      <c r="D36" s="42" t="s">
        <v>278</v>
      </c>
      <c r="E36" s="42" t="s">
        <v>420</v>
      </c>
      <c r="F36" s="99" t="s">
        <v>412</v>
      </c>
      <c r="G36" s="95">
        <f>'Прил.№4 ведомств.'!G414</f>
        <v>390</v>
      </c>
    </row>
    <row r="37" spans="1:7" ht="31.5" x14ac:dyDescent="0.25">
      <c r="A37" s="47" t="s">
        <v>729</v>
      </c>
      <c r="B37" s="6">
        <v>903</v>
      </c>
      <c r="C37" s="42" t="s">
        <v>307</v>
      </c>
      <c r="D37" s="42" t="s">
        <v>278</v>
      </c>
      <c r="E37" s="42" t="s">
        <v>422</v>
      </c>
      <c r="F37" s="42"/>
      <c r="G37" s="86">
        <f>G38</f>
        <v>1353</v>
      </c>
    </row>
    <row r="38" spans="1:7" ht="47.25" x14ac:dyDescent="0.25">
      <c r="A38" s="31" t="s">
        <v>220</v>
      </c>
      <c r="B38" s="6">
        <v>903</v>
      </c>
      <c r="C38" s="100" t="s">
        <v>307</v>
      </c>
      <c r="D38" s="100" t="s">
        <v>278</v>
      </c>
      <c r="E38" s="42" t="s">
        <v>423</v>
      </c>
      <c r="F38" s="100"/>
      <c r="G38" s="86">
        <f>G39</f>
        <v>1353</v>
      </c>
    </row>
    <row r="39" spans="1:7" ht="31.5" x14ac:dyDescent="0.25">
      <c r="A39" s="31" t="s">
        <v>311</v>
      </c>
      <c r="B39" s="6">
        <v>903</v>
      </c>
      <c r="C39" s="42" t="s">
        <v>307</v>
      </c>
      <c r="D39" s="42" t="s">
        <v>278</v>
      </c>
      <c r="E39" s="42" t="s">
        <v>423</v>
      </c>
      <c r="F39" s="42" t="s">
        <v>312</v>
      </c>
      <c r="G39" s="86">
        <f>G40</f>
        <v>1353</v>
      </c>
    </row>
    <row r="40" spans="1:7" ht="47.25" x14ac:dyDescent="0.25">
      <c r="A40" s="31" t="s">
        <v>411</v>
      </c>
      <c r="B40" s="6">
        <v>903</v>
      </c>
      <c r="C40" s="42" t="s">
        <v>307</v>
      </c>
      <c r="D40" s="42" t="s">
        <v>278</v>
      </c>
      <c r="E40" s="42" t="s">
        <v>423</v>
      </c>
      <c r="F40" s="42" t="s">
        <v>412</v>
      </c>
      <c r="G40" s="86">
        <f>'Прил.№4 ведомств.'!G420</f>
        <v>1353</v>
      </c>
    </row>
    <row r="41" spans="1:7" ht="47.25" x14ac:dyDescent="0.25">
      <c r="A41" s="31" t="s">
        <v>424</v>
      </c>
      <c r="B41" s="66">
        <v>903</v>
      </c>
      <c r="C41" s="100" t="s">
        <v>307</v>
      </c>
      <c r="D41" s="100" t="s">
        <v>278</v>
      </c>
      <c r="E41" s="100" t="s">
        <v>425</v>
      </c>
      <c r="F41" s="100"/>
      <c r="G41" s="95">
        <f>G42</f>
        <v>360.7</v>
      </c>
    </row>
    <row r="42" spans="1:7" ht="47.25" x14ac:dyDescent="0.25">
      <c r="A42" s="31" t="s">
        <v>220</v>
      </c>
      <c r="B42" s="6">
        <v>903</v>
      </c>
      <c r="C42" s="100" t="s">
        <v>307</v>
      </c>
      <c r="D42" s="100" t="s">
        <v>278</v>
      </c>
      <c r="E42" s="100" t="s">
        <v>426</v>
      </c>
      <c r="F42" s="100"/>
      <c r="G42" s="95">
        <f>G43</f>
        <v>360.7</v>
      </c>
    </row>
    <row r="43" spans="1:7" ht="31.5" x14ac:dyDescent="0.25">
      <c r="A43" s="31" t="s">
        <v>311</v>
      </c>
      <c r="B43" s="6">
        <v>903</v>
      </c>
      <c r="C43" s="100" t="s">
        <v>307</v>
      </c>
      <c r="D43" s="100" t="s">
        <v>278</v>
      </c>
      <c r="E43" s="100" t="s">
        <v>426</v>
      </c>
      <c r="F43" s="100" t="s">
        <v>312</v>
      </c>
      <c r="G43" s="95">
        <f>G44</f>
        <v>360.7</v>
      </c>
    </row>
    <row r="44" spans="1:7" ht="47.25" x14ac:dyDescent="0.25">
      <c r="A44" s="31" t="s">
        <v>411</v>
      </c>
      <c r="B44" s="6">
        <v>903</v>
      </c>
      <c r="C44" s="100" t="s">
        <v>307</v>
      </c>
      <c r="D44" s="100" t="s">
        <v>278</v>
      </c>
      <c r="E44" s="100" t="s">
        <v>426</v>
      </c>
      <c r="F44" s="100" t="s">
        <v>412</v>
      </c>
      <c r="G44" s="101">
        <f>'Прил.№4 ведомств.'!G424</f>
        <v>360.7</v>
      </c>
    </row>
    <row r="45" spans="1:7" ht="15.75" x14ac:dyDescent="0.25">
      <c r="A45" s="43" t="s">
        <v>755</v>
      </c>
      <c r="B45" s="43"/>
      <c r="C45" s="102"/>
      <c r="D45" s="102"/>
      <c r="E45" s="102"/>
      <c r="F45" s="102"/>
      <c r="G45" s="248">
        <f>G17+G25</f>
        <v>11195.2</v>
      </c>
    </row>
  </sheetData>
  <mergeCells count="3">
    <mergeCell ref="A5:G6"/>
    <mergeCell ref="A9:F9"/>
    <mergeCell ref="A25:F25"/>
  </mergeCells>
  <pageMargins left="0.39370078740157483" right="0.39370078740157483" top="1.1811023622047245" bottom="0.3937007874015748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60" zoomScaleNormal="100" workbookViewId="0">
      <selection activeCell="H16" sqref="H16"/>
    </sheetView>
  </sheetViews>
  <sheetFormatPr defaultRowHeight="15" x14ac:dyDescent="0.25"/>
  <cols>
    <col min="1" max="1" width="36" customWidth="1"/>
    <col min="2" max="2" width="51.7109375" customWidth="1"/>
    <col min="3" max="3" width="19.7109375" customWidth="1"/>
    <col min="4" max="4" width="11.28515625" hidden="1" customWidth="1"/>
    <col min="5" max="5" width="10.5703125" hidden="1" customWidth="1"/>
  </cols>
  <sheetData>
    <row r="1" spans="1:5" ht="18.75" x14ac:dyDescent="0.3">
      <c r="A1" s="13"/>
      <c r="C1" s="263" t="s">
        <v>714</v>
      </c>
    </row>
    <row r="2" spans="1:5" ht="18.75" x14ac:dyDescent="0.3">
      <c r="A2" s="13"/>
      <c r="B2" s="13"/>
      <c r="C2" s="263" t="s">
        <v>0</v>
      </c>
    </row>
    <row r="3" spans="1:5" ht="18.75" x14ac:dyDescent="0.3">
      <c r="A3" s="13"/>
      <c r="B3" s="13"/>
      <c r="C3" s="191" t="s">
        <v>1032</v>
      </c>
    </row>
    <row r="4" spans="1:5" ht="15.75" x14ac:dyDescent="0.25">
      <c r="A4" s="13"/>
      <c r="B4" s="13"/>
      <c r="C4" s="13"/>
    </row>
    <row r="5" spans="1:5" ht="16.5" x14ac:dyDescent="0.25">
      <c r="A5" s="268" t="s">
        <v>760</v>
      </c>
      <c r="B5" s="268"/>
      <c r="C5" s="268"/>
    </row>
    <row r="6" spans="1:5" ht="16.5" x14ac:dyDescent="0.25">
      <c r="A6" s="268" t="s">
        <v>761</v>
      </c>
      <c r="B6" s="268"/>
      <c r="C6" s="268"/>
    </row>
    <row r="7" spans="1:5" ht="15.75" x14ac:dyDescent="0.25">
      <c r="A7" s="103"/>
      <c r="B7" s="103"/>
      <c r="C7" s="103"/>
    </row>
    <row r="8" spans="1:5" ht="15.75" x14ac:dyDescent="0.25">
      <c r="A8" s="13"/>
      <c r="B8" s="13"/>
      <c r="C8" s="104" t="s">
        <v>4</v>
      </c>
    </row>
    <row r="9" spans="1:5" ht="31.5" x14ac:dyDescent="0.25">
      <c r="A9" s="93" t="s">
        <v>762</v>
      </c>
      <c r="B9" s="93" t="s">
        <v>763</v>
      </c>
      <c r="C9" s="93" t="s">
        <v>764</v>
      </c>
      <c r="D9" s="78" t="s">
        <v>895</v>
      </c>
      <c r="E9" s="78" t="s">
        <v>896</v>
      </c>
    </row>
    <row r="10" spans="1:5" ht="15.75" x14ac:dyDescent="0.25">
      <c r="A10" s="93">
        <v>1</v>
      </c>
      <c r="B10" s="93">
        <v>2</v>
      </c>
      <c r="C10" s="93">
        <v>3</v>
      </c>
      <c r="D10" s="78">
        <v>4</v>
      </c>
      <c r="E10" s="78">
        <v>5</v>
      </c>
    </row>
    <row r="11" spans="1:5" ht="33" x14ac:dyDescent="0.25">
      <c r="A11" s="105" t="s">
        <v>765</v>
      </c>
      <c r="B11" s="106" t="s">
        <v>766</v>
      </c>
      <c r="C11" s="107">
        <f>C12-C14</f>
        <v>34100.989999999991</v>
      </c>
      <c r="D11" s="107">
        <f t="shared" ref="D11:E11" si="0">D12-D14</f>
        <v>3210</v>
      </c>
      <c r="E11" s="107">
        <f t="shared" si="0"/>
        <v>30890.989999999991</v>
      </c>
    </row>
    <row r="12" spans="1:5" ht="31.5" x14ac:dyDescent="0.25">
      <c r="A12" s="108" t="s">
        <v>767</v>
      </c>
      <c r="B12" s="109" t="s">
        <v>768</v>
      </c>
      <c r="C12" s="68">
        <f>C13</f>
        <v>67046.100000000006</v>
      </c>
      <c r="D12" s="68">
        <f t="shared" ref="D12:E12" si="1">D13</f>
        <v>4534.8999999999996</v>
      </c>
      <c r="E12" s="68">
        <f t="shared" si="1"/>
        <v>62511.200000000004</v>
      </c>
    </row>
    <row r="13" spans="1:5" ht="31.5" x14ac:dyDescent="0.25">
      <c r="A13" s="110" t="s">
        <v>769</v>
      </c>
      <c r="B13" s="111" t="s">
        <v>770</v>
      </c>
      <c r="C13" s="112">
        <v>67046.100000000006</v>
      </c>
      <c r="D13" s="112">
        <v>4534.8999999999996</v>
      </c>
      <c r="E13" s="112">
        <f>C13-D13</f>
        <v>62511.200000000004</v>
      </c>
    </row>
    <row r="14" spans="1:5" ht="31.5" x14ac:dyDescent="0.25">
      <c r="A14" s="108" t="s">
        <v>771</v>
      </c>
      <c r="B14" s="109" t="s">
        <v>772</v>
      </c>
      <c r="C14" s="68">
        <f>C15</f>
        <v>32945.110000000015</v>
      </c>
      <c r="D14" s="68">
        <f t="shared" ref="D14:E14" si="2">D15</f>
        <v>1324.8999999999996</v>
      </c>
      <c r="E14" s="68">
        <f t="shared" si="2"/>
        <v>31620.210000000014</v>
      </c>
    </row>
    <row r="15" spans="1:5" ht="31.5" x14ac:dyDescent="0.25">
      <c r="A15" s="110" t="s">
        <v>773</v>
      </c>
      <c r="B15" s="111" t="s">
        <v>774</v>
      </c>
      <c r="C15" s="112">
        <f>C12+C21</f>
        <v>32945.110000000015</v>
      </c>
      <c r="D15" s="112">
        <f t="shared" ref="D15:E15" si="3">D12+D21</f>
        <v>1324.8999999999996</v>
      </c>
      <c r="E15" s="112">
        <f t="shared" si="3"/>
        <v>31620.210000000014</v>
      </c>
    </row>
    <row r="16" spans="1:5" ht="15.75" x14ac:dyDescent="0.25">
      <c r="A16" s="108" t="s">
        <v>755</v>
      </c>
      <c r="B16" s="111"/>
      <c r="C16" s="4">
        <f>C13-C15</f>
        <v>34100.989999999991</v>
      </c>
      <c r="D16" s="4">
        <f t="shared" ref="D16:E16" si="4">D13-D15</f>
        <v>3210</v>
      </c>
      <c r="E16" s="4">
        <f t="shared" si="4"/>
        <v>30890.989999999991</v>
      </c>
    </row>
    <row r="19" spans="2:5" x14ac:dyDescent="0.25">
      <c r="B19" t="s">
        <v>775</v>
      </c>
      <c r="C19" s="23">
        <f>'прил.№1 доходы'!C135</f>
        <v>599270.19999999995</v>
      </c>
      <c r="D19">
        <v>201909.8</v>
      </c>
      <c r="E19" s="23">
        <f>C19-D19</f>
        <v>397360.39999999997</v>
      </c>
    </row>
    <row r="20" spans="2:5" x14ac:dyDescent="0.25">
      <c r="B20" t="s">
        <v>776</v>
      </c>
      <c r="C20" s="23">
        <f>'Прил.№4 ведомств.'!G996</f>
        <v>633371.18999999994</v>
      </c>
      <c r="D20">
        <f>D19+3210</f>
        <v>205119.8</v>
      </c>
      <c r="E20" s="23">
        <f>C20-D20</f>
        <v>428251.38999999996</v>
      </c>
    </row>
    <row r="21" spans="2:5" x14ac:dyDescent="0.25">
      <c r="B21" t="s">
        <v>777</v>
      </c>
      <c r="C21" s="23">
        <f>C19-C20</f>
        <v>-34100.989999999991</v>
      </c>
      <c r="D21" s="23">
        <f t="shared" ref="D21:E21" si="5">D19-D20</f>
        <v>-3210</v>
      </c>
      <c r="E21" s="23">
        <f t="shared" si="5"/>
        <v>-30890.989999999991</v>
      </c>
    </row>
  </sheetData>
  <mergeCells count="2">
    <mergeCell ref="A5:C5"/>
    <mergeCell ref="A6:C6"/>
  </mergeCells>
  <pageMargins left="0.39370078740157483" right="0.39370078740157483" top="1.1811023622047245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2017-12-28T23:53:03Z</dcterms:modified>
</cp:coreProperties>
</file>