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93" activeTab="1"/>
  </bookViews>
  <sheets>
    <sheet name="НовРай 2018" sheetId="1" r:id="rId1"/>
    <sheet name="гор. вода 2018" sheetId="2" r:id="rId2"/>
  </sheets>
  <definedNames>
    <definedName name="_xlnm.Print_Area" localSheetId="1">'гор. вода 2018'!$A$1:$S$144</definedName>
    <definedName name="_xlnm.Print_Area" localSheetId="0">'НовРай 2018'!$A$1:$R$152</definedName>
  </definedNames>
  <calcPr fullCalcOnLoad="1"/>
</workbook>
</file>

<file path=xl/sharedStrings.xml><?xml version="1.0" encoding="utf-8"?>
<sst xmlns="http://schemas.openxmlformats.org/spreadsheetml/2006/main" count="614" uniqueCount="111">
  <si>
    <t>Наименование организации</t>
  </si>
  <si>
    <t>1 квартал</t>
  </si>
  <si>
    <t>Гкал</t>
  </si>
  <si>
    <t>2 квартал</t>
  </si>
  <si>
    <t>3 квартал</t>
  </si>
  <si>
    <t>руб.</t>
  </si>
  <si>
    <t>4 квартал</t>
  </si>
  <si>
    <t>Итого Год</t>
  </si>
  <si>
    <t>Тариф с НДС</t>
  </si>
  <si>
    <t>кВт. Час</t>
  </si>
  <si>
    <t>м.куб.</t>
  </si>
  <si>
    <t>Омс.Дук</t>
  </si>
  <si>
    <t>Омс</t>
  </si>
  <si>
    <t>Дукат</t>
  </si>
  <si>
    <t>Омс, Дук</t>
  </si>
  <si>
    <t>№ п/п</t>
  </si>
  <si>
    <t>V</t>
  </si>
  <si>
    <t xml:space="preserve">Тариф </t>
  </si>
  <si>
    <t>омс</t>
  </si>
  <si>
    <t xml:space="preserve">Итого </t>
  </si>
  <si>
    <t>Дук</t>
  </si>
  <si>
    <t>*</t>
  </si>
  <si>
    <t>тепло</t>
  </si>
  <si>
    <t>э/э</t>
  </si>
  <si>
    <t>гвс омс</t>
  </si>
  <si>
    <t>гвс дук</t>
  </si>
  <si>
    <t>хвс омс</t>
  </si>
  <si>
    <t>хвс дук</t>
  </si>
  <si>
    <t>жбо</t>
  </si>
  <si>
    <t>стоки омс</t>
  </si>
  <si>
    <t>стоки дук</t>
  </si>
  <si>
    <t>к постановлению</t>
  </si>
  <si>
    <t>дукат</t>
  </si>
  <si>
    <t>МКУ "Редакция газеты"Омсукчанские вести"</t>
  </si>
  <si>
    <t>МБОУ "Средняя общеобразовательная школа п. Омсукчан"</t>
  </si>
  <si>
    <t>МБОУ "Основная общеобразовательная школа п. Омсукчан"</t>
  </si>
  <si>
    <t>МБОУ "Средняя общеобразовательная школа п. Дукат"</t>
  </si>
  <si>
    <t>МБДОУ "Детский сад п. Дукат"</t>
  </si>
  <si>
    <t>МБДОУ "Детский сад п. Омсукчан"</t>
  </si>
  <si>
    <t>МБОУ ДОД "Центр дополнительного образования для детей п. Омсукчан"</t>
  </si>
  <si>
    <t>МБОУ ДОД "Детская школа искусств"п. Омсукчан</t>
  </si>
  <si>
    <t>Управление образования</t>
  </si>
  <si>
    <t>Администрация Омсукчанского городского округа</t>
  </si>
  <si>
    <t>Управление ЖКХ и градостроительства</t>
  </si>
  <si>
    <t>Административное здание ул. Ленина д. 13</t>
  </si>
  <si>
    <t>Паспортный стол</t>
  </si>
  <si>
    <t>Гараж ул. Подгорная д. 12</t>
  </si>
  <si>
    <t>Управление культуры, социальной и молодежной политики</t>
  </si>
  <si>
    <t>Административное зданиае ул. Мира д. 10</t>
  </si>
  <si>
    <t>МКУК "ЦД и НТ п. Омсукчан</t>
  </si>
  <si>
    <t>МБУК "ЦБС п. Омсукчан"</t>
  </si>
  <si>
    <t>МКУК " Библиотека п. Дукат"</t>
  </si>
  <si>
    <t>МКУК "ДК п. Дукат"</t>
  </si>
  <si>
    <t>Управление спорта и туризма</t>
  </si>
  <si>
    <t>МБОУ ДОД "ДСШ п. Омсукчан"</t>
  </si>
  <si>
    <t>МБУ "ОСОК п. Омсукчан"</t>
  </si>
  <si>
    <t>КУМИ</t>
  </si>
  <si>
    <t>МБОУ "Основная общеобразовательная школа п. Дукат"</t>
  </si>
  <si>
    <t>Уличное освещение п. Омсукчан</t>
  </si>
  <si>
    <t>Уличное освещение п. Дукат</t>
  </si>
  <si>
    <t xml:space="preserve"> с 01.01.2015г.  по 31.12.2015г. 1 м.куб. п. Омсукчан- 29,44 рублей, п. Дукат 1 м.куб. -36,51</t>
  </si>
  <si>
    <t xml:space="preserve"> с 01.01.2015г.  по 30.06.2015г. п. Омсукчан -37,16, п. Дукат -10,59, с 01.07.2015г. по 31.12.2015 п. Омсукчан -38,50, п. Дукат -10,59.</t>
  </si>
  <si>
    <t xml:space="preserve"> Лимиты потребления холодной воды бюджетными учреждениями и прочими потребителями, финансируемыми из бюджета Омсукчанского района в 2015 году</t>
  </si>
  <si>
    <t xml:space="preserve">  Лимиты пропуска сточных вод бюджетными учреждениями и прочими потребителями, финансируемыми из бюджета Омсукчанского района в 2015 году</t>
  </si>
  <si>
    <t xml:space="preserve"> с 01.01.2015г.  по 30.06.2015г. 1 Гкал - 2678,02 рублей; с 01.07.2015г. по 31.12.2015 п.Омсукчан, Дукат 1 Гкал -2989,47</t>
  </si>
  <si>
    <t>ул.</t>
  </si>
  <si>
    <t>Лимиты потребления теплоэнергии бюджетными учреждениями и прочими потребителями, финансируемыми из бюджета Омсукчанского городского округа в 2015 году</t>
  </si>
  <si>
    <t>Лимиты потребления электроэнергии бюджетными учреждениями и прочими потребителями, финансируемыми из бюджета Омсукчанского городского округа в 2015 году</t>
  </si>
  <si>
    <t>ад. здания с 01.01.2015г. по 30.06.2015г. 1 Кв/ч п. Омсукчан, Дукат - 5,0242 руб., с 01.07.2015г. По 31.12.2015г. 1 Кв/ч Омсукчан, Дукат - 5,577; ул. освещ. С 01.01.2015г. По 30.06.2015г. 1 Кв/ч Омсукчан, Дукат - 5,0196, с 01.07.2015г. по 31.12.2015г. 1 Кв/ч Омсукчан, Дукат - 5,5717</t>
  </si>
  <si>
    <t>наим. показателя</t>
  </si>
  <si>
    <t>м.куб</t>
  </si>
  <si>
    <t>МБОУ ДОД "ДЮСШ п. Омсукчан"</t>
  </si>
  <si>
    <t>Управление образования всего:</t>
  </si>
  <si>
    <t>гкал</t>
  </si>
  <si>
    <t>подогрев 1куб.м</t>
  </si>
  <si>
    <t>Омсукчан</t>
  </si>
  <si>
    <t>1-е пол.</t>
  </si>
  <si>
    <t>2-е пол.</t>
  </si>
  <si>
    <t>-</t>
  </si>
  <si>
    <t>+</t>
  </si>
  <si>
    <t>всего:</t>
  </si>
  <si>
    <t xml:space="preserve">Приложение </t>
  </si>
  <si>
    <t>МБУ ФОК "Жемчужина"</t>
  </si>
  <si>
    <t>МКУ "ОЭЦ"</t>
  </si>
  <si>
    <t>Паспортный стол ул.Ленина 15</t>
  </si>
  <si>
    <t>Гаражи</t>
  </si>
  <si>
    <t>Здания в п. Дукат</t>
  </si>
  <si>
    <t>Здания в п. Омсукчан</t>
  </si>
  <si>
    <t>Гараж Дукат</t>
  </si>
  <si>
    <t>Лимиты потребления теплоэнергии бюджетными учреждениями и прочими потребителями, финансируемыми из бюджета Омсукчанского городского округа в 2018году</t>
  </si>
  <si>
    <t xml:space="preserve"> с 01.01.2018г.  по 30.06.2018г. 1 Гкал -5506,29 рублей; с 01.07.2018г. по 31.12.2018 г. п.Омсукчан, Дукат 1 Гкал -5826,29 рублей</t>
  </si>
  <si>
    <t>Лимиты потребления электроэнергии бюджетными учреждениями и прочими потребителями, финансируемыми из бюджета Омсукчанского городского округа в 2018 году</t>
  </si>
  <si>
    <t xml:space="preserve"> Лимиты потребления холодной воды бюджетными учреждениями и прочими потребителями, финансируемыми из бюджета Омсукчанского городского округа в 2018 году</t>
  </si>
  <si>
    <t>Лимиты потребления горячей воды бюджетными учреждениями и прочими потребителями, финансируемыми из бюджета Омсукчанского городского округа в 2018 году</t>
  </si>
  <si>
    <t>с 01.01.2018г. по 30.06.2018г. 1 Кв/ч п. Омсукчан, Дукат -4,72 руб., с 01.07.2018 г. по 31.12.2018 г. 1 Кв/ч Омсукчан, Дукат - 5,4044 руб.</t>
  </si>
  <si>
    <t xml:space="preserve"> с 01.01.2018 г.  по 30.06.2018 г. 1 м.куб. п. Омсукчан-34,93 руб., 1 Гкал - 5506,29 руб.,  п. Дукат 1 м.куб. -49,12 руб., 1 Гкал - 5506,29 руб.; с 01.07.2018 г. по 31.12.2018 г. 1 м.куб. п. Омсукчан - 36,19 руб., Гкал - 5826,29 руб., п. Дукат 1 м.куб - 49,12 руб., 1 Гкал -5826,29 руб.</t>
  </si>
  <si>
    <t xml:space="preserve"> с 01.01.2018 г.  по 30.06.2018 г. п. Омсукчан -29,60 руб.,  п. Дукат -41,63 руб. ; с 01.07.2018 г. по 31.12.2018 г. п. Омсукчан -30,67 руб., п. Дукат -41,63 руб.</t>
  </si>
  <si>
    <t>ДЭС, котельная Омсукчан</t>
  </si>
  <si>
    <t>Административное здание п. Омсукчан</t>
  </si>
  <si>
    <t>Административное здание п. Дукат</t>
  </si>
  <si>
    <t xml:space="preserve">  Лимиты пропуска сточных вод, вывоза ЖБО бюджетными учреждениями и прочими потребителями, финансируемыми из бюджета Омсукчанского городского округа в 2018 году</t>
  </si>
  <si>
    <t xml:space="preserve">Архивный отдел </t>
  </si>
  <si>
    <t>Вывоз ЖБО</t>
  </si>
  <si>
    <t>Водоотведение</t>
  </si>
  <si>
    <t xml:space="preserve"> Водоотведение : с 01.01.2018 г.  по 30.06.2018 г. п. Омсукчан -38,15 руб. ,  п. Дукат -11,37 руб. ; с 01.07.2018 г. по 31.12.2018 г. п. Омсукчан -41,21 руб., п. Дукат -11,37 руб. Сбор и вывоз ЖБО - с 01.01.2018 г. по 31.01.2018г. П. Омсукчан - 329,36 руб. </t>
  </si>
  <si>
    <t>Административное здание ул. Мира д. 10</t>
  </si>
  <si>
    <t>Потери</t>
  </si>
  <si>
    <t>Лимиты потребления коммунальных услуг, в том числе тепловой энергии, электрической энергии, горячей воды, холодной воды и пропуска сточных вод бюджетными учреждениями и прочими потребителями, финансируемыми из бюджета Омсукчанского городского округа, на 2018 год</t>
  </si>
  <si>
    <t xml:space="preserve">администрации </t>
  </si>
  <si>
    <t>городского округа</t>
  </si>
  <si>
    <t>от 09.10.2018г. № 515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</si>
</sst>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0"/>
    <numFmt numFmtId="185" formatCode="0.00000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#,##0.000"/>
    <numFmt numFmtId="196" formatCode="_-* #,##0.000_р_._-;\-* #,##0.000_р_._-;_-* &quot;-&quot;???_р_._-;_-@_-"/>
    <numFmt numFmtId="197" formatCode="#,##0.0000"/>
    <numFmt numFmtId="198" formatCode="[$-FC19]d\ mmmm\ yyyy\ &quot;г.&quot;"/>
    <numFmt numFmtId="199" formatCode="#,##0.00&quot;р.&quot;"/>
    <numFmt numFmtId="200" formatCode="#,##0.00_р_."/>
  </numFmts>
  <fonts count="8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Times New Roman"/>
      <family val="1"/>
    </font>
    <font>
      <sz val="20"/>
      <color indexed="8"/>
      <name val="Times New Roman"/>
      <family val="1"/>
    </font>
    <font>
      <sz val="20"/>
      <name val="Arial"/>
      <family val="2"/>
    </font>
    <font>
      <b/>
      <sz val="20"/>
      <name val="Times New Roman"/>
      <family val="1"/>
    </font>
    <font>
      <sz val="20"/>
      <color indexed="10"/>
      <name val="Times New Roman"/>
      <family val="1"/>
    </font>
    <font>
      <b/>
      <sz val="20"/>
      <color indexed="10"/>
      <name val="Times New Roman"/>
      <family val="1"/>
    </font>
    <font>
      <b/>
      <sz val="22"/>
      <name val="Times New Roman"/>
      <family val="1"/>
    </font>
    <font>
      <b/>
      <sz val="28"/>
      <name val="Arial"/>
      <family val="2"/>
    </font>
    <font>
      <b/>
      <sz val="28"/>
      <name val="Times New Roman"/>
      <family val="1"/>
    </font>
    <font>
      <b/>
      <sz val="10"/>
      <name val="Arial"/>
      <family val="2"/>
    </font>
    <font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9"/>
      <name val="Times New Roman"/>
      <family val="1"/>
    </font>
    <font>
      <sz val="20"/>
      <color indexed="9"/>
      <name val="Arial"/>
      <family val="2"/>
    </font>
    <font>
      <sz val="20"/>
      <color indexed="10"/>
      <name val="Arial"/>
      <family val="2"/>
    </font>
    <font>
      <b/>
      <sz val="20"/>
      <color indexed="8"/>
      <name val="Times New Roman"/>
      <family val="1"/>
    </font>
    <font>
      <sz val="20"/>
      <color indexed="8"/>
      <name val="Arial"/>
      <family val="2"/>
    </font>
    <font>
      <b/>
      <sz val="28"/>
      <color indexed="9"/>
      <name val="Arial"/>
      <family val="2"/>
    </font>
    <font>
      <sz val="20"/>
      <color indexed="8"/>
      <name val="Cambria"/>
      <family val="1"/>
    </font>
    <font>
      <sz val="20"/>
      <color indexed="9"/>
      <name val="Cambria"/>
      <family val="1"/>
    </font>
    <font>
      <b/>
      <sz val="20"/>
      <color indexed="9"/>
      <name val="Cambria"/>
      <family val="1"/>
    </font>
    <font>
      <b/>
      <sz val="20"/>
      <color indexed="9"/>
      <name val="Times New Roman"/>
      <family val="1"/>
    </font>
    <font>
      <b/>
      <sz val="22"/>
      <color indexed="8"/>
      <name val="Times New Roman"/>
      <family val="1"/>
    </font>
    <font>
      <sz val="2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10"/>
      <name val="Times New Roman"/>
      <family val="1"/>
    </font>
    <font>
      <sz val="18"/>
      <color indexed="8"/>
      <name val="Times New Roman"/>
      <family val="1"/>
    </font>
    <font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0"/>
      <name val="Times New Roman"/>
      <family val="1"/>
    </font>
    <font>
      <sz val="20"/>
      <color theme="0"/>
      <name val="Arial"/>
      <family val="2"/>
    </font>
    <font>
      <sz val="20"/>
      <color rgb="FFFF0000"/>
      <name val="Arial"/>
      <family val="2"/>
    </font>
    <font>
      <sz val="20"/>
      <color rgb="FFFF0000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b/>
      <sz val="20"/>
      <color rgb="FFFF0000"/>
      <name val="Times New Roman"/>
      <family val="1"/>
    </font>
    <font>
      <sz val="20"/>
      <color theme="1"/>
      <name val="Arial"/>
      <family val="2"/>
    </font>
    <font>
      <b/>
      <sz val="28"/>
      <color theme="0"/>
      <name val="Arial"/>
      <family val="2"/>
    </font>
    <font>
      <sz val="20"/>
      <color theme="1"/>
      <name val="Cambria"/>
      <family val="1"/>
    </font>
    <font>
      <sz val="20"/>
      <color theme="0"/>
      <name val="Cambria"/>
      <family val="1"/>
    </font>
    <font>
      <b/>
      <sz val="20"/>
      <color theme="0"/>
      <name val="Cambria"/>
      <family val="1"/>
    </font>
    <font>
      <b/>
      <sz val="20"/>
      <color theme="0"/>
      <name val="Times New Roman"/>
      <family val="1"/>
    </font>
    <font>
      <b/>
      <sz val="22"/>
      <color theme="1"/>
      <name val="Times New Roman"/>
      <family val="1"/>
    </font>
    <font>
      <sz val="22"/>
      <color theme="1"/>
      <name val="Times New Roman"/>
      <family val="1"/>
    </font>
    <font>
      <b/>
      <sz val="18"/>
      <color theme="1"/>
      <name val="Times New Roman"/>
      <family val="1"/>
    </font>
    <font>
      <b/>
      <sz val="18"/>
      <color rgb="FFFF0000"/>
      <name val="Times New Roman"/>
      <family val="1"/>
    </font>
    <font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418">
    <xf numFmtId="0" fontId="0" fillId="0" borderId="0" xfId="0" applyAlignment="1">
      <alignment/>
    </xf>
    <xf numFmtId="0" fontId="66" fillId="33" borderId="0" xfId="0" applyNumberFormat="1" applyFont="1" applyFill="1" applyAlignment="1">
      <alignment horizontal="right" vertical="center" wrapText="1"/>
    </xf>
    <xf numFmtId="0" fontId="66" fillId="33" borderId="0" xfId="0" applyNumberFormat="1" applyFont="1" applyFill="1" applyAlignment="1">
      <alignment wrapText="1"/>
    </xf>
    <xf numFmtId="0" fontId="66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3" fillId="33" borderId="10" xfId="0" applyNumberFormat="1" applyFont="1" applyFill="1" applyBorder="1" applyAlignment="1">
      <alignment horizontal="center" vertical="center" wrapText="1"/>
    </xf>
    <xf numFmtId="179" fontId="6" fillId="33" borderId="10" xfId="60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/>
    </xf>
    <xf numFmtId="2" fontId="67" fillId="33" borderId="0" xfId="0" applyNumberFormat="1" applyFont="1" applyFill="1" applyAlignment="1">
      <alignment/>
    </xf>
    <xf numFmtId="0" fontId="67" fillId="33" borderId="0" xfId="0" applyNumberFormat="1" applyFont="1" applyFill="1" applyAlignment="1">
      <alignment/>
    </xf>
    <xf numFmtId="2" fontId="5" fillId="33" borderId="0" xfId="0" applyNumberFormat="1" applyFont="1" applyFill="1" applyAlignment="1">
      <alignment/>
    </xf>
    <xf numFmtId="0" fontId="4" fillId="33" borderId="0" xfId="0" applyNumberFormat="1" applyFont="1" applyFill="1" applyAlignment="1" applyProtection="1">
      <alignment/>
      <protection locked="0"/>
    </xf>
    <xf numFmtId="0" fontId="6" fillId="33" borderId="10" xfId="0" applyNumberFormat="1" applyFont="1" applyFill="1" applyBorder="1" applyAlignment="1">
      <alignment horizontal="center" vertical="center" wrapText="1"/>
    </xf>
    <xf numFmtId="179" fontId="3" fillId="33" borderId="10" xfId="60" applyFont="1" applyFill="1" applyBorder="1" applyAlignment="1">
      <alignment horizontal="center" vertical="center" wrapText="1"/>
    </xf>
    <xf numFmtId="2" fontId="68" fillId="33" borderId="0" xfId="0" applyNumberFormat="1" applyFont="1" applyFill="1" applyAlignment="1">
      <alignment/>
    </xf>
    <xf numFmtId="0" fontId="68" fillId="33" borderId="0" xfId="0" applyNumberFormat="1" applyFont="1" applyFill="1" applyAlignment="1">
      <alignment/>
    </xf>
    <xf numFmtId="2" fontId="67" fillId="33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 wrapText="1"/>
    </xf>
    <xf numFmtId="0" fontId="3" fillId="33" borderId="0" xfId="0" applyNumberFormat="1" applyFont="1" applyFill="1" applyBorder="1" applyAlignment="1">
      <alignment horizontal="left" wrapText="1"/>
    </xf>
    <xf numFmtId="0" fontId="6" fillId="33" borderId="0" xfId="0" applyNumberFormat="1" applyFont="1" applyFill="1" applyBorder="1" applyAlignment="1">
      <alignment horizontal="center" wrapText="1"/>
    </xf>
    <xf numFmtId="0" fontId="7" fillId="33" borderId="0" xfId="0" applyNumberFormat="1" applyFont="1" applyFill="1" applyAlignment="1">
      <alignment horizontal="center" wrapText="1"/>
    </xf>
    <xf numFmtId="0" fontId="7" fillId="33" borderId="0" xfId="0" applyNumberFormat="1" applyFont="1" applyFill="1" applyAlignment="1">
      <alignment wrapText="1"/>
    </xf>
    <xf numFmtId="0" fontId="69" fillId="33" borderId="0" xfId="0" applyNumberFormat="1" applyFont="1" applyFill="1" applyAlignment="1">
      <alignment horizontal="center" wrapText="1"/>
    </xf>
    <xf numFmtId="0" fontId="69" fillId="33" borderId="0" xfId="0" applyNumberFormat="1" applyFont="1" applyFill="1" applyAlignment="1">
      <alignment wrapText="1"/>
    </xf>
    <xf numFmtId="0" fontId="4" fillId="33" borderId="0" xfId="0" applyNumberFormat="1" applyFont="1" applyFill="1" applyAlignment="1">
      <alignment wrapText="1"/>
    </xf>
    <xf numFmtId="0" fontId="7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0" fillId="33" borderId="10" xfId="0" applyNumberFormat="1" applyFont="1" applyFill="1" applyBorder="1" applyAlignment="1">
      <alignment horizontal="center" vertical="center" wrapText="1"/>
    </xf>
    <xf numFmtId="179" fontId="70" fillId="33" borderId="10" xfId="6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179" fontId="71" fillId="33" borderId="10" xfId="6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43" fontId="3" fillId="33" borderId="10" xfId="60" applyNumberFormat="1" applyFont="1" applyFill="1" applyBorder="1" applyAlignment="1">
      <alignment horizontal="center" vertical="center" wrapText="1"/>
    </xf>
    <xf numFmtId="0" fontId="67" fillId="33" borderId="0" xfId="0" applyNumberFormat="1" applyFont="1" applyFill="1" applyBorder="1" applyAlignment="1">
      <alignment/>
    </xf>
    <xf numFmtId="0" fontId="3" fillId="33" borderId="10" xfId="0" applyNumberFormat="1" applyFont="1" applyFill="1" applyBorder="1" applyAlignment="1" applyProtection="1">
      <alignment/>
      <protection locked="0"/>
    </xf>
    <xf numFmtId="0" fontId="66" fillId="33" borderId="0" xfId="0" applyNumberFormat="1" applyFont="1" applyFill="1" applyAlignment="1">
      <alignment/>
    </xf>
    <xf numFmtId="0" fontId="7" fillId="33" borderId="0" xfId="0" applyNumberFormat="1" applyFont="1" applyFill="1" applyBorder="1" applyAlignment="1">
      <alignment/>
    </xf>
    <xf numFmtId="0" fontId="69" fillId="33" borderId="0" xfId="0" applyNumberFormat="1" applyFont="1" applyFill="1" applyBorder="1" applyAlignment="1">
      <alignment horizontal="center"/>
    </xf>
    <xf numFmtId="0" fontId="69" fillId="33" borderId="0" xfId="0" applyNumberFormat="1" applyFont="1" applyFill="1" applyAlignment="1">
      <alignment/>
    </xf>
    <xf numFmtId="0" fontId="72" fillId="33" borderId="0" xfId="0" applyNumberFormat="1" applyFont="1" applyFill="1" applyBorder="1" applyAlignment="1">
      <alignment horizontal="center"/>
    </xf>
    <xf numFmtId="0" fontId="69" fillId="33" borderId="0" xfId="0" applyNumberFormat="1" applyFont="1" applyFill="1" applyAlignment="1">
      <alignment/>
    </xf>
    <xf numFmtId="0" fontId="7" fillId="33" borderId="0" xfId="0" applyNumberFormat="1" applyFont="1" applyFill="1" applyBorder="1" applyAlignment="1">
      <alignment horizontal="center"/>
    </xf>
    <xf numFmtId="0" fontId="7" fillId="33" borderId="0" xfId="0" applyNumberFormat="1" applyFont="1" applyFill="1" applyAlignment="1">
      <alignment/>
    </xf>
    <xf numFmtId="0" fontId="8" fillId="33" borderId="0" xfId="0" applyNumberFormat="1" applyFont="1" applyFill="1" applyBorder="1" applyAlignment="1">
      <alignment horizontal="center"/>
    </xf>
    <xf numFmtId="0" fontId="6" fillId="33" borderId="0" xfId="0" applyNumberFormat="1" applyFont="1" applyFill="1" applyBorder="1" applyAlignment="1">
      <alignment horizontal="center"/>
    </xf>
    <xf numFmtId="0" fontId="71" fillId="33" borderId="1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73" fillId="33" borderId="0" xfId="0" applyNumberFormat="1" applyFont="1" applyFill="1" applyAlignment="1">
      <alignment/>
    </xf>
    <xf numFmtId="0" fontId="3" fillId="33" borderId="10" xfId="0" applyNumberFormat="1" applyFont="1" applyFill="1" applyBorder="1" applyAlignment="1">
      <alignment/>
    </xf>
    <xf numFmtId="0" fontId="5" fillId="33" borderId="10" xfId="0" applyNumberFormat="1" applyFont="1" applyFill="1" applyBorder="1" applyAlignment="1">
      <alignment/>
    </xf>
    <xf numFmtId="0" fontId="4" fillId="33" borderId="0" xfId="0" applyNumberFormat="1" applyFont="1" applyFill="1" applyAlignment="1">
      <alignment/>
    </xf>
    <xf numFmtId="179" fontId="6" fillId="33" borderId="10" xfId="60" applyFont="1" applyFill="1" applyBorder="1" applyAlignment="1">
      <alignment vertical="center" wrapText="1"/>
    </xf>
    <xf numFmtId="179" fontId="3" fillId="33" borderId="10" xfId="60" applyFont="1" applyFill="1" applyBorder="1" applyAlignment="1">
      <alignment vertical="center" wrapText="1"/>
    </xf>
    <xf numFmtId="0" fontId="3" fillId="33" borderId="10" xfId="0" applyNumberFormat="1" applyFont="1" applyFill="1" applyBorder="1" applyAlignment="1">
      <alignment wrapText="1"/>
    </xf>
    <xf numFmtId="179" fontId="9" fillId="33" borderId="10" xfId="6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/>
    </xf>
    <xf numFmtId="43" fontId="9" fillId="33" borderId="10" xfId="6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/>
    </xf>
    <xf numFmtId="0" fontId="4" fillId="33" borderId="0" xfId="0" applyNumberFormat="1" applyFont="1" applyFill="1" applyAlignment="1">
      <alignment horizontal="left"/>
    </xf>
    <xf numFmtId="0" fontId="4" fillId="33" borderId="0" xfId="0" applyNumberFormat="1" applyFont="1" applyFill="1" applyAlignment="1" applyProtection="1">
      <alignment horizontal="left"/>
      <protection locked="0"/>
    </xf>
    <xf numFmtId="0" fontId="1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vertical="center"/>
    </xf>
    <xf numFmtId="0" fontId="11" fillId="33" borderId="11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/>
    </xf>
    <xf numFmtId="0" fontId="6" fillId="33" borderId="12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0" fontId="6" fillId="33" borderId="14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wrapText="1"/>
    </xf>
    <xf numFmtId="0" fontId="6" fillId="33" borderId="10" xfId="0" applyNumberFormat="1" applyFont="1" applyFill="1" applyBorder="1" applyAlignment="1">
      <alignment horizontal="center"/>
    </xf>
    <xf numFmtId="0" fontId="6" fillId="33" borderId="15" xfId="0" applyNumberFormat="1" applyFont="1" applyFill="1" applyBorder="1" applyAlignment="1">
      <alignment horizontal="left" vertical="center" wrapText="1"/>
    </xf>
    <xf numFmtId="0" fontId="6" fillId="33" borderId="16" xfId="0" applyNumberFormat="1" applyFont="1" applyFill="1" applyBorder="1" applyAlignment="1">
      <alignment horizontal="left" vertical="center" wrapText="1"/>
    </xf>
    <xf numFmtId="0" fontId="6" fillId="33" borderId="17" xfId="0" applyNumberFormat="1" applyFont="1" applyFill="1" applyBorder="1" applyAlignment="1">
      <alignment horizontal="left" vertical="center" wrapText="1"/>
    </xf>
    <xf numFmtId="0" fontId="3" fillId="33" borderId="17" xfId="0" applyNumberFormat="1" applyFont="1" applyFill="1" applyBorder="1" applyAlignment="1">
      <alignment horizontal="left" vertical="center" wrapText="1"/>
    </xf>
    <xf numFmtId="0" fontId="6" fillId="33" borderId="17" xfId="0" applyNumberFormat="1" applyFont="1" applyFill="1" applyBorder="1" applyAlignment="1">
      <alignment horizontal="left"/>
    </xf>
    <xf numFmtId="0" fontId="3" fillId="33" borderId="16" xfId="0" applyNumberFormat="1" applyFont="1" applyFill="1" applyBorder="1" applyAlignment="1">
      <alignment horizontal="left" wrapText="1"/>
    </xf>
    <xf numFmtId="0" fontId="70" fillId="33" borderId="17" xfId="0" applyNumberFormat="1" applyFont="1" applyFill="1" applyBorder="1" applyAlignment="1">
      <alignment horizontal="left" vertical="center" wrapText="1"/>
    </xf>
    <xf numFmtId="0" fontId="71" fillId="33" borderId="17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left"/>
    </xf>
    <xf numFmtId="0" fontId="6" fillId="33" borderId="17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left"/>
    </xf>
    <xf numFmtId="0" fontId="3" fillId="33" borderId="17" xfId="0" applyNumberFormat="1" applyFont="1" applyFill="1" applyBorder="1" applyAlignment="1">
      <alignment horizontal="left"/>
    </xf>
    <xf numFmtId="0" fontId="6" fillId="34" borderId="10" xfId="0" applyNumberFormat="1" applyFont="1" applyFill="1" applyBorder="1" applyAlignment="1">
      <alignment horizontal="center" vertical="center" wrapText="1"/>
    </xf>
    <xf numFmtId="0" fontId="6" fillId="34" borderId="17" xfId="0" applyNumberFormat="1" applyFont="1" applyFill="1" applyBorder="1" applyAlignment="1">
      <alignment horizontal="center" vertical="center" wrapText="1"/>
    </xf>
    <xf numFmtId="179" fontId="9" fillId="34" borderId="10" xfId="60" applyFont="1" applyFill="1" applyBorder="1" applyAlignment="1">
      <alignment horizontal="center" vertical="center" wrapText="1"/>
    </xf>
    <xf numFmtId="0" fontId="10" fillId="34" borderId="0" xfId="0" applyNumberFormat="1" applyFont="1" applyFill="1" applyAlignment="1">
      <alignment/>
    </xf>
    <xf numFmtId="0" fontId="67" fillId="34" borderId="0" xfId="0" applyNumberFormat="1" applyFont="1" applyFill="1" applyAlignment="1">
      <alignment/>
    </xf>
    <xf numFmtId="2" fontId="67" fillId="34" borderId="0" xfId="0" applyNumberFormat="1" applyFont="1" applyFill="1" applyAlignment="1">
      <alignment/>
    </xf>
    <xf numFmtId="0" fontId="5" fillId="34" borderId="0" xfId="0" applyNumberFormat="1" applyFont="1" applyFill="1" applyAlignment="1">
      <alignment/>
    </xf>
    <xf numFmtId="0" fontId="3" fillId="34" borderId="10" xfId="0" applyNumberFormat="1" applyFont="1" applyFill="1" applyBorder="1" applyAlignment="1">
      <alignment horizontal="center" vertical="center" wrapText="1"/>
    </xf>
    <xf numFmtId="0" fontId="6" fillId="34" borderId="17" xfId="0" applyNumberFormat="1" applyFont="1" applyFill="1" applyBorder="1" applyAlignment="1">
      <alignment horizontal="left" vertical="center" wrapText="1"/>
    </xf>
    <xf numFmtId="0" fontId="6" fillId="34" borderId="10" xfId="0" applyNumberFormat="1" applyFont="1" applyFill="1" applyBorder="1" applyAlignment="1" applyProtection="1">
      <alignment horizontal="center" vertical="center" wrapText="1"/>
      <protection/>
    </xf>
    <xf numFmtId="2" fontId="5" fillId="34" borderId="0" xfId="0" applyNumberFormat="1" applyFont="1" applyFill="1" applyAlignment="1">
      <alignment/>
    </xf>
    <xf numFmtId="0" fontId="7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70" fillId="34" borderId="10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71" fillId="33" borderId="0" xfId="0" applyNumberFormat="1" applyFont="1" applyFill="1" applyAlignment="1">
      <alignment/>
    </xf>
    <xf numFmtId="0" fontId="70" fillId="33" borderId="0" xfId="0" applyNumberFormat="1" applyFont="1" applyFill="1" applyBorder="1" applyAlignment="1">
      <alignment horizontal="center" wrapText="1"/>
    </xf>
    <xf numFmtId="0" fontId="71" fillId="33" borderId="0" xfId="0" applyNumberFormat="1" applyFont="1" applyFill="1" applyAlignment="1">
      <alignment wrapText="1"/>
    </xf>
    <xf numFmtId="0" fontId="70" fillId="33" borderId="10" xfId="0" applyNumberFormat="1" applyFont="1" applyFill="1" applyBorder="1" applyAlignment="1">
      <alignment horizontal="center"/>
    </xf>
    <xf numFmtId="0" fontId="70" fillId="33" borderId="0" xfId="0" applyNumberFormat="1" applyFont="1" applyFill="1" applyBorder="1" applyAlignment="1">
      <alignment horizontal="center"/>
    </xf>
    <xf numFmtId="0" fontId="71" fillId="33" borderId="0" xfId="0" applyNumberFormat="1" applyFont="1" applyFill="1" applyAlignment="1" applyProtection="1">
      <alignment horizontal="left"/>
      <protection locked="0"/>
    </xf>
    <xf numFmtId="0" fontId="71" fillId="33" borderId="0" xfId="0" applyNumberFormat="1" applyFont="1" applyFill="1" applyAlignment="1">
      <alignment/>
    </xf>
    <xf numFmtId="0" fontId="71" fillId="33" borderId="0" xfId="0" applyNumberFormat="1" applyFont="1" applyFill="1" applyAlignment="1">
      <alignment horizontal="left"/>
    </xf>
    <xf numFmtId="0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/>
    </xf>
    <xf numFmtId="0" fontId="67" fillId="0" borderId="0" xfId="0" applyNumberFormat="1" applyFont="1" applyFill="1" applyAlignment="1">
      <alignment/>
    </xf>
    <xf numFmtId="2" fontId="67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0" xfId="0" applyNumberFormat="1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7" xfId="0" applyNumberFormat="1" applyFont="1" applyFill="1" applyBorder="1" applyAlignment="1">
      <alignment horizontal="left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74" fillId="33" borderId="0" xfId="0" applyNumberFormat="1" applyFont="1" applyFill="1" applyAlignment="1">
      <alignment/>
    </xf>
    <xf numFmtId="0" fontId="6" fillId="33" borderId="17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center" wrapText="1"/>
    </xf>
    <xf numFmtId="0" fontId="72" fillId="0" borderId="0" xfId="0" applyNumberFormat="1" applyFont="1" applyFill="1" applyBorder="1" applyAlignment="1">
      <alignment horizontal="center" wrapText="1"/>
    </xf>
    <xf numFmtId="0" fontId="70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Fill="1" applyAlignment="1">
      <alignment wrapText="1"/>
    </xf>
    <xf numFmtId="0" fontId="69" fillId="0" borderId="0" xfId="0" applyNumberFormat="1" applyFont="1" applyFill="1" applyAlignment="1">
      <alignment horizontal="center" wrapText="1"/>
    </xf>
    <xf numFmtId="0" fontId="69" fillId="0" borderId="0" xfId="0" applyNumberFormat="1" applyFont="1" applyFill="1" applyAlignment="1">
      <alignment wrapText="1"/>
    </xf>
    <xf numFmtId="0" fontId="66" fillId="0" borderId="0" xfId="0" applyNumberFormat="1" applyFont="1" applyFill="1" applyAlignment="1">
      <alignment horizontal="right" vertical="center" wrapText="1"/>
    </xf>
    <xf numFmtId="0" fontId="66" fillId="0" borderId="0" xfId="0" applyNumberFormat="1" applyFont="1" applyFill="1" applyAlignment="1">
      <alignment wrapText="1"/>
    </xf>
    <xf numFmtId="0" fontId="71" fillId="0" borderId="0" xfId="0" applyNumberFormat="1" applyFont="1" applyFill="1" applyAlignment="1">
      <alignment wrapText="1"/>
    </xf>
    <xf numFmtId="0" fontId="66" fillId="0" borderId="0" xfId="0" applyNumberFormat="1" applyFont="1" applyFill="1" applyAlignment="1">
      <alignment/>
    </xf>
    <xf numFmtId="0" fontId="71" fillId="0" borderId="0" xfId="0" applyNumberFormat="1" applyFont="1" applyFill="1" applyAlignment="1">
      <alignment/>
    </xf>
    <xf numFmtId="0" fontId="75" fillId="0" borderId="0" xfId="0" applyNumberFormat="1" applyFont="1" applyFill="1" applyAlignment="1">
      <alignment/>
    </xf>
    <xf numFmtId="0" fontId="76" fillId="0" borderId="0" xfId="0" applyNumberFormat="1" applyFont="1" applyFill="1" applyAlignment="1">
      <alignment/>
    </xf>
    <xf numFmtId="0" fontId="70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/>
    </xf>
    <xf numFmtId="0" fontId="69" fillId="0" borderId="0" xfId="0" applyNumberFormat="1" applyFont="1" applyFill="1" applyAlignment="1">
      <alignment/>
    </xf>
    <xf numFmtId="2" fontId="66" fillId="0" borderId="0" xfId="0" applyNumberFormat="1" applyFont="1" applyFill="1" applyAlignment="1">
      <alignment/>
    </xf>
    <xf numFmtId="2" fontId="76" fillId="0" borderId="0" xfId="0" applyNumberFormat="1" applyFont="1" applyFill="1" applyAlignment="1">
      <alignment/>
    </xf>
    <xf numFmtId="0" fontId="66" fillId="0" borderId="0" xfId="0" applyNumberFormat="1" applyFont="1" applyFill="1" applyBorder="1" applyAlignment="1">
      <alignment/>
    </xf>
    <xf numFmtId="0" fontId="66" fillId="0" borderId="0" xfId="0" applyNumberFormat="1" applyFont="1" applyFill="1" applyBorder="1" applyAlignment="1">
      <alignment horizontal="center"/>
    </xf>
    <xf numFmtId="0" fontId="77" fillId="0" borderId="0" xfId="0" applyNumberFormat="1" applyFont="1" applyFill="1" applyAlignment="1">
      <alignment/>
    </xf>
    <xf numFmtId="0" fontId="78" fillId="0" borderId="0" xfId="0" applyNumberFormat="1" applyFont="1" applyFill="1" applyBorder="1" applyAlignment="1">
      <alignment horizontal="center"/>
    </xf>
    <xf numFmtId="0" fontId="78" fillId="0" borderId="0" xfId="0" applyNumberFormat="1" applyFont="1" applyFill="1" applyBorder="1" applyAlignment="1">
      <alignment horizontal="center" wrapText="1"/>
    </xf>
    <xf numFmtId="0" fontId="78" fillId="0" borderId="0" xfId="0" applyNumberFormat="1" applyFont="1" applyFill="1" applyAlignment="1">
      <alignment/>
    </xf>
    <xf numFmtId="0" fontId="66" fillId="0" borderId="0" xfId="0" applyNumberFormat="1" applyFont="1" applyFill="1" applyAlignment="1">
      <alignment/>
    </xf>
    <xf numFmtId="0" fontId="66" fillId="0" borderId="0" xfId="0" applyNumberFormat="1" applyFont="1" applyFill="1" applyAlignment="1">
      <alignment horizontal="left"/>
    </xf>
    <xf numFmtId="0" fontId="78" fillId="0" borderId="13" xfId="0" applyNumberFormat="1" applyFont="1" applyFill="1" applyBorder="1" applyAlignment="1">
      <alignment horizontal="center" vertical="center"/>
    </xf>
    <xf numFmtId="0" fontId="78" fillId="0" borderId="0" xfId="0" applyNumberFormat="1" applyFont="1" applyFill="1" applyBorder="1" applyAlignment="1">
      <alignment horizontal="center" vertical="center"/>
    </xf>
    <xf numFmtId="0" fontId="78" fillId="0" borderId="10" xfId="0" applyNumberFormat="1" applyFont="1" applyFill="1" applyBorder="1" applyAlignment="1">
      <alignment horizontal="center"/>
    </xf>
    <xf numFmtId="0" fontId="78" fillId="0" borderId="10" xfId="0" applyNumberFormat="1" applyFont="1" applyFill="1" applyBorder="1" applyAlignment="1">
      <alignment horizontal="center" vertical="center" wrapText="1"/>
    </xf>
    <xf numFmtId="0" fontId="78" fillId="0" borderId="17" xfId="0" applyNumberFormat="1" applyFont="1" applyFill="1" applyBorder="1" applyAlignment="1">
      <alignment horizontal="left" vertical="center" wrapText="1"/>
    </xf>
    <xf numFmtId="179" fontId="78" fillId="0" borderId="10" xfId="60" applyFont="1" applyFill="1" applyBorder="1" applyAlignment="1">
      <alignment horizontal="center" vertical="center" wrapText="1"/>
    </xf>
    <xf numFmtId="0" fontId="66" fillId="0" borderId="10" xfId="0" applyNumberFormat="1" applyFont="1" applyFill="1" applyBorder="1" applyAlignment="1">
      <alignment horizontal="center" vertical="center" wrapText="1"/>
    </xf>
    <xf numFmtId="0" fontId="66" fillId="0" borderId="17" xfId="0" applyNumberFormat="1" applyFont="1" applyFill="1" applyBorder="1" applyAlignment="1">
      <alignment horizontal="left" vertical="center" wrapText="1"/>
    </xf>
    <xf numFmtId="179" fontId="66" fillId="0" borderId="10" xfId="60" applyFont="1" applyFill="1" applyBorder="1" applyAlignment="1">
      <alignment horizontal="center" vertical="center" wrapText="1"/>
    </xf>
    <xf numFmtId="0" fontId="66" fillId="0" borderId="10" xfId="0" applyNumberFormat="1" applyFont="1" applyFill="1" applyBorder="1" applyAlignment="1">
      <alignment horizontal="left" vertical="center" wrapText="1"/>
    </xf>
    <xf numFmtId="43" fontId="66" fillId="0" borderId="10" xfId="60" applyNumberFormat="1" applyFont="1" applyFill="1" applyBorder="1" applyAlignment="1">
      <alignment horizontal="center" vertical="center" wrapText="1"/>
    </xf>
    <xf numFmtId="0" fontId="66" fillId="0" borderId="10" xfId="0" applyNumberFormat="1" applyFont="1" applyFill="1" applyBorder="1" applyAlignment="1">
      <alignment/>
    </xf>
    <xf numFmtId="0" fontId="78" fillId="0" borderId="17" xfId="0" applyNumberFormat="1" applyFont="1" applyFill="1" applyBorder="1" applyAlignment="1">
      <alignment horizontal="left"/>
    </xf>
    <xf numFmtId="0" fontId="66" fillId="0" borderId="10" xfId="0" applyNumberFormat="1" applyFont="1" applyFill="1" applyBorder="1" applyAlignment="1">
      <alignment horizontal="left"/>
    </xf>
    <xf numFmtId="0" fontId="78" fillId="0" borderId="14" xfId="0" applyNumberFormat="1" applyFont="1" applyFill="1" applyBorder="1" applyAlignment="1">
      <alignment horizontal="center" vertical="center"/>
    </xf>
    <xf numFmtId="0" fontId="66" fillId="0" borderId="10" xfId="0" applyNumberFormat="1" applyFont="1" applyFill="1" applyBorder="1" applyAlignment="1">
      <alignment horizontal="center"/>
    </xf>
    <xf numFmtId="0" fontId="78" fillId="0" borderId="10" xfId="0" applyNumberFormat="1" applyFont="1" applyFill="1" applyBorder="1" applyAlignment="1">
      <alignment horizontal="left"/>
    </xf>
    <xf numFmtId="0" fontId="66" fillId="0" borderId="17" xfId="0" applyNumberFormat="1" applyFont="1" applyFill="1" applyBorder="1" applyAlignment="1">
      <alignment horizontal="left"/>
    </xf>
    <xf numFmtId="0" fontId="6" fillId="34" borderId="15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16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17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15" xfId="0" applyNumberFormat="1" applyFont="1" applyFill="1" applyBorder="1" applyAlignment="1" applyProtection="1">
      <alignment horizontal="left" vertical="center" wrapText="1"/>
      <protection/>
    </xf>
    <xf numFmtId="0" fontId="3" fillId="33" borderId="16" xfId="0" applyNumberFormat="1" applyFont="1" applyFill="1" applyBorder="1" applyAlignment="1" applyProtection="1">
      <alignment horizontal="left" vertical="center" wrapText="1"/>
      <protection/>
    </xf>
    <xf numFmtId="0" fontId="3" fillId="33" borderId="17" xfId="0" applyNumberFormat="1" applyFont="1" applyFill="1" applyBorder="1" applyAlignment="1" applyProtection="1">
      <alignment horizontal="left" vertical="center" wrapText="1"/>
      <protection/>
    </xf>
    <xf numFmtId="0" fontId="6" fillId="33" borderId="17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179" fontId="79" fillId="34" borderId="10" xfId="60" applyFont="1" applyFill="1" applyBorder="1" applyAlignment="1">
      <alignment horizontal="center" vertical="center" wrapText="1"/>
    </xf>
    <xf numFmtId="179" fontId="9" fillId="34" borderId="10" xfId="60" applyFont="1" applyFill="1" applyBorder="1" applyAlignment="1" applyProtection="1">
      <alignment horizontal="center" vertical="center" wrapText="1"/>
      <protection locked="0"/>
    </xf>
    <xf numFmtId="179" fontId="80" fillId="33" borderId="10" xfId="60" applyFont="1" applyFill="1" applyBorder="1" applyAlignment="1">
      <alignment horizontal="center" vertical="center" wrapText="1"/>
    </xf>
    <xf numFmtId="179" fontId="13" fillId="33" borderId="10" xfId="60" applyFont="1" applyFill="1" applyBorder="1" applyAlignment="1">
      <alignment horizontal="center" vertical="center" wrapText="1"/>
    </xf>
    <xf numFmtId="179" fontId="13" fillId="33" borderId="10" xfId="60" applyFont="1" applyFill="1" applyBorder="1" applyAlignment="1" applyProtection="1">
      <alignment horizontal="center" vertical="center" wrapText="1"/>
      <protection locked="0"/>
    </xf>
    <xf numFmtId="195" fontId="9" fillId="34" borderId="10" xfId="60" applyNumberFormat="1" applyFont="1" applyFill="1" applyBorder="1" applyAlignment="1">
      <alignment horizontal="right" vertical="center" wrapText="1"/>
    </xf>
    <xf numFmtId="195" fontId="9" fillId="34" borderId="10" xfId="60" applyNumberFormat="1" applyFont="1" applyFill="1" applyBorder="1" applyAlignment="1" applyProtection="1">
      <alignment horizontal="right" vertical="center" wrapText="1"/>
      <protection locked="0"/>
    </xf>
    <xf numFmtId="179" fontId="9" fillId="33" borderId="10" xfId="60" applyFont="1" applyFill="1" applyBorder="1" applyAlignment="1" applyProtection="1">
      <alignment horizontal="center" vertical="center" wrapText="1"/>
      <protection locked="0"/>
    </xf>
    <xf numFmtId="179" fontId="79" fillId="33" borderId="10" xfId="60" applyFont="1" applyFill="1" applyBorder="1" applyAlignment="1">
      <alignment horizontal="center" vertical="center" wrapText="1"/>
    </xf>
    <xf numFmtId="179" fontId="79" fillId="34" borderId="10" xfId="60" applyFont="1" applyFill="1" applyBorder="1" applyAlignment="1" applyProtection="1">
      <alignment horizontal="center" vertical="center" wrapText="1"/>
      <protection locked="0"/>
    </xf>
    <xf numFmtId="179" fontId="80" fillId="33" borderId="10" xfId="60" applyFont="1" applyFill="1" applyBorder="1" applyAlignment="1" applyProtection="1">
      <alignment horizontal="center" vertical="center" wrapText="1"/>
      <protection locked="0"/>
    </xf>
    <xf numFmtId="43" fontId="80" fillId="33" borderId="10" xfId="60" applyNumberFormat="1" applyFont="1" applyFill="1" applyBorder="1" applyAlignment="1">
      <alignment horizontal="center" vertical="center" wrapText="1"/>
    </xf>
    <xf numFmtId="179" fontId="79" fillId="34" borderId="10" xfId="60" applyFont="1" applyFill="1" applyBorder="1" applyAlignment="1" applyProtection="1">
      <alignment horizontal="center" vertical="center" wrapText="1"/>
      <protection/>
    </xf>
    <xf numFmtId="179" fontId="9" fillId="34" borderId="10" xfId="60" applyFont="1" applyFill="1" applyBorder="1" applyAlignment="1" applyProtection="1">
      <alignment horizontal="center" vertical="center" wrapText="1"/>
      <protection/>
    </xf>
    <xf numFmtId="179" fontId="80" fillId="33" borderId="10" xfId="60" applyFont="1" applyFill="1" applyBorder="1" applyAlignment="1" applyProtection="1">
      <alignment horizontal="center" vertical="center" wrapText="1"/>
      <protection/>
    </xf>
    <xf numFmtId="179" fontId="13" fillId="33" borderId="10" xfId="60" applyFont="1" applyFill="1" applyBorder="1" applyAlignment="1" applyProtection="1">
      <alignment horizontal="center" vertical="center" wrapText="1"/>
      <protection/>
    </xf>
    <xf numFmtId="179" fontId="13" fillId="0" borderId="10" xfId="60" applyFont="1" applyFill="1" applyBorder="1" applyAlignment="1" applyProtection="1">
      <alignment horizontal="center" vertical="center" wrapText="1"/>
      <protection locked="0"/>
    </xf>
    <xf numFmtId="179" fontId="80" fillId="0" borderId="10" xfId="60" applyFont="1" applyFill="1" applyBorder="1" applyAlignment="1">
      <alignment horizontal="center" vertical="center" wrapText="1"/>
    </xf>
    <xf numFmtId="179" fontId="13" fillId="0" borderId="10" xfId="60" applyFont="1" applyFill="1" applyBorder="1" applyAlignment="1">
      <alignment horizontal="center" vertical="center" wrapText="1"/>
    </xf>
    <xf numFmtId="179" fontId="80" fillId="0" borderId="10" xfId="60" applyFont="1" applyFill="1" applyBorder="1" applyAlignment="1" applyProtection="1">
      <alignment horizontal="center" vertical="center" wrapText="1"/>
      <protection/>
    </xf>
    <xf numFmtId="179" fontId="13" fillId="0" borderId="10" xfId="60" applyFont="1" applyFill="1" applyBorder="1" applyAlignment="1" applyProtection="1">
      <alignment horizontal="center" vertical="center" wrapText="1"/>
      <protection/>
    </xf>
    <xf numFmtId="195" fontId="9" fillId="34" borderId="10" xfId="60" applyNumberFormat="1" applyFont="1" applyFill="1" applyBorder="1" applyAlignment="1" applyProtection="1">
      <alignment horizontal="right" vertical="center" wrapText="1"/>
      <protection/>
    </xf>
    <xf numFmtId="195" fontId="13" fillId="33" borderId="10" xfId="60" applyNumberFormat="1" applyFont="1" applyFill="1" applyBorder="1" applyAlignment="1" applyProtection="1">
      <alignment horizontal="right" vertical="center" wrapText="1"/>
      <protection locked="0"/>
    </xf>
    <xf numFmtId="179" fontId="79" fillId="33" borderId="10" xfId="60" applyFont="1" applyFill="1" applyBorder="1" applyAlignment="1" applyProtection="1">
      <alignment horizontal="center" vertical="center" wrapText="1"/>
      <protection/>
    </xf>
    <xf numFmtId="179" fontId="9" fillId="33" borderId="10" xfId="60" applyFont="1" applyFill="1" applyBorder="1" applyAlignment="1" applyProtection="1">
      <alignment horizontal="center" vertical="center" wrapText="1"/>
      <protection/>
    </xf>
    <xf numFmtId="193" fontId="13" fillId="0" borderId="10" xfId="60" applyNumberFormat="1" applyFont="1" applyFill="1" applyBorder="1" applyAlignment="1" applyProtection="1">
      <alignment horizontal="center" vertical="center" wrapText="1"/>
      <protection locked="0"/>
    </xf>
    <xf numFmtId="195" fontId="13" fillId="0" borderId="10" xfId="60" applyNumberFormat="1" applyFont="1" applyFill="1" applyBorder="1" applyAlignment="1" applyProtection="1">
      <alignment horizontal="right" vertical="center" wrapText="1"/>
      <protection locked="0"/>
    </xf>
    <xf numFmtId="179" fontId="13" fillId="33" borderId="10" xfId="60" applyNumberFormat="1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center" wrapText="1"/>
    </xf>
    <xf numFmtId="0" fontId="81" fillId="33" borderId="10" xfId="0" applyNumberFormat="1" applyFont="1" applyFill="1" applyBorder="1" applyAlignment="1">
      <alignment horizontal="center" wrapText="1"/>
    </xf>
    <xf numFmtId="0" fontId="14" fillId="33" borderId="10" xfId="0" applyNumberFormat="1" applyFont="1" applyFill="1" applyBorder="1" applyAlignment="1" applyProtection="1">
      <alignment horizontal="center" wrapText="1"/>
      <protection locked="0"/>
    </xf>
    <xf numFmtId="0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4" fillId="34" borderId="10" xfId="0" applyNumberFormat="1" applyFont="1" applyFill="1" applyBorder="1" applyAlignment="1">
      <alignment horizontal="center" vertical="center" wrapText="1"/>
    </xf>
    <xf numFmtId="179" fontId="14" fillId="34" borderId="10" xfId="60" applyFont="1" applyFill="1" applyBorder="1" applyAlignment="1" applyProtection="1">
      <alignment vertical="center" wrapText="1"/>
      <protection locked="0"/>
    </xf>
    <xf numFmtId="179" fontId="81" fillId="34" borderId="10" xfId="60" applyFont="1" applyFill="1" applyBorder="1" applyAlignment="1">
      <alignment horizontal="center" vertical="center" wrapText="1"/>
    </xf>
    <xf numFmtId="179" fontId="14" fillId="34" borderId="10" xfId="60" applyFont="1" applyFill="1" applyBorder="1" applyAlignment="1">
      <alignment horizontal="center" vertical="center" wrapText="1"/>
    </xf>
    <xf numFmtId="179" fontId="14" fillId="34" borderId="10" xfId="60" applyFont="1" applyFill="1" applyBorder="1" applyAlignment="1" applyProtection="1">
      <alignment horizontal="center" vertical="center" wrapText="1"/>
      <protection locked="0"/>
    </xf>
    <xf numFmtId="0" fontId="82" fillId="33" borderId="10" xfId="0" applyNumberFormat="1" applyFont="1" applyFill="1" applyBorder="1" applyAlignment="1" applyProtection="1">
      <alignment horizontal="center" vertical="center" wrapText="1"/>
      <protection/>
    </xf>
    <xf numFmtId="0" fontId="14" fillId="33" borderId="10" xfId="0" applyNumberFormat="1" applyFont="1" applyFill="1" applyBorder="1" applyAlignment="1">
      <alignment horizontal="center" vertical="center" wrapText="1"/>
    </xf>
    <xf numFmtId="179" fontId="15" fillId="33" borderId="10" xfId="60" applyFont="1" applyFill="1" applyBorder="1" applyAlignment="1" applyProtection="1">
      <alignment vertical="center" wrapText="1"/>
      <protection locked="0"/>
    </xf>
    <xf numFmtId="179" fontId="83" fillId="33" borderId="10" xfId="60" applyFont="1" applyFill="1" applyBorder="1" applyAlignment="1">
      <alignment horizontal="center" vertical="center" wrapText="1"/>
    </xf>
    <xf numFmtId="179" fontId="15" fillId="33" borderId="10" xfId="60" applyFont="1" applyFill="1" applyBorder="1" applyAlignment="1">
      <alignment horizontal="center" vertical="center" wrapText="1"/>
    </xf>
    <xf numFmtId="179" fontId="15" fillId="33" borderId="10" xfId="60" applyFont="1" applyFill="1" applyBorder="1" applyAlignment="1" applyProtection="1">
      <alignment horizontal="center" vertical="center" wrapText="1"/>
      <protection locked="0"/>
    </xf>
    <xf numFmtId="0" fontId="14" fillId="33" borderId="10" xfId="0" applyNumberFormat="1" applyFont="1" applyFill="1" applyBorder="1" applyAlignment="1" applyProtection="1">
      <alignment horizontal="center" vertical="center" wrapText="1"/>
      <protection/>
    </xf>
    <xf numFmtId="0" fontId="15" fillId="33" borderId="10" xfId="0" applyNumberFormat="1" applyFont="1" applyFill="1" applyBorder="1" applyAlignment="1" applyProtection="1">
      <alignment horizontal="center" vertical="center" wrapText="1"/>
      <protection/>
    </xf>
    <xf numFmtId="0" fontId="15" fillId="33" borderId="10" xfId="0" applyNumberFormat="1" applyFont="1" applyFill="1" applyBorder="1" applyAlignment="1">
      <alignment horizontal="center" vertical="center" wrapText="1"/>
    </xf>
    <xf numFmtId="179" fontId="15" fillId="33" borderId="10" xfId="60" applyNumberFormat="1" applyFont="1" applyFill="1" applyBorder="1" applyAlignment="1" applyProtection="1">
      <alignment vertical="center" wrapText="1"/>
      <protection locked="0"/>
    </xf>
    <xf numFmtId="179" fontId="15" fillId="33" borderId="10" xfId="60" applyNumberFormat="1" applyFont="1" applyFill="1" applyBorder="1" applyAlignment="1" applyProtection="1">
      <alignment horizontal="center" vertical="center" wrapText="1"/>
      <protection locked="0"/>
    </xf>
    <xf numFmtId="193" fontId="15" fillId="33" borderId="10" xfId="60" applyNumberFormat="1" applyFont="1" applyFill="1" applyBorder="1" applyAlignment="1" applyProtection="1">
      <alignment horizontal="center" vertical="center" wrapText="1"/>
      <protection locked="0"/>
    </xf>
    <xf numFmtId="0" fontId="15" fillId="34" borderId="10" xfId="0" applyNumberFormat="1" applyFont="1" applyFill="1" applyBorder="1" applyAlignment="1">
      <alignment horizontal="center" vertical="center" wrapText="1"/>
    </xf>
    <xf numFmtId="195" fontId="14" fillId="34" borderId="10" xfId="60" applyNumberFormat="1" applyFont="1" applyFill="1" applyBorder="1" applyAlignment="1" applyProtection="1">
      <alignment vertical="center" wrapText="1"/>
      <protection locked="0"/>
    </xf>
    <xf numFmtId="195" fontId="14" fillId="34" borderId="10" xfId="60" applyNumberFormat="1" applyFont="1" applyFill="1" applyBorder="1" applyAlignment="1" applyProtection="1">
      <alignment horizontal="center" vertical="center" wrapText="1"/>
      <protection locked="0"/>
    </xf>
    <xf numFmtId="195" fontId="14" fillId="34" borderId="10" xfId="60" applyNumberFormat="1" applyFont="1" applyFill="1" applyBorder="1" applyAlignment="1">
      <alignment horizontal="right" vertical="center" wrapText="1"/>
    </xf>
    <xf numFmtId="195" fontId="14" fillId="34" borderId="10" xfId="60" applyNumberFormat="1" applyFont="1" applyFill="1" applyBorder="1" applyAlignment="1" applyProtection="1">
      <alignment horizontal="right" vertical="center" wrapText="1"/>
      <protection locked="0"/>
    </xf>
    <xf numFmtId="179" fontId="14" fillId="33" borderId="10" xfId="60" applyFont="1" applyFill="1" applyBorder="1" applyAlignment="1" applyProtection="1">
      <alignment horizontal="center" vertical="center" wrapText="1"/>
      <protection locked="0"/>
    </xf>
    <xf numFmtId="179" fontId="81" fillId="33" borderId="10" xfId="60" applyFont="1" applyFill="1" applyBorder="1" applyAlignment="1">
      <alignment horizontal="center" vertical="center" wrapText="1"/>
    </xf>
    <xf numFmtId="179" fontId="14" fillId="33" borderId="10" xfId="60" applyFont="1" applyFill="1" applyBorder="1" applyAlignment="1">
      <alignment horizontal="center" vertical="center" wrapText="1"/>
    </xf>
    <xf numFmtId="0" fontId="15" fillId="33" borderId="10" xfId="0" applyNumberFormat="1" applyFont="1" applyFill="1" applyBorder="1" applyAlignment="1" applyProtection="1">
      <alignment wrapText="1"/>
      <protection/>
    </xf>
    <xf numFmtId="179" fontId="9" fillId="35" borderId="10" xfId="60" applyFont="1" applyFill="1" applyBorder="1" applyAlignment="1">
      <alignment horizontal="center" vertical="center" wrapText="1"/>
    </xf>
    <xf numFmtId="179" fontId="9" fillId="35" borderId="10" xfId="60" applyFont="1" applyFill="1" applyBorder="1" applyAlignment="1" applyProtection="1">
      <alignment horizontal="center" vertical="center" wrapText="1"/>
      <protection locked="0"/>
    </xf>
    <xf numFmtId="179" fontId="79" fillId="35" borderId="10" xfId="60" applyFont="1" applyFill="1" applyBorder="1" applyAlignment="1" applyProtection="1">
      <alignment horizontal="center" vertical="center" wrapText="1"/>
      <protection/>
    </xf>
    <xf numFmtId="195" fontId="9" fillId="35" borderId="10" xfId="60" applyNumberFormat="1" applyFont="1" applyFill="1" applyBorder="1" applyAlignment="1" applyProtection="1">
      <alignment horizontal="right" vertical="center" wrapText="1"/>
      <protection locked="0"/>
    </xf>
    <xf numFmtId="179" fontId="79" fillId="35" borderId="10" xfId="60" applyFont="1" applyFill="1" applyBorder="1" applyAlignment="1">
      <alignment horizontal="center" vertical="center" wrapText="1"/>
    </xf>
    <xf numFmtId="179" fontId="9" fillId="35" borderId="10" xfId="60" applyFont="1" applyFill="1" applyBorder="1" applyAlignment="1" applyProtection="1">
      <alignment horizontal="center" vertical="center" wrapText="1"/>
      <protection/>
    </xf>
    <xf numFmtId="195" fontId="15" fillId="33" borderId="10" xfId="60" applyNumberFormat="1" applyFont="1" applyFill="1" applyBorder="1" applyAlignment="1" applyProtection="1">
      <alignment vertical="center" wrapText="1"/>
      <protection locked="0"/>
    </xf>
    <xf numFmtId="195" fontId="15" fillId="33" borderId="10" xfId="60" applyNumberFormat="1" applyFont="1" applyFill="1" applyBorder="1" applyAlignment="1" applyProtection="1">
      <alignment horizontal="right" vertical="center" wrapText="1"/>
      <protection locked="0"/>
    </xf>
    <xf numFmtId="193" fontId="9" fillId="33" borderId="10" xfId="60" applyNumberFormat="1" applyFont="1" applyFill="1" applyBorder="1" applyAlignment="1">
      <alignment horizontal="center" vertical="center" wrapText="1"/>
    </xf>
    <xf numFmtId="193" fontId="13" fillId="33" borderId="10" xfId="60" applyNumberFormat="1" applyFont="1" applyFill="1" applyBorder="1" applyAlignment="1">
      <alignment horizontal="center" vertical="center" wrapText="1"/>
    </xf>
    <xf numFmtId="193" fontId="13" fillId="33" borderId="10" xfId="60" applyNumberFormat="1" applyFont="1" applyFill="1" applyBorder="1" applyAlignment="1">
      <alignment horizontal="right" vertical="center" wrapText="1"/>
    </xf>
    <xf numFmtId="193" fontId="9" fillId="33" borderId="10" xfId="60" applyNumberFormat="1" applyFont="1" applyFill="1" applyBorder="1" applyAlignment="1">
      <alignment horizontal="right" vertical="center" wrapText="1"/>
    </xf>
    <xf numFmtId="195" fontId="15" fillId="33" borderId="10" xfId="60" applyNumberFormat="1" applyFont="1" applyFill="1" applyBorder="1" applyAlignment="1" applyProtection="1">
      <alignment horizontal="center" vertical="center" wrapText="1"/>
      <protection locked="0"/>
    </xf>
    <xf numFmtId="195" fontId="15" fillId="33" borderId="10" xfId="6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179" fontId="81" fillId="34" borderId="10" xfId="60" applyNumberFormat="1" applyFont="1" applyFill="1" applyBorder="1" applyAlignment="1">
      <alignment horizontal="center" vertical="center" wrapText="1"/>
    </xf>
    <xf numFmtId="179" fontId="83" fillId="33" borderId="10" xfId="60" applyNumberFormat="1" applyFont="1" applyFill="1" applyBorder="1" applyAlignment="1">
      <alignment horizontal="center" vertical="center" wrapText="1"/>
    </xf>
    <xf numFmtId="179" fontId="81" fillId="33" borderId="10" xfId="60" applyNumberFormat="1" applyFont="1" applyFill="1" applyBorder="1" applyAlignment="1">
      <alignment horizontal="center" vertical="center" wrapText="1"/>
    </xf>
    <xf numFmtId="179" fontId="83" fillId="33" borderId="10" xfId="60" applyNumberFormat="1" applyFont="1" applyFill="1" applyBorder="1" applyAlignment="1">
      <alignment horizontal="right" vertical="center" wrapText="1"/>
    </xf>
    <xf numFmtId="0" fontId="15" fillId="33" borderId="16" xfId="0" applyNumberFormat="1" applyFont="1" applyFill="1" applyBorder="1" applyAlignment="1" applyProtection="1">
      <alignment horizontal="left" vertical="center" wrapText="1"/>
      <protection/>
    </xf>
    <xf numFmtId="0" fontId="15" fillId="33" borderId="17" xfId="0" applyNumberFormat="1" applyFont="1" applyFill="1" applyBorder="1" applyAlignment="1" applyProtection="1">
      <alignment horizontal="left" vertical="center" wrapText="1"/>
      <protection/>
    </xf>
    <xf numFmtId="0" fontId="15" fillId="33" borderId="15" xfId="0" applyNumberFormat="1" applyFont="1" applyFill="1" applyBorder="1" applyAlignment="1" applyProtection="1">
      <alignment horizontal="left" vertical="center"/>
      <protection/>
    </xf>
    <xf numFmtId="0" fontId="4" fillId="33" borderId="0" xfId="0" applyNumberFormat="1" applyFont="1" applyFill="1" applyAlignment="1">
      <alignment horizontal="left"/>
    </xf>
    <xf numFmtId="193" fontId="15" fillId="33" borderId="10" xfId="60" applyNumberFormat="1" applyFont="1" applyFill="1" applyBorder="1" applyAlignment="1">
      <alignment horizontal="center" vertical="center" wrapText="1"/>
    </xf>
    <xf numFmtId="0" fontId="6" fillId="33" borderId="18" xfId="0" applyNumberFormat="1" applyFont="1" applyFill="1" applyBorder="1" applyAlignment="1">
      <alignment horizontal="center" wrapText="1"/>
    </xf>
    <xf numFmtId="0" fontId="6" fillId="34" borderId="15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16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17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9" xfId="0" applyNumberFormat="1" applyFont="1" applyFill="1" applyBorder="1" applyAlignment="1" applyProtection="1">
      <alignment horizontal="center" vertical="center"/>
      <protection locked="0"/>
    </xf>
    <xf numFmtId="0" fontId="6" fillId="33" borderId="12" xfId="0" applyNumberFormat="1" applyFont="1" applyFill="1" applyBorder="1" applyAlignment="1" applyProtection="1">
      <alignment horizontal="center" vertical="center"/>
      <protection locked="0"/>
    </xf>
    <xf numFmtId="0" fontId="6" fillId="33" borderId="13" xfId="0" applyNumberFormat="1" applyFont="1" applyFill="1" applyBorder="1" applyAlignment="1" applyProtection="1">
      <alignment horizontal="center" vertical="center"/>
      <protection locked="0"/>
    </xf>
    <xf numFmtId="0" fontId="6" fillId="33" borderId="20" xfId="0" applyNumberFormat="1" applyFont="1" applyFill="1" applyBorder="1" applyAlignment="1" applyProtection="1">
      <alignment horizontal="center" vertical="center"/>
      <protection locked="0"/>
    </xf>
    <xf numFmtId="0" fontId="6" fillId="33" borderId="18" xfId="0" applyNumberFormat="1" applyFont="1" applyFill="1" applyBorder="1" applyAlignment="1" applyProtection="1">
      <alignment horizontal="center" vertical="center"/>
      <protection locked="0"/>
    </xf>
    <xf numFmtId="0" fontId="6" fillId="33" borderId="14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NumberFormat="1" applyFont="1" applyFill="1" applyBorder="1" applyAlignment="1">
      <alignment horizontal="center" wrapText="1"/>
    </xf>
    <xf numFmtId="0" fontId="6" fillId="33" borderId="19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0" fontId="6" fillId="33" borderId="20" xfId="0" applyNumberFormat="1" applyFont="1" applyFill="1" applyBorder="1" applyAlignment="1">
      <alignment horizontal="center" vertical="center"/>
    </xf>
    <xf numFmtId="0" fontId="6" fillId="33" borderId="18" xfId="0" applyNumberFormat="1" applyFont="1" applyFill="1" applyBorder="1" applyAlignment="1">
      <alignment horizontal="center" vertical="center"/>
    </xf>
    <xf numFmtId="0" fontId="6" fillId="33" borderId="14" xfId="0" applyNumberFormat="1" applyFont="1" applyFill="1" applyBorder="1" applyAlignment="1">
      <alignment horizontal="center" vertical="center"/>
    </xf>
    <xf numFmtId="0" fontId="15" fillId="33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center"/>
    </xf>
    <xf numFmtId="0" fontId="6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NumberFormat="1" applyFont="1" applyFill="1" applyBorder="1" applyAlignment="1" applyProtection="1">
      <alignment horizontal="center" wrapText="1"/>
      <protection locked="0"/>
    </xf>
    <xf numFmtId="0" fontId="3" fillId="33" borderId="10" xfId="0" applyNumberFormat="1" applyFont="1" applyFill="1" applyBorder="1" applyAlignment="1" applyProtection="1">
      <alignment horizontal="left"/>
      <protection locked="0"/>
    </xf>
    <xf numFmtId="0" fontId="15" fillId="33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3" fillId="33" borderId="15" xfId="0" applyNumberFormat="1" applyFont="1" applyFill="1" applyBorder="1" applyAlignment="1" applyProtection="1">
      <alignment horizontal="left" vertical="center" wrapText="1"/>
      <protection/>
    </xf>
    <xf numFmtId="0" fontId="3" fillId="33" borderId="16" xfId="0" applyNumberFormat="1" applyFont="1" applyFill="1" applyBorder="1" applyAlignment="1" applyProtection="1">
      <alignment horizontal="left" vertical="center" wrapText="1"/>
      <protection/>
    </xf>
    <xf numFmtId="0" fontId="3" fillId="33" borderId="17" xfId="0" applyNumberFormat="1" applyFont="1" applyFill="1" applyBorder="1" applyAlignment="1" applyProtection="1">
      <alignment horizontal="left" vertical="center" wrapText="1"/>
      <protection/>
    </xf>
    <xf numFmtId="0" fontId="6" fillId="33" borderId="15" xfId="0" applyNumberFormat="1" applyFont="1" applyFill="1" applyBorder="1" applyAlignment="1">
      <alignment horizontal="center" wrapText="1"/>
    </xf>
    <xf numFmtId="0" fontId="6" fillId="33" borderId="16" xfId="0" applyNumberFormat="1" applyFont="1" applyFill="1" applyBorder="1" applyAlignment="1">
      <alignment horizontal="center" wrapText="1"/>
    </xf>
    <xf numFmtId="0" fontId="6" fillId="33" borderId="17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5" xfId="0" applyNumberFormat="1" applyFont="1" applyFill="1" applyBorder="1" applyAlignment="1" applyProtection="1">
      <alignment horizontal="left"/>
      <protection locked="0"/>
    </xf>
    <xf numFmtId="0" fontId="6" fillId="33" borderId="16" xfId="0" applyNumberFormat="1" applyFont="1" applyFill="1" applyBorder="1" applyAlignment="1" applyProtection="1">
      <alignment horizontal="left"/>
      <protection locked="0"/>
    </xf>
    <xf numFmtId="0" fontId="6" fillId="33" borderId="17" xfId="0" applyNumberFormat="1" applyFont="1" applyFill="1" applyBorder="1" applyAlignment="1" applyProtection="1">
      <alignment horizontal="left"/>
      <protection locked="0"/>
    </xf>
    <xf numFmtId="0" fontId="4" fillId="33" borderId="0" xfId="0" applyNumberFormat="1" applyFont="1" applyFill="1" applyAlignment="1">
      <alignment horizontal="left"/>
    </xf>
    <xf numFmtId="0" fontId="15" fillId="33" borderId="16" xfId="0" applyNumberFormat="1" applyFont="1" applyFill="1" applyBorder="1" applyAlignment="1" applyProtection="1">
      <alignment horizontal="left" vertical="center" wrapText="1"/>
      <protection/>
    </xf>
    <xf numFmtId="0" fontId="15" fillId="33" borderId="17" xfId="0" applyNumberFormat="1" applyFont="1" applyFill="1" applyBorder="1" applyAlignment="1" applyProtection="1">
      <alignment horizontal="left" vertical="center" wrapText="1"/>
      <protection/>
    </xf>
    <xf numFmtId="0" fontId="14" fillId="34" borderId="15" xfId="0" applyNumberFormat="1" applyFont="1" applyFill="1" applyBorder="1" applyAlignment="1" applyProtection="1">
      <alignment horizontal="left" vertical="center" wrapText="1"/>
      <protection/>
    </xf>
    <xf numFmtId="0" fontId="14" fillId="34" borderId="16" xfId="0" applyNumberFormat="1" applyFont="1" applyFill="1" applyBorder="1" applyAlignment="1" applyProtection="1">
      <alignment horizontal="left" vertical="center" wrapText="1"/>
      <protection/>
    </xf>
    <xf numFmtId="0" fontId="14" fillId="34" borderId="17" xfId="0" applyNumberFormat="1" applyFont="1" applyFill="1" applyBorder="1" applyAlignment="1" applyProtection="1">
      <alignment horizontal="left" vertical="center" wrapText="1"/>
      <protection/>
    </xf>
    <xf numFmtId="0" fontId="6" fillId="33" borderId="10" xfId="0" applyNumberFormat="1" applyFont="1" applyFill="1" applyBorder="1" applyAlignment="1" applyProtection="1">
      <alignment horizontal="left"/>
      <protection locked="0"/>
    </xf>
    <xf numFmtId="0" fontId="70" fillId="34" borderId="15" xfId="0" applyNumberFormat="1" applyFont="1" applyFill="1" applyBorder="1" applyAlignment="1" applyProtection="1">
      <alignment horizontal="left" vertical="center" wrapText="1"/>
      <protection locked="0"/>
    </xf>
    <xf numFmtId="0" fontId="70" fillId="34" borderId="16" xfId="0" applyNumberFormat="1" applyFont="1" applyFill="1" applyBorder="1" applyAlignment="1" applyProtection="1">
      <alignment horizontal="left" vertical="center" wrapText="1"/>
      <protection locked="0"/>
    </xf>
    <xf numFmtId="0" fontId="70" fillId="34" borderId="17" xfId="0" applyNumberFormat="1" applyFont="1" applyFill="1" applyBorder="1" applyAlignment="1" applyProtection="1">
      <alignment horizontal="left" vertical="center" wrapText="1"/>
      <protection locked="0"/>
    </xf>
    <xf numFmtId="0" fontId="71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71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71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14" fillId="33" borderId="15" xfId="0" applyNumberFormat="1" applyFont="1" applyFill="1" applyBorder="1" applyAlignment="1" applyProtection="1">
      <alignment horizontal="left"/>
      <protection/>
    </xf>
    <xf numFmtId="0" fontId="14" fillId="33" borderId="16" xfId="0" applyNumberFormat="1" applyFont="1" applyFill="1" applyBorder="1" applyAlignment="1" applyProtection="1">
      <alignment horizontal="left"/>
      <protection/>
    </xf>
    <xf numFmtId="0" fontId="14" fillId="33" borderId="17" xfId="0" applyNumberFormat="1" applyFont="1" applyFill="1" applyBorder="1" applyAlignment="1" applyProtection="1">
      <alignment horizontal="left"/>
      <protection/>
    </xf>
    <xf numFmtId="0" fontId="15" fillId="33" borderId="15" xfId="0" applyNumberFormat="1" applyFont="1" applyFill="1" applyBorder="1" applyAlignment="1" applyProtection="1">
      <alignment horizontal="left" wrapText="1"/>
      <protection/>
    </xf>
    <xf numFmtId="0" fontId="15" fillId="33" borderId="16" xfId="0" applyNumberFormat="1" applyFont="1" applyFill="1" applyBorder="1" applyAlignment="1" applyProtection="1">
      <alignment horizontal="left" wrapText="1"/>
      <protection/>
    </xf>
    <xf numFmtId="0" fontId="15" fillId="33" borderId="17" xfId="0" applyNumberFormat="1" applyFont="1" applyFill="1" applyBorder="1" applyAlignment="1" applyProtection="1">
      <alignment horizontal="left" wrapText="1"/>
      <protection/>
    </xf>
    <xf numFmtId="0" fontId="14" fillId="33" borderId="15" xfId="0" applyNumberFormat="1" applyFont="1" applyFill="1" applyBorder="1" applyAlignment="1">
      <alignment horizontal="center" wrapText="1"/>
    </xf>
    <xf numFmtId="0" fontId="14" fillId="33" borderId="16" xfId="0" applyNumberFormat="1" applyFont="1" applyFill="1" applyBorder="1" applyAlignment="1">
      <alignment horizontal="center" wrapText="1"/>
    </xf>
    <xf numFmtId="0" fontId="14" fillId="33" borderId="17" xfId="0" applyNumberFormat="1" applyFont="1" applyFill="1" applyBorder="1" applyAlignment="1">
      <alignment horizontal="center" wrapText="1"/>
    </xf>
    <xf numFmtId="0" fontId="14" fillId="34" borderId="15" xfId="0" applyNumberFormat="1" applyFont="1" applyFill="1" applyBorder="1" applyAlignment="1" applyProtection="1">
      <alignment horizontal="left" vertical="center" wrapText="1"/>
      <protection locked="0"/>
    </xf>
    <xf numFmtId="0" fontId="14" fillId="34" borderId="16" xfId="0" applyNumberFormat="1" applyFont="1" applyFill="1" applyBorder="1" applyAlignment="1" applyProtection="1">
      <alignment horizontal="left" vertical="center" wrapText="1"/>
      <protection locked="0"/>
    </xf>
    <xf numFmtId="0" fontId="14" fillId="34" borderId="17" xfId="0" applyNumberFormat="1" applyFont="1" applyFill="1" applyBorder="1" applyAlignment="1" applyProtection="1">
      <alignment horizontal="left" vertical="center" wrapText="1"/>
      <protection locked="0"/>
    </xf>
    <xf numFmtId="179" fontId="15" fillId="33" borderId="21" xfId="6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4" fillId="33" borderId="19" xfId="0" applyNumberFormat="1" applyFont="1" applyFill="1" applyBorder="1" applyAlignment="1">
      <alignment horizontal="center" vertical="center"/>
    </xf>
    <xf numFmtId="0" fontId="14" fillId="33" borderId="12" xfId="0" applyNumberFormat="1" applyFont="1" applyFill="1" applyBorder="1" applyAlignment="1">
      <alignment horizontal="center" vertical="center"/>
    </xf>
    <xf numFmtId="0" fontId="14" fillId="33" borderId="13" xfId="0" applyNumberFormat="1" applyFont="1" applyFill="1" applyBorder="1" applyAlignment="1">
      <alignment horizontal="center" vertical="center"/>
    </xf>
    <xf numFmtId="0" fontId="14" fillId="33" borderId="20" xfId="0" applyNumberFormat="1" applyFont="1" applyFill="1" applyBorder="1" applyAlignment="1">
      <alignment horizontal="center" vertical="center"/>
    </xf>
    <xf numFmtId="0" fontId="14" fillId="33" borderId="18" xfId="0" applyNumberFormat="1" applyFont="1" applyFill="1" applyBorder="1" applyAlignment="1">
      <alignment horizontal="center" vertical="center"/>
    </xf>
    <xf numFmtId="0" fontId="14" fillId="33" borderId="14" xfId="0" applyNumberFormat="1" applyFont="1" applyFill="1" applyBorder="1" applyAlignment="1">
      <alignment horizontal="center" vertical="center"/>
    </xf>
    <xf numFmtId="0" fontId="6" fillId="33" borderId="16" xfId="0" applyNumberFormat="1" applyFont="1" applyFill="1" applyBorder="1" applyAlignment="1" applyProtection="1">
      <alignment horizontal="center" wrapText="1"/>
      <protection locked="0"/>
    </xf>
    <xf numFmtId="0" fontId="15" fillId="33" borderId="21" xfId="0" applyNumberFormat="1" applyFont="1" applyFill="1" applyBorder="1" applyAlignment="1" applyProtection="1">
      <alignment horizontal="center" vertical="center" wrapText="1"/>
      <protection/>
    </xf>
    <xf numFmtId="0" fontId="15" fillId="33" borderId="12" xfId="0" applyNumberFormat="1" applyFont="1" applyFill="1" applyBorder="1" applyAlignment="1" applyProtection="1">
      <alignment horizontal="left" vertical="center" wrapText="1"/>
      <protection/>
    </xf>
    <xf numFmtId="0" fontId="15" fillId="33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14" fillId="33" borderId="21" xfId="0" applyNumberFormat="1" applyFont="1" applyFill="1" applyBorder="1" applyAlignment="1">
      <alignment horizontal="center" wrapText="1"/>
    </xf>
    <xf numFmtId="0" fontId="14" fillId="33" borderId="22" xfId="0" applyNumberFormat="1" applyFont="1" applyFill="1" applyBorder="1" applyAlignment="1">
      <alignment horizontal="center" wrapText="1"/>
    </xf>
    <xf numFmtId="0" fontId="6" fillId="33" borderId="18" xfId="0" applyNumberFormat="1" applyFont="1" applyFill="1" applyBorder="1" applyAlignment="1" applyProtection="1">
      <alignment horizontal="center" wrapText="1"/>
      <protection locked="0"/>
    </xf>
    <xf numFmtId="0" fontId="3" fillId="33" borderId="15" xfId="0" applyNumberFormat="1" applyFont="1" applyFill="1" applyBorder="1" applyAlignment="1" applyProtection="1">
      <alignment horizontal="left"/>
      <protection locked="0"/>
    </xf>
    <xf numFmtId="0" fontId="3" fillId="33" borderId="16" xfId="0" applyNumberFormat="1" applyFont="1" applyFill="1" applyBorder="1" applyAlignment="1" applyProtection="1">
      <alignment horizontal="left"/>
      <protection locked="0"/>
    </xf>
    <xf numFmtId="0" fontId="3" fillId="33" borderId="17" xfId="0" applyNumberFormat="1" applyFont="1" applyFill="1" applyBorder="1" applyAlignment="1" applyProtection="1">
      <alignment horizontal="left"/>
      <protection locked="0"/>
    </xf>
    <xf numFmtId="179" fontId="83" fillId="33" borderId="21" xfId="60" applyFont="1" applyFill="1" applyBorder="1" applyAlignment="1">
      <alignment horizontal="center" vertical="center" wrapText="1"/>
    </xf>
    <xf numFmtId="179" fontId="15" fillId="33" borderId="21" xfId="60" applyFont="1" applyFill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179" fontId="15" fillId="33" borderId="21" xfId="60" applyFont="1" applyFill="1" applyBorder="1" applyAlignment="1" applyProtection="1">
      <alignment horizontal="center" vertical="center" wrapText="1"/>
      <protection locked="0"/>
    </xf>
    <xf numFmtId="179" fontId="83" fillId="33" borderId="21" xfId="60" applyNumberFormat="1" applyFont="1" applyFill="1" applyBorder="1" applyAlignment="1">
      <alignment horizontal="center" vertical="center" wrapText="1"/>
    </xf>
    <xf numFmtId="179" fontId="0" fillId="0" borderId="22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6" fillId="34" borderId="15" xfId="0" applyNumberFormat="1" applyFont="1" applyFill="1" applyBorder="1" applyAlignment="1" applyProtection="1">
      <alignment horizontal="left" vertical="center" wrapText="1"/>
      <protection/>
    </xf>
    <xf numFmtId="0" fontId="12" fillId="34" borderId="16" xfId="0" applyFont="1" applyFill="1" applyBorder="1" applyAlignment="1">
      <alignment horizontal="left" vertical="center" wrapText="1"/>
    </xf>
    <xf numFmtId="0" fontId="12" fillId="34" borderId="17" xfId="0" applyFont="1" applyFill="1" applyBorder="1" applyAlignment="1">
      <alignment horizontal="left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center" vertical="center" wrapText="1"/>
    </xf>
    <xf numFmtId="0" fontId="6" fillId="33" borderId="17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left" vertical="center" wrapText="1"/>
    </xf>
    <xf numFmtId="0" fontId="3" fillId="33" borderId="16" xfId="0" applyNumberFormat="1" applyFont="1" applyFill="1" applyBorder="1" applyAlignment="1">
      <alignment horizontal="left" vertical="center" wrapText="1"/>
    </xf>
    <xf numFmtId="0" fontId="3" fillId="33" borderId="17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6" fillId="34" borderId="15" xfId="0" applyNumberFormat="1" applyFont="1" applyFill="1" applyBorder="1" applyAlignment="1">
      <alignment horizontal="left" vertical="center" wrapText="1"/>
    </xf>
    <xf numFmtId="0" fontId="6" fillId="34" borderId="16" xfId="0" applyNumberFormat="1" applyFont="1" applyFill="1" applyBorder="1" applyAlignment="1">
      <alignment horizontal="left" vertical="center" wrapText="1"/>
    </xf>
    <xf numFmtId="0" fontId="6" fillId="34" borderId="17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66" fillId="0" borderId="15" xfId="0" applyNumberFormat="1" applyFont="1" applyFill="1" applyBorder="1" applyAlignment="1">
      <alignment horizontal="left" vertical="center" wrapText="1"/>
    </xf>
    <xf numFmtId="0" fontId="66" fillId="0" borderId="16" xfId="0" applyNumberFormat="1" applyFont="1" applyFill="1" applyBorder="1" applyAlignment="1">
      <alignment horizontal="left" vertical="center" wrapText="1"/>
    </xf>
    <xf numFmtId="0" fontId="66" fillId="0" borderId="17" xfId="0" applyNumberFormat="1" applyFont="1" applyFill="1" applyBorder="1" applyAlignment="1">
      <alignment horizontal="left" vertical="center" wrapText="1"/>
    </xf>
    <xf numFmtId="0" fontId="66" fillId="0" borderId="10" xfId="0" applyNumberFormat="1" applyFont="1" applyFill="1" applyBorder="1" applyAlignment="1">
      <alignment horizontal="left" vertical="center" wrapText="1"/>
    </xf>
    <xf numFmtId="0" fontId="78" fillId="0" borderId="15" xfId="0" applyNumberFormat="1" applyFont="1" applyFill="1" applyBorder="1" applyAlignment="1">
      <alignment horizontal="left" vertical="center" wrapText="1"/>
    </xf>
    <xf numFmtId="0" fontId="78" fillId="0" borderId="16" xfId="0" applyNumberFormat="1" applyFont="1" applyFill="1" applyBorder="1" applyAlignment="1">
      <alignment horizontal="left" vertical="center" wrapText="1"/>
    </xf>
    <xf numFmtId="0" fontId="78" fillId="0" borderId="17" xfId="0" applyNumberFormat="1" applyFont="1" applyFill="1" applyBorder="1" applyAlignment="1">
      <alignment horizontal="left" vertical="center" wrapText="1"/>
    </xf>
    <xf numFmtId="0" fontId="78" fillId="0" borderId="10" xfId="0" applyNumberFormat="1" applyFont="1" applyFill="1" applyBorder="1" applyAlignment="1">
      <alignment horizontal="left"/>
    </xf>
    <xf numFmtId="0" fontId="66" fillId="0" borderId="15" xfId="0" applyNumberFormat="1" applyFont="1" applyFill="1" applyBorder="1" applyAlignment="1">
      <alignment horizontal="left"/>
    </xf>
    <xf numFmtId="0" fontId="66" fillId="0" borderId="16" xfId="0" applyNumberFormat="1" applyFont="1" applyFill="1" applyBorder="1" applyAlignment="1">
      <alignment horizontal="left"/>
    </xf>
    <xf numFmtId="0" fontId="66" fillId="0" borderId="17" xfId="0" applyNumberFormat="1" applyFont="1" applyFill="1" applyBorder="1" applyAlignment="1">
      <alignment horizontal="left"/>
    </xf>
    <xf numFmtId="0" fontId="78" fillId="0" borderId="10" xfId="0" applyNumberFormat="1" applyFont="1" applyFill="1" applyBorder="1" applyAlignment="1">
      <alignment horizontal="center"/>
    </xf>
    <xf numFmtId="0" fontId="66" fillId="0" borderId="10" xfId="0" applyNumberFormat="1" applyFont="1" applyFill="1" applyBorder="1" applyAlignment="1">
      <alignment horizontal="left"/>
    </xf>
    <xf numFmtId="0" fontId="78" fillId="0" borderId="10" xfId="0" applyNumberFormat="1" applyFont="1" applyFill="1" applyBorder="1" applyAlignment="1">
      <alignment horizontal="center" wrapText="1"/>
    </xf>
    <xf numFmtId="0" fontId="78" fillId="0" borderId="18" xfId="0" applyNumberFormat="1" applyFont="1" applyFill="1" applyBorder="1" applyAlignment="1">
      <alignment horizontal="center" vertical="center" wrapText="1"/>
    </xf>
    <xf numFmtId="0" fontId="78" fillId="0" borderId="19" xfId="0" applyNumberFormat="1" applyFont="1" applyFill="1" applyBorder="1" applyAlignment="1">
      <alignment horizontal="center" vertical="center"/>
    </xf>
    <xf numFmtId="0" fontId="78" fillId="0" borderId="12" xfId="0" applyNumberFormat="1" applyFont="1" applyFill="1" applyBorder="1" applyAlignment="1">
      <alignment horizontal="center" vertical="center"/>
    </xf>
    <xf numFmtId="0" fontId="78" fillId="0" borderId="13" xfId="0" applyNumberFormat="1" applyFont="1" applyFill="1" applyBorder="1" applyAlignment="1">
      <alignment horizontal="center" vertical="center"/>
    </xf>
    <xf numFmtId="0" fontId="78" fillId="0" borderId="20" xfId="0" applyNumberFormat="1" applyFont="1" applyFill="1" applyBorder="1" applyAlignment="1">
      <alignment horizontal="center" vertical="center"/>
    </xf>
    <xf numFmtId="0" fontId="78" fillId="0" borderId="18" xfId="0" applyNumberFormat="1" applyFont="1" applyFill="1" applyBorder="1" applyAlignment="1">
      <alignment horizontal="center" vertical="center"/>
    </xf>
    <xf numFmtId="0" fontId="78" fillId="0" borderId="14" xfId="0" applyNumberFormat="1" applyFont="1" applyFill="1" applyBorder="1" applyAlignment="1">
      <alignment horizontal="center" vertical="center"/>
    </xf>
    <xf numFmtId="0" fontId="78" fillId="0" borderId="15" xfId="0" applyNumberFormat="1" applyFont="1" applyFill="1" applyBorder="1" applyAlignment="1">
      <alignment horizontal="left"/>
    </xf>
    <xf numFmtId="0" fontId="78" fillId="0" borderId="16" xfId="0" applyNumberFormat="1" applyFont="1" applyFill="1" applyBorder="1" applyAlignment="1">
      <alignment horizontal="left"/>
    </xf>
    <xf numFmtId="0" fontId="78" fillId="0" borderId="17" xfId="0" applyNumberFormat="1" applyFont="1" applyFill="1" applyBorder="1" applyAlignment="1">
      <alignment horizontal="left"/>
    </xf>
    <xf numFmtId="0" fontId="66" fillId="0" borderId="0" xfId="0" applyNumberFormat="1" applyFont="1" applyFill="1" applyAlignment="1">
      <alignment horizontal="left"/>
    </xf>
    <xf numFmtId="0" fontId="6" fillId="33" borderId="10" xfId="0" applyNumberFormat="1" applyFont="1" applyFill="1" applyBorder="1" applyAlignment="1">
      <alignment horizontal="left"/>
    </xf>
    <xf numFmtId="0" fontId="3" fillId="33" borderId="15" xfId="0" applyNumberFormat="1" applyFont="1" applyFill="1" applyBorder="1" applyAlignment="1">
      <alignment horizontal="left"/>
    </xf>
    <xf numFmtId="0" fontId="3" fillId="33" borderId="16" xfId="0" applyNumberFormat="1" applyFont="1" applyFill="1" applyBorder="1" applyAlignment="1">
      <alignment horizontal="left"/>
    </xf>
    <xf numFmtId="0" fontId="3" fillId="33" borderId="17" xfId="0" applyNumberFormat="1" applyFont="1" applyFill="1" applyBorder="1" applyAlignment="1">
      <alignment horizontal="left"/>
    </xf>
    <xf numFmtId="0" fontId="6" fillId="33" borderId="21" xfId="0" applyNumberFormat="1" applyFont="1" applyFill="1" applyBorder="1" applyAlignment="1">
      <alignment horizontal="center" vertical="center" wrapText="1"/>
    </xf>
    <xf numFmtId="0" fontId="6" fillId="33" borderId="22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/>
    </xf>
    <xf numFmtId="0" fontId="3" fillId="33" borderId="0" xfId="0" applyNumberFormat="1" applyFont="1" applyFill="1" applyAlignment="1">
      <alignment horizontal="left"/>
    </xf>
    <xf numFmtId="0" fontId="6" fillId="33" borderId="15" xfId="0" applyNumberFormat="1" applyFont="1" applyFill="1" applyBorder="1" applyAlignment="1">
      <alignment horizontal="left" vertical="center" wrapText="1"/>
    </xf>
    <xf numFmtId="0" fontId="6" fillId="33" borderId="16" xfId="0" applyNumberFormat="1" applyFont="1" applyFill="1" applyBorder="1" applyAlignment="1">
      <alignment horizontal="left" vertical="center" wrapText="1"/>
    </xf>
    <xf numFmtId="0" fontId="6" fillId="33" borderId="17" xfId="0" applyNumberFormat="1" applyFont="1" applyFill="1" applyBorder="1" applyAlignment="1">
      <alignment horizontal="left" vertical="center" wrapText="1"/>
    </xf>
    <xf numFmtId="0" fontId="70" fillId="33" borderId="15" xfId="0" applyNumberFormat="1" applyFont="1" applyFill="1" applyBorder="1" applyAlignment="1">
      <alignment horizontal="left" vertical="center" wrapText="1"/>
    </xf>
    <xf numFmtId="0" fontId="70" fillId="33" borderId="16" xfId="0" applyNumberFormat="1" applyFont="1" applyFill="1" applyBorder="1" applyAlignment="1">
      <alignment horizontal="left" vertical="center" wrapText="1"/>
    </xf>
    <xf numFmtId="0" fontId="70" fillId="33" borderId="17" xfId="0" applyNumberFormat="1" applyFont="1" applyFill="1" applyBorder="1" applyAlignment="1">
      <alignment horizontal="left" vertical="center" wrapText="1"/>
    </xf>
    <xf numFmtId="0" fontId="71" fillId="33" borderId="15" xfId="0" applyNumberFormat="1" applyFont="1" applyFill="1" applyBorder="1" applyAlignment="1">
      <alignment horizontal="left" vertical="center" wrapText="1"/>
    </xf>
    <xf numFmtId="0" fontId="71" fillId="33" borderId="16" xfId="0" applyNumberFormat="1" applyFont="1" applyFill="1" applyBorder="1" applyAlignment="1">
      <alignment horizontal="left" vertical="center" wrapText="1"/>
    </xf>
    <xf numFmtId="0" fontId="71" fillId="33" borderId="17" xfId="0" applyNumberFormat="1" applyFont="1" applyFill="1" applyBorder="1" applyAlignment="1">
      <alignment horizontal="left" vertical="center" wrapText="1"/>
    </xf>
    <xf numFmtId="0" fontId="6" fillId="33" borderId="15" xfId="0" applyNumberFormat="1" applyFont="1" applyFill="1" applyBorder="1" applyAlignment="1">
      <alignment horizontal="left"/>
    </xf>
    <xf numFmtId="0" fontId="6" fillId="33" borderId="16" xfId="0" applyNumberFormat="1" applyFont="1" applyFill="1" applyBorder="1" applyAlignment="1">
      <alignment horizontal="left"/>
    </xf>
    <xf numFmtId="0" fontId="6" fillId="33" borderId="17" xfId="0" applyNumberFormat="1" applyFont="1" applyFill="1" applyBorder="1" applyAlignment="1">
      <alignment horizontal="left"/>
    </xf>
    <xf numFmtId="0" fontId="3" fillId="33" borderId="15" xfId="0" applyNumberFormat="1" applyFont="1" applyFill="1" applyBorder="1" applyAlignment="1">
      <alignment horizontal="left" wrapText="1"/>
    </xf>
    <xf numFmtId="0" fontId="3" fillId="33" borderId="16" xfId="0" applyNumberFormat="1" applyFont="1" applyFill="1" applyBorder="1" applyAlignment="1">
      <alignment horizontal="left" wrapText="1"/>
    </xf>
    <xf numFmtId="0" fontId="3" fillId="33" borderId="17" xfId="0" applyNumberFormat="1" applyFont="1" applyFill="1" applyBorder="1" applyAlignment="1">
      <alignment horizontal="left" wrapText="1"/>
    </xf>
    <xf numFmtId="0" fontId="6" fillId="33" borderId="21" xfId="0" applyNumberFormat="1" applyFont="1" applyFill="1" applyBorder="1" applyAlignment="1">
      <alignment horizontal="center" wrapText="1"/>
    </xf>
    <xf numFmtId="0" fontId="6" fillId="33" borderId="22" xfId="0" applyNumberFormat="1" applyFont="1" applyFill="1" applyBorder="1" applyAlignment="1">
      <alignment horizontal="center" wrapText="1"/>
    </xf>
    <xf numFmtId="0" fontId="48" fillId="33" borderId="0" xfId="0" applyNumberFormat="1" applyFont="1" applyFill="1" applyAlignment="1" applyProtection="1">
      <alignment/>
      <protection locked="0"/>
    </xf>
    <xf numFmtId="0" fontId="6" fillId="33" borderId="18" xfId="0" applyNumberFormat="1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9"/>
  <sheetViews>
    <sheetView view="pageBreakPreview" zoomScale="50" zoomScaleNormal="85" zoomScaleSheetLayoutView="50" workbookViewId="0" topLeftCell="A75">
      <selection activeCell="A120" sqref="A120:IV120"/>
    </sheetView>
  </sheetViews>
  <sheetFormatPr defaultColWidth="9.140625" defaultRowHeight="12.75"/>
  <cols>
    <col min="1" max="1" width="9.00390625" style="7" customWidth="1"/>
    <col min="2" max="2" width="9.140625" style="7" customWidth="1"/>
    <col min="3" max="3" width="21.140625" style="7" customWidth="1"/>
    <col min="4" max="4" width="58.00390625" style="7" customWidth="1"/>
    <col min="5" max="5" width="14.421875" style="7" hidden="1" customWidth="1"/>
    <col min="6" max="6" width="24.140625" style="7" customWidth="1"/>
    <col min="7" max="7" width="30.8515625" style="47" customWidth="1"/>
    <col min="8" max="8" width="0.2890625" style="7" hidden="1" customWidth="1"/>
    <col min="9" max="9" width="24.8515625" style="7" customWidth="1"/>
    <col min="10" max="10" width="30.7109375" style="47" customWidth="1"/>
    <col min="11" max="11" width="9.8515625" style="7" hidden="1" customWidth="1"/>
    <col min="12" max="12" width="25.00390625" style="7" customWidth="1"/>
    <col min="13" max="13" width="27.8515625" style="47" customWidth="1"/>
    <col min="14" max="14" width="9.8515625" style="7" hidden="1" customWidth="1"/>
    <col min="15" max="15" width="25.57421875" style="7" customWidth="1"/>
    <col min="16" max="16" width="29.8515625" style="47" customWidth="1"/>
    <col min="17" max="17" width="28.421875" style="7" customWidth="1"/>
    <col min="18" max="18" width="32.8515625" style="47" customWidth="1"/>
    <col min="19" max="19" width="18.00390625" style="7" customWidth="1"/>
    <col min="20" max="20" width="22.28125" style="7" bestFit="1" customWidth="1"/>
    <col min="21" max="21" width="12.8515625" style="7" customWidth="1"/>
    <col min="22" max="16384" width="9.140625" style="7" customWidth="1"/>
  </cols>
  <sheetData>
    <row r="1" spans="1:22" ht="26.25" customHeight="1">
      <c r="A1" s="4"/>
      <c r="B1" s="4"/>
      <c r="C1" s="4"/>
      <c r="D1" s="4"/>
      <c r="E1" s="4"/>
      <c r="F1" s="4"/>
      <c r="G1" s="97"/>
      <c r="H1" s="4"/>
      <c r="I1" s="4"/>
      <c r="J1" s="97"/>
      <c r="K1" s="4"/>
      <c r="L1" s="4"/>
      <c r="M1" s="97"/>
      <c r="N1" s="58"/>
      <c r="O1" s="58"/>
      <c r="P1" s="415" t="s">
        <v>81</v>
      </c>
      <c r="Q1" s="11"/>
      <c r="R1" s="102"/>
      <c r="T1" s="9"/>
      <c r="U1" s="9"/>
      <c r="V1" s="9"/>
    </row>
    <row r="2" spans="1:22" ht="26.25" customHeight="1">
      <c r="A2" s="4"/>
      <c r="B2" s="4"/>
      <c r="C2" s="4"/>
      <c r="D2" s="4"/>
      <c r="E2" s="4"/>
      <c r="F2" s="4"/>
      <c r="G2" s="97"/>
      <c r="H2" s="4"/>
      <c r="I2" s="4"/>
      <c r="J2" s="97"/>
      <c r="K2" s="4"/>
      <c r="L2" s="4"/>
      <c r="M2" s="97"/>
      <c r="N2" s="58"/>
      <c r="O2" s="58"/>
      <c r="P2" s="415" t="s">
        <v>31</v>
      </c>
      <c r="Q2" s="11"/>
      <c r="R2" s="11"/>
      <c r="T2" s="9"/>
      <c r="U2" s="9"/>
      <c r="V2" s="9"/>
    </row>
    <row r="3" spans="1:22" ht="26.25" customHeight="1">
      <c r="A3" s="4"/>
      <c r="B3" s="4"/>
      <c r="C3" s="4"/>
      <c r="D3" s="4"/>
      <c r="E3" s="4"/>
      <c r="F3" s="4"/>
      <c r="G3" s="97"/>
      <c r="H3" s="4"/>
      <c r="I3" s="4"/>
      <c r="J3" s="97"/>
      <c r="K3" s="4"/>
      <c r="L3" s="4"/>
      <c r="M3" s="97"/>
      <c r="N3" s="58"/>
      <c r="O3" s="58"/>
      <c r="P3" s="415" t="s">
        <v>108</v>
      </c>
      <c r="Q3" s="11"/>
      <c r="R3" s="11"/>
      <c r="T3" s="9"/>
      <c r="U3" s="9"/>
      <c r="V3" s="9"/>
    </row>
    <row r="4" spans="1:22" ht="26.25" customHeight="1">
      <c r="A4" s="4"/>
      <c r="B4" s="4"/>
      <c r="C4" s="4"/>
      <c r="D4" s="4"/>
      <c r="E4" s="4"/>
      <c r="F4" s="4"/>
      <c r="G4" s="97"/>
      <c r="H4" s="4"/>
      <c r="I4" s="4"/>
      <c r="J4" s="97"/>
      <c r="K4" s="4"/>
      <c r="L4" s="4"/>
      <c r="M4" s="97"/>
      <c r="N4" s="252"/>
      <c r="O4" s="252"/>
      <c r="P4" s="415" t="s">
        <v>109</v>
      </c>
      <c r="Q4" s="11"/>
      <c r="R4" s="11"/>
      <c r="T4" s="9"/>
      <c r="U4" s="9"/>
      <c r="V4" s="9"/>
    </row>
    <row r="5" spans="1:22" ht="26.25" customHeight="1">
      <c r="A5" s="4"/>
      <c r="B5" s="4"/>
      <c r="C5" s="4"/>
      <c r="D5" s="4"/>
      <c r="E5" s="4"/>
      <c r="F5" s="4"/>
      <c r="G5" s="97"/>
      <c r="H5" s="4"/>
      <c r="I5" s="4"/>
      <c r="J5" s="97"/>
      <c r="K5" s="4"/>
      <c r="L5" s="4"/>
      <c r="M5" s="97"/>
      <c r="N5" s="252"/>
      <c r="O5" s="252"/>
      <c r="P5" s="415" t="s">
        <v>110</v>
      </c>
      <c r="Q5" s="11"/>
      <c r="R5" s="11"/>
      <c r="T5" s="9"/>
      <c r="U5" s="9"/>
      <c r="V5" s="9"/>
    </row>
    <row r="6" spans="1:22" ht="18" customHeight="1">
      <c r="A6" s="4"/>
      <c r="B6" s="4"/>
      <c r="C6" s="4"/>
      <c r="D6" s="4"/>
      <c r="E6" s="4"/>
      <c r="F6" s="4"/>
      <c r="G6" s="97"/>
      <c r="H6" s="4"/>
      <c r="I6" s="4"/>
      <c r="J6" s="97"/>
      <c r="K6" s="4"/>
      <c r="L6" s="4"/>
      <c r="M6" s="97"/>
      <c r="N6" s="58"/>
      <c r="O6" s="58"/>
      <c r="P6" s="7"/>
      <c r="Q6" s="11"/>
      <c r="R6" s="11"/>
      <c r="T6" s="9"/>
      <c r="U6" s="9"/>
      <c r="V6" s="9"/>
    </row>
    <row r="7" spans="1:22" ht="26.25" hidden="1">
      <c r="A7" s="4"/>
      <c r="B7" s="4"/>
      <c r="C7" s="4"/>
      <c r="D7" s="4"/>
      <c r="E7" s="4"/>
      <c r="F7" s="4"/>
      <c r="G7" s="97"/>
      <c r="H7" s="4"/>
      <c r="I7" s="4"/>
      <c r="J7" s="97"/>
      <c r="K7" s="4"/>
      <c r="L7" s="4"/>
      <c r="M7" s="97"/>
      <c r="N7" s="58"/>
      <c r="O7" s="58"/>
      <c r="P7" s="102"/>
      <c r="Q7" s="59"/>
      <c r="R7" s="102"/>
      <c r="T7" s="9"/>
      <c r="U7" s="9"/>
      <c r="V7" s="9"/>
    </row>
    <row r="8" spans="1:22" ht="67.5" customHeight="1">
      <c r="A8" s="416" t="s">
        <v>107</v>
      </c>
      <c r="B8" s="417"/>
      <c r="C8" s="417"/>
      <c r="D8" s="417"/>
      <c r="E8" s="417"/>
      <c r="F8" s="417"/>
      <c r="G8" s="417"/>
      <c r="H8" s="417"/>
      <c r="I8" s="417"/>
      <c r="J8" s="417"/>
      <c r="K8" s="417"/>
      <c r="L8" s="417"/>
      <c r="M8" s="417"/>
      <c r="N8" s="417"/>
      <c r="O8" s="417"/>
      <c r="P8" s="417"/>
      <c r="Q8" s="417"/>
      <c r="R8" s="417"/>
      <c r="T8" s="9"/>
      <c r="U8" s="9"/>
      <c r="V8" s="9"/>
    </row>
    <row r="9" spans="1:22" ht="33.75" customHeight="1">
      <c r="A9" s="329" t="s">
        <v>89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329"/>
      <c r="N9" s="329"/>
      <c r="O9" s="329"/>
      <c r="P9" s="329"/>
      <c r="Q9" s="329"/>
      <c r="R9" s="329"/>
      <c r="T9" s="9"/>
      <c r="U9" s="9"/>
      <c r="V9" s="9"/>
    </row>
    <row r="10" spans="1:22" ht="30.75" customHeight="1">
      <c r="A10" s="334" t="s">
        <v>15</v>
      </c>
      <c r="B10" s="323" t="s">
        <v>0</v>
      </c>
      <c r="C10" s="324"/>
      <c r="D10" s="325"/>
      <c r="E10" s="315" t="s">
        <v>1</v>
      </c>
      <c r="F10" s="316"/>
      <c r="G10" s="317"/>
      <c r="H10" s="315" t="s">
        <v>3</v>
      </c>
      <c r="I10" s="316"/>
      <c r="J10" s="317"/>
      <c r="K10" s="315" t="s">
        <v>4</v>
      </c>
      <c r="L10" s="316"/>
      <c r="M10" s="317"/>
      <c r="N10" s="315" t="s">
        <v>6</v>
      </c>
      <c r="O10" s="316"/>
      <c r="P10" s="317"/>
      <c r="Q10" s="315" t="s">
        <v>7</v>
      </c>
      <c r="R10" s="317"/>
      <c r="U10" s="9"/>
      <c r="V10" s="9"/>
    </row>
    <row r="11" spans="1:22" ht="25.5">
      <c r="A11" s="335"/>
      <c r="B11" s="326"/>
      <c r="C11" s="327"/>
      <c r="D11" s="328"/>
      <c r="E11" s="200"/>
      <c r="F11" s="200" t="s">
        <v>2</v>
      </c>
      <c r="G11" s="201" t="s">
        <v>5</v>
      </c>
      <c r="H11" s="200"/>
      <c r="I11" s="202" t="s">
        <v>2</v>
      </c>
      <c r="J11" s="201" t="s">
        <v>5</v>
      </c>
      <c r="K11" s="200"/>
      <c r="L11" s="200" t="s">
        <v>2</v>
      </c>
      <c r="M11" s="201" t="s">
        <v>5</v>
      </c>
      <c r="N11" s="200" t="s">
        <v>2</v>
      </c>
      <c r="O11" s="200" t="s">
        <v>2</v>
      </c>
      <c r="P11" s="201" t="s">
        <v>5</v>
      </c>
      <c r="Q11" s="200" t="s">
        <v>2</v>
      </c>
      <c r="R11" s="201" t="s">
        <v>5</v>
      </c>
      <c r="U11" s="9"/>
      <c r="V11" s="9"/>
    </row>
    <row r="12" spans="1:22" s="89" customFormat="1" ht="30" customHeight="1">
      <c r="A12" s="203">
        <v>1</v>
      </c>
      <c r="B12" s="299" t="s">
        <v>33</v>
      </c>
      <c r="C12" s="300"/>
      <c r="D12" s="301"/>
      <c r="E12" s="204">
        <v>22.6</v>
      </c>
      <c r="F12" s="205">
        <v>15</v>
      </c>
      <c r="G12" s="206">
        <f>F12*F46</f>
        <v>82594.35</v>
      </c>
      <c r="H12" s="207">
        <v>7.9</v>
      </c>
      <c r="I12" s="208">
        <v>7</v>
      </c>
      <c r="J12" s="206">
        <f>I12*F46</f>
        <v>38544.03</v>
      </c>
      <c r="K12" s="207">
        <v>2.9</v>
      </c>
      <c r="L12" s="208">
        <v>1</v>
      </c>
      <c r="M12" s="206">
        <f>L12*G46</f>
        <v>5826.29</v>
      </c>
      <c r="N12" s="207">
        <v>20.6</v>
      </c>
      <c r="O12" s="208">
        <v>17</v>
      </c>
      <c r="P12" s="245">
        <f>O12*G46</f>
        <v>99046.93</v>
      </c>
      <c r="Q12" s="207">
        <f aca="true" t="shared" si="0" ref="Q12:R16">F12+I12+L12+O12</f>
        <v>40</v>
      </c>
      <c r="R12" s="206">
        <f t="shared" si="0"/>
        <v>226011.59999999998</v>
      </c>
      <c r="S12" s="86" t="s">
        <v>78</v>
      </c>
      <c r="T12" s="93"/>
      <c r="U12" s="88"/>
      <c r="V12" s="87"/>
    </row>
    <row r="13" spans="1:22" s="89" customFormat="1" ht="30" customHeight="1">
      <c r="A13" s="203">
        <v>2</v>
      </c>
      <c r="B13" s="299" t="s">
        <v>41</v>
      </c>
      <c r="C13" s="300"/>
      <c r="D13" s="301"/>
      <c r="E13" s="204"/>
      <c r="F13" s="205">
        <f>F14+F15+F16+F17+F18+F19</f>
        <v>2613.46</v>
      </c>
      <c r="G13" s="206">
        <f aca="true" t="shared" si="1" ref="G13:Q13">G14+G15+G16+G17+G18+G19</f>
        <v>14390468.663399998</v>
      </c>
      <c r="H13" s="207">
        <f t="shared" si="1"/>
        <v>1508.1</v>
      </c>
      <c r="I13" s="208">
        <f t="shared" si="1"/>
        <v>974.07</v>
      </c>
      <c r="J13" s="206">
        <f t="shared" si="1"/>
        <v>5363511.9003</v>
      </c>
      <c r="K13" s="207">
        <f t="shared" si="1"/>
        <v>453.7</v>
      </c>
      <c r="L13" s="208">
        <f t="shared" si="1"/>
        <v>283.974</v>
      </c>
      <c r="M13" s="206">
        <f t="shared" si="1"/>
        <v>1654514.87646</v>
      </c>
      <c r="N13" s="207">
        <f t="shared" si="1"/>
        <v>3033.1</v>
      </c>
      <c r="O13" s="208">
        <f t="shared" si="1"/>
        <v>2193.691</v>
      </c>
      <c r="P13" s="245">
        <f t="shared" si="1"/>
        <v>12781079.93639</v>
      </c>
      <c r="Q13" s="207">
        <f t="shared" si="1"/>
        <v>6065.195000000001</v>
      </c>
      <c r="R13" s="206">
        <v>34189575.39</v>
      </c>
      <c r="S13" s="86"/>
      <c r="T13" s="93"/>
      <c r="U13" s="88"/>
      <c r="V13" s="87"/>
    </row>
    <row r="14" spans="1:21" s="15" customFormat="1" ht="54.75" customHeight="1">
      <c r="A14" s="209"/>
      <c r="B14" s="282" t="s">
        <v>34</v>
      </c>
      <c r="C14" s="297"/>
      <c r="D14" s="298"/>
      <c r="E14" s="210">
        <v>968.6</v>
      </c>
      <c r="F14" s="211">
        <v>510</v>
      </c>
      <c r="G14" s="246">
        <f>F14*F46</f>
        <v>2808207.9</v>
      </c>
      <c r="H14" s="213">
        <v>347.1</v>
      </c>
      <c r="I14" s="214">
        <v>150</v>
      </c>
      <c r="J14" s="246">
        <f>I14*F46</f>
        <v>825943.5</v>
      </c>
      <c r="K14" s="213">
        <v>138.9</v>
      </c>
      <c r="L14" s="214">
        <v>50</v>
      </c>
      <c r="M14" s="246">
        <f>L14*G46</f>
        <v>291314.5</v>
      </c>
      <c r="N14" s="213">
        <v>879.1</v>
      </c>
      <c r="O14" s="214">
        <v>290</v>
      </c>
      <c r="P14" s="246">
        <f>O14*G46</f>
        <v>1689624.1</v>
      </c>
      <c r="Q14" s="213">
        <f t="shared" si="0"/>
        <v>1000</v>
      </c>
      <c r="R14" s="212">
        <f t="shared" si="0"/>
        <v>5615090</v>
      </c>
      <c r="S14" s="60" t="s">
        <v>78</v>
      </c>
      <c r="T14" s="14"/>
      <c r="U14" s="14"/>
    </row>
    <row r="15" spans="1:22" ht="48" customHeight="1">
      <c r="A15" s="215"/>
      <c r="B15" s="282" t="s">
        <v>35</v>
      </c>
      <c r="C15" s="297"/>
      <c r="D15" s="298"/>
      <c r="E15" s="210">
        <v>275.5</v>
      </c>
      <c r="F15" s="211">
        <v>260.8</v>
      </c>
      <c r="G15" s="248">
        <f>F15*F46</f>
        <v>1436040.432</v>
      </c>
      <c r="H15" s="213">
        <v>101.3</v>
      </c>
      <c r="I15" s="214">
        <v>82.4</v>
      </c>
      <c r="J15" s="246">
        <f>I15*F46</f>
        <v>453718.29600000003</v>
      </c>
      <c r="K15" s="213">
        <v>40.3</v>
      </c>
      <c r="L15" s="214">
        <v>24.8</v>
      </c>
      <c r="M15" s="246">
        <f>L15*G46</f>
        <v>144491.992</v>
      </c>
      <c r="N15" s="213">
        <v>245.5</v>
      </c>
      <c r="O15" s="214">
        <v>214.4</v>
      </c>
      <c r="P15" s="246">
        <f>O15*G46</f>
        <v>1249156.5760000001</v>
      </c>
      <c r="Q15" s="213">
        <f t="shared" si="0"/>
        <v>582.4000000000001</v>
      </c>
      <c r="R15" s="212">
        <f t="shared" si="0"/>
        <v>3283407.296</v>
      </c>
      <c r="S15" s="60"/>
      <c r="T15" s="10"/>
      <c r="U15" s="8"/>
      <c r="V15" s="9"/>
    </row>
    <row r="16" spans="1:22" ht="38.25" customHeight="1">
      <c r="A16" s="215"/>
      <c r="B16" s="282" t="s">
        <v>36</v>
      </c>
      <c r="C16" s="297"/>
      <c r="D16" s="298"/>
      <c r="E16" s="210">
        <v>1020.1</v>
      </c>
      <c r="F16" s="211">
        <v>874.5</v>
      </c>
      <c r="G16" s="246">
        <f>F16*F46</f>
        <v>4815250.6049999995</v>
      </c>
      <c r="H16" s="213">
        <v>343</v>
      </c>
      <c r="I16" s="214">
        <v>313.8</v>
      </c>
      <c r="J16" s="246">
        <f>I16*F46</f>
        <v>1727873.8020000001</v>
      </c>
      <c r="K16" s="213">
        <v>122.2</v>
      </c>
      <c r="L16" s="214">
        <v>95.1</v>
      </c>
      <c r="M16" s="246">
        <f>L16*G46</f>
        <v>554080.179</v>
      </c>
      <c r="N16" s="213">
        <v>920.9</v>
      </c>
      <c r="O16" s="214">
        <v>816.6</v>
      </c>
      <c r="P16" s="246">
        <f>O16*G46</f>
        <v>4757748.414</v>
      </c>
      <c r="Q16" s="213">
        <f t="shared" si="0"/>
        <v>2100</v>
      </c>
      <c r="R16" s="212">
        <f t="shared" si="0"/>
        <v>11854953</v>
      </c>
      <c r="S16" s="60" t="s">
        <v>78</v>
      </c>
      <c r="T16" s="10"/>
      <c r="U16" s="8"/>
      <c r="V16" s="9"/>
    </row>
    <row r="17" spans="1:22" ht="35.25" customHeight="1">
      <c r="A17" s="216"/>
      <c r="B17" s="282" t="s">
        <v>37</v>
      </c>
      <c r="C17" s="297"/>
      <c r="D17" s="298"/>
      <c r="E17" s="217">
        <v>186.3</v>
      </c>
      <c r="F17" s="211">
        <v>215.9</v>
      </c>
      <c r="G17" s="246">
        <f>F17*F46</f>
        <v>1188808.011</v>
      </c>
      <c r="H17" s="213">
        <v>55.3</v>
      </c>
      <c r="I17" s="214">
        <v>74.5</v>
      </c>
      <c r="J17" s="246">
        <f>I17*F46</f>
        <v>410218.605</v>
      </c>
      <c r="K17" s="213">
        <v>2.8</v>
      </c>
      <c r="L17" s="214">
        <v>24.7</v>
      </c>
      <c r="M17" s="246">
        <f>L17*G46</f>
        <v>143909.36299999998</v>
      </c>
      <c r="N17" s="213">
        <v>158.5</v>
      </c>
      <c r="O17" s="214">
        <v>181.1</v>
      </c>
      <c r="P17" s="246">
        <f>O17*G46</f>
        <v>1055141.119</v>
      </c>
      <c r="Q17" s="213">
        <f aca="true" t="shared" si="2" ref="Q17:R22">F17+I17+L17+O17</f>
        <v>496.19999999999993</v>
      </c>
      <c r="R17" s="212">
        <f t="shared" si="2"/>
        <v>2798077.0979999998</v>
      </c>
      <c r="S17" s="60"/>
      <c r="T17" s="10"/>
      <c r="U17" s="8"/>
      <c r="V17" s="9"/>
    </row>
    <row r="18" spans="1:22" ht="30" customHeight="1">
      <c r="A18" s="216"/>
      <c r="B18" s="282" t="s">
        <v>38</v>
      </c>
      <c r="C18" s="297"/>
      <c r="D18" s="298"/>
      <c r="E18" s="217">
        <v>619</v>
      </c>
      <c r="F18" s="211">
        <v>550.4</v>
      </c>
      <c r="G18" s="246">
        <f>F18*F46</f>
        <v>3030662.016</v>
      </c>
      <c r="H18" s="213">
        <v>532.4</v>
      </c>
      <c r="I18" s="214">
        <v>193.1</v>
      </c>
      <c r="J18" s="246">
        <f>I18*F46</f>
        <v>1063264.599</v>
      </c>
      <c r="K18" s="213">
        <v>142.3</v>
      </c>
      <c r="L18" s="214">
        <v>65</v>
      </c>
      <c r="M18" s="246">
        <f>L18*G46</f>
        <v>378708.85</v>
      </c>
      <c r="N18" s="213">
        <v>646.5</v>
      </c>
      <c r="O18" s="214">
        <v>463.1</v>
      </c>
      <c r="P18" s="246">
        <f>O18*G46</f>
        <v>2698154.899</v>
      </c>
      <c r="Q18" s="213">
        <f t="shared" si="2"/>
        <v>1271.6</v>
      </c>
      <c r="R18" s="212">
        <v>7170790.37</v>
      </c>
      <c r="S18" s="60"/>
      <c r="T18" s="10"/>
      <c r="U18" s="8"/>
      <c r="V18" s="9"/>
    </row>
    <row r="19" spans="1:22" ht="52.5" customHeight="1">
      <c r="A19" s="216"/>
      <c r="B19" s="282" t="s">
        <v>39</v>
      </c>
      <c r="C19" s="297"/>
      <c r="D19" s="298"/>
      <c r="E19" s="217">
        <v>277.52</v>
      </c>
      <c r="F19" s="218">
        <v>201.86</v>
      </c>
      <c r="G19" s="246">
        <f>F19*F46</f>
        <v>1111499.6994</v>
      </c>
      <c r="H19" s="213">
        <v>129</v>
      </c>
      <c r="I19" s="219">
        <v>160.27</v>
      </c>
      <c r="J19" s="246">
        <f>I19*F46</f>
        <v>882493.0983000001</v>
      </c>
      <c r="K19" s="213">
        <v>7.2</v>
      </c>
      <c r="L19" s="220">
        <v>24.374</v>
      </c>
      <c r="M19" s="246">
        <f>L19*G46</f>
        <v>142009.99245999998</v>
      </c>
      <c r="N19" s="213">
        <v>182.6</v>
      </c>
      <c r="O19" s="220">
        <v>228.491</v>
      </c>
      <c r="P19" s="246">
        <f>O19*G46</f>
        <v>1331254.8283900002</v>
      </c>
      <c r="Q19" s="213">
        <f t="shared" si="2"/>
        <v>614.995</v>
      </c>
      <c r="R19" s="212">
        <f t="shared" si="2"/>
        <v>3467257.61855</v>
      </c>
      <c r="S19" s="61" t="s">
        <v>78</v>
      </c>
      <c r="T19" s="10"/>
      <c r="U19" s="8"/>
      <c r="V19" s="9"/>
    </row>
    <row r="20" spans="1:22" s="89" customFormat="1" ht="30.75" customHeight="1">
      <c r="A20" s="203">
        <v>3</v>
      </c>
      <c r="B20" s="299" t="s">
        <v>42</v>
      </c>
      <c r="C20" s="300"/>
      <c r="D20" s="301"/>
      <c r="E20" s="221"/>
      <c r="F20" s="222">
        <f aca="true" t="shared" si="3" ref="F20:P20">SUM(F21:F22)</f>
        <v>289.341</v>
      </c>
      <c r="G20" s="206">
        <f t="shared" si="3"/>
        <v>1593195.45489</v>
      </c>
      <c r="H20" s="207">
        <f t="shared" si="3"/>
        <v>0</v>
      </c>
      <c r="I20" s="223">
        <f t="shared" si="3"/>
        <v>125.13300000000001</v>
      </c>
      <c r="J20" s="206">
        <f t="shared" si="3"/>
        <v>689018.58657</v>
      </c>
      <c r="K20" s="207">
        <f t="shared" si="3"/>
        <v>0</v>
      </c>
      <c r="L20" s="223">
        <f t="shared" si="3"/>
        <v>58.668</v>
      </c>
      <c r="M20" s="206">
        <f t="shared" si="3"/>
        <v>341816.78171999997</v>
      </c>
      <c r="N20" s="207">
        <f t="shared" si="3"/>
        <v>0</v>
      </c>
      <c r="O20" s="223">
        <f t="shared" si="3"/>
        <v>249.341</v>
      </c>
      <c r="P20" s="245">
        <f t="shared" si="3"/>
        <v>1452732.97489</v>
      </c>
      <c r="Q20" s="224">
        <f>SUM(Q21:Q22)</f>
        <v>722.4830000000001</v>
      </c>
      <c r="R20" s="206">
        <f>SUM(R21:R22)</f>
        <v>4076763.78</v>
      </c>
      <c r="S20" s="86"/>
      <c r="T20" s="93"/>
      <c r="U20" s="88"/>
      <c r="V20" s="87"/>
    </row>
    <row r="21" spans="1:22" s="89" customFormat="1" ht="30.75" customHeight="1">
      <c r="A21" s="215"/>
      <c r="B21" s="282" t="s">
        <v>98</v>
      </c>
      <c r="C21" s="283"/>
      <c r="D21" s="284"/>
      <c r="E21" s="217"/>
      <c r="F21" s="236">
        <v>272.673</v>
      </c>
      <c r="G21" s="212">
        <f>F21*F46</f>
        <v>1501416.61317</v>
      </c>
      <c r="H21" s="213"/>
      <c r="I21" s="242">
        <v>108.465</v>
      </c>
      <c r="J21" s="212">
        <f>I21*F46</f>
        <v>597239.74485</v>
      </c>
      <c r="K21" s="213"/>
      <c r="L21" s="242">
        <v>42</v>
      </c>
      <c r="M21" s="212">
        <f>L21*G46</f>
        <v>244704.18</v>
      </c>
      <c r="N21" s="213"/>
      <c r="O21" s="242">
        <v>232.673</v>
      </c>
      <c r="P21" s="246">
        <f>O21*G46</f>
        <v>1355620.37317</v>
      </c>
      <c r="Q21" s="243">
        <f t="shared" si="2"/>
        <v>655.811</v>
      </c>
      <c r="R21" s="212">
        <v>3698980.9</v>
      </c>
      <c r="S21" s="86"/>
      <c r="T21" s="93"/>
      <c r="U21" s="88"/>
      <c r="V21" s="87"/>
    </row>
    <row r="22" spans="1:22" s="89" customFormat="1" ht="30.75" customHeight="1">
      <c r="A22" s="215"/>
      <c r="B22" s="282" t="s">
        <v>99</v>
      </c>
      <c r="C22" s="283"/>
      <c r="D22" s="284"/>
      <c r="E22" s="217"/>
      <c r="F22" s="236">
        <v>16.668</v>
      </c>
      <c r="G22" s="212">
        <f>F22*F46</f>
        <v>91778.84172</v>
      </c>
      <c r="H22" s="213"/>
      <c r="I22" s="242">
        <v>16.668</v>
      </c>
      <c r="J22" s="212">
        <f>I22*F46</f>
        <v>91778.84172</v>
      </c>
      <c r="K22" s="213"/>
      <c r="L22" s="242">
        <v>16.668</v>
      </c>
      <c r="M22" s="212">
        <f>L22*G46</f>
        <v>97112.60171999999</v>
      </c>
      <c r="N22" s="213"/>
      <c r="O22" s="242">
        <v>16.668</v>
      </c>
      <c r="P22" s="246">
        <f>O22*G46</f>
        <v>97112.60171999999</v>
      </c>
      <c r="Q22" s="243">
        <f t="shared" si="2"/>
        <v>66.672</v>
      </c>
      <c r="R22" s="212">
        <v>377782.88</v>
      </c>
      <c r="S22" s="86"/>
      <c r="T22" s="93"/>
      <c r="U22" s="88"/>
      <c r="V22" s="87"/>
    </row>
    <row r="23" spans="1:22" s="89" customFormat="1" ht="39" customHeight="1">
      <c r="A23" s="203">
        <v>4</v>
      </c>
      <c r="B23" s="299" t="s">
        <v>43</v>
      </c>
      <c r="C23" s="300"/>
      <c r="D23" s="301"/>
      <c r="E23" s="221"/>
      <c r="F23" s="205">
        <f>F24</f>
        <v>38.5</v>
      </c>
      <c r="G23" s="206">
        <f aca="true" t="shared" si="4" ref="G23:R23">G24</f>
        <v>211992.165</v>
      </c>
      <c r="H23" s="207">
        <f t="shared" si="4"/>
        <v>0</v>
      </c>
      <c r="I23" s="208">
        <f t="shared" si="4"/>
        <v>12.6</v>
      </c>
      <c r="J23" s="206">
        <f t="shared" si="4"/>
        <v>69379.254</v>
      </c>
      <c r="K23" s="207">
        <f t="shared" si="4"/>
        <v>0</v>
      </c>
      <c r="L23" s="208">
        <f t="shared" si="4"/>
        <v>4</v>
      </c>
      <c r="M23" s="206">
        <f t="shared" si="4"/>
        <v>23305.16</v>
      </c>
      <c r="N23" s="207">
        <f t="shared" si="4"/>
        <v>0</v>
      </c>
      <c r="O23" s="208">
        <f t="shared" si="4"/>
        <v>32</v>
      </c>
      <c r="P23" s="245">
        <f t="shared" si="4"/>
        <v>186441.28</v>
      </c>
      <c r="Q23" s="207">
        <f t="shared" si="4"/>
        <v>87.1</v>
      </c>
      <c r="R23" s="206">
        <f t="shared" si="4"/>
        <v>491117.85899999994</v>
      </c>
      <c r="S23" s="86"/>
      <c r="T23" s="88"/>
      <c r="U23" s="88"/>
      <c r="V23" s="87"/>
    </row>
    <row r="24" spans="1:22" ht="32.25" customHeight="1">
      <c r="A24" s="330"/>
      <c r="B24" s="274" t="s">
        <v>44</v>
      </c>
      <c r="C24" s="331"/>
      <c r="D24" s="332"/>
      <c r="E24" s="217"/>
      <c r="F24" s="341">
        <v>38.5</v>
      </c>
      <c r="G24" s="340">
        <f>F24*F46</f>
        <v>211992.165</v>
      </c>
      <c r="H24" s="213"/>
      <c r="I24" s="343">
        <v>12.6</v>
      </c>
      <c r="J24" s="340">
        <f>I24*F46</f>
        <v>69379.254</v>
      </c>
      <c r="K24" s="213"/>
      <c r="L24" s="343">
        <v>4</v>
      </c>
      <c r="M24" s="340">
        <f>L24*G46</f>
        <v>23305.16</v>
      </c>
      <c r="N24" s="213"/>
      <c r="O24" s="343">
        <v>32</v>
      </c>
      <c r="P24" s="344">
        <f>O24*G46</f>
        <v>186441.28</v>
      </c>
      <c r="Q24" s="321">
        <f aca="true" t="shared" si="5" ref="Q24:R26">F24+I24+L24+O24</f>
        <v>87.1</v>
      </c>
      <c r="R24" s="340">
        <f t="shared" si="5"/>
        <v>491117.85899999994</v>
      </c>
      <c r="S24" s="60" t="s">
        <v>79</v>
      </c>
      <c r="T24" s="8"/>
      <c r="U24" s="8"/>
      <c r="V24" s="9"/>
    </row>
    <row r="25" spans="1:22" ht="34.5" customHeight="1" hidden="1">
      <c r="A25" s="322"/>
      <c r="B25" s="276"/>
      <c r="C25" s="277"/>
      <c r="D25" s="333"/>
      <c r="E25" s="217"/>
      <c r="F25" s="342"/>
      <c r="G25" s="322"/>
      <c r="H25" s="213"/>
      <c r="I25" s="322"/>
      <c r="J25" s="322"/>
      <c r="K25" s="213"/>
      <c r="L25" s="322"/>
      <c r="M25" s="322"/>
      <c r="N25" s="213"/>
      <c r="O25" s="322"/>
      <c r="P25" s="345"/>
      <c r="Q25" s="322"/>
      <c r="R25" s="322"/>
      <c r="S25" s="60"/>
      <c r="T25" s="8"/>
      <c r="U25" s="8"/>
      <c r="V25" s="9"/>
    </row>
    <row r="26" spans="1:22" ht="32.25" customHeight="1" hidden="1">
      <c r="A26" s="216"/>
      <c r="B26" s="282" t="s">
        <v>46</v>
      </c>
      <c r="C26" s="297"/>
      <c r="D26" s="298"/>
      <c r="E26" s="217"/>
      <c r="F26" s="211"/>
      <c r="G26" s="212">
        <f>F26*F46</f>
        <v>0</v>
      </c>
      <c r="H26" s="213"/>
      <c r="I26" s="214"/>
      <c r="J26" s="212">
        <f>I26*F46</f>
        <v>0</v>
      </c>
      <c r="K26" s="213"/>
      <c r="L26" s="214"/>
      <c r="M26" s="212">
        <f>L26*G46</f>
        <v>0</v>
      </c>
      <c r="N26" s="213"/>
      <c r="O26" s="214"/>
      <c r="P26" s="246">
        <f>O26*G46</f>
        <v>0</v>
      </c>
      <c r="Q26" s="213">
        <f t="shared" si="5"/>
        <v>0</v>
      </c>
      <c r="R26" s="212">
        <f t="shared" si="5"/>
        <v>0</v>
      </c>
      <c r="S26" s="60"/>
      <c r="T26" s="8"/>
      <c r="U26" s="8"/>
      <c r="V26" s="9"/>
    </row>
    <row r="27" spans="1:22" s="89" customFormat="1" ht="56.25" customHeight="1">
      <c r="A27" s="203">
        <v>5</v>
      </c>
      <c r="B27" s="299" t="s">
        <v>47</v>
      </c>
      <c r="C27" s="300"/>
      <c r="D27" s="301"/>
      <c r="E27" s="221"/>
      <c r="F27" s="205">
        <f>F28+F29+F30+F31</f>
        <v>587.9200000000001</v>
      </c>
      <c r="G27" s="206">
        <f>G28+G29+G30+G31</f>
        <v>3237258.0168</v>
      </c>
      <c r="H27" s="207"/>
      <c r="I27" s="208">
        <f>I28+I29+I30+I31</f>
        <v>226.71999999999997</v>
      </c>
      <c r="J27" s="206">
        <f>J28+J29+J30+J31</f>
        <v>1248386.0688</v>
      </c>
      <c r="K27" s="207"/>
      <c r="L27" s="208">
        <f>L28+L29+L30+L31</f>
        <v>113.22</v>
      </c>
      <c r="M27" s="206">
        <f>M28+M29+M30+M31</f>
        <v>659652.5538</v>
      </c>
      <c r="N27" s="207"/>
      <c r="O27" s="208">
        <f>O28+O29+O30+O31</f>
        <v>440.49</v>
      </c>
      <c r="P27" s="245">
        <f>P28+P29+P30+P31</f>
        <v>2566422.4821</v>
      </c>
      <c r="Q27" s="207">
        <f>Q28+Q29+Q30+Q31</f>
        <v>1368.3500000000001</v>
      </c>
      <c r="R27" s="206">
        <f>R28+R29+R30+R31</f>
        <v>7711719.1027</v>
      </c>
      <c r="S27" s="86"/>
      <c r="T27" s="88"/>
      <c r="U27" s="88"/>
      <c r="V27" s="87"/>
    </row>
    <row r="28" spans="1:22" ht="39" customHeight="1">
      <c r="A28" s="216"/>
      <c r="B28" s="282" t="s">
        <v>48</v>
      </c>
      <c r="C28" s="297"/>
      <c r="D28" s="298"/>
      <c r="E28" s="217"/>
      <c r="F28" s="211">
        <v>12.43</v>
      </c>
      <c r="G28" s="212">
        <f>F28*F46</f>
        <v>68443.1847</v>
      </c>
      <c r="H28" s="213"/>
      <c r="I28" s="214">
        <v>12.43</v>
      </c>
      <c r="J28" s="212">
        <f>I28*F46</f>
        <v>68443.1847</v>
      </c>
      <c r="K28" s="213"/>
      <c r="L28" s="214">
        <v>12.43</v>
      </c>
      <c r="M28" s="212">
        <f>L28*G46</f>
        <v>72420.7847</v>
      </c>
      <c r="N28" s="213"/>
      <c r="O28" s="214">
        <v>12.43</v>
      </c>
      <c r="P28" s="246">
        <f>O28*G46</f>
        <v>72420.7847</v>
      </c>
      <c r="Q28" s="213">
        <f aca="true" t="shared" si="6" ref="Q28:R30">F28+I28+L28+O28</f>
        <v>49.72</v>
      </c>
      <c r="R28" s="212">
        <v>281727.92</v>
      </c>
      <c r="S28" s="60"/>
      <c r="T28" s="8"/>
      <c r="U28" s="8"/>
      <c r="V28" s="9"/>
    </row>
    <row r="29" spans="1:22" ht="34.5" customHeight="1">
      <c r="A29" s="216"/>
      <c r="B29" s="282" t="s">
        <v>49</v>
      </c>
      <c r="C29" s="297"/>
      <c r="D29" s="298"/>
      <c r="E29" s="217"/>
      <c r="F29" s="211">
        <v>380.5</v>
      </c>
      <c r="G29" s="212">
        <f>F29*F46</f>
        <v>2095143.345</v>
      </c>
      <c r="H29" s="213"/>
      <c r="I29" s="214">
        <v>95.29</v>
      </c>
      <c r="J29" s="212">
        <f>I29*F46</f>
        <v>524694.3741</v>
      </c>
      <c r="K29" s="213"/>
      <c r="L29" s="214">
        <v>7.8</v>
      </c>
      <c r="M29" s="212">
        <f>L29*G46</f>
        <v>45445.062</v>
      </c>
      <c r="N29" s="213"/>
      <c r="O29" s="214">
        <v>256.07</v>
      </c>
      <c r="P29" s="246">
        <f>O29*G46</f>
        <v>1491938.0803</v>
      </c>
      <c r="Q29" s="213">
        <f t="shared" si="6"/>
        <v>739.6600000000001</v>
      </c>
      <c r="R29" s="212">
        <f t="shared" si="6"/>
        <v>4157220.8614</v>
      </c>
      <c r="S29" s="60"/>
      <c r="T29" s="8"/>
      <c r="U29" s="8"/>
      <c r="V29" s="9"/>
    </row>
    <row r="30" spans="1:22" ht="38.25" customHeight="1">
      <c r="A30" s="216"/>
      <c r="B30" s="282" t="s">
        <v>50</v>
      </c>
      <c r="C30" s="297"/>
      <c r="D30" s="298"/>
      <c r="E30" s="217"/>
      <c r="F30" s="211">
        <v>91.99</v>
      </c>
      <c r="G30" s="212">
        <f>F30*F46</f>
        <v>506523.6171</v>
      </c>
      <c r="H30" s="213"/>
      <c r="I30" s="214">
        <v>91.99</v>
      </c>
      <c r="J30" s="212">
        <f>I30*F46</f>
        <v>506523.6171</v>
      </c>
      <c r="K30" s="213"/>
      <c r="L30" s="214">
        <v>91.99</v>
      </c>
      <c r="M30" s="212">
        <f>L30*G46</f>
        <v>535960.4171</v>
      </c>
      <c r="N30" s="213"/>
      <c r="O30" s="214">
        <v>91.99</v>
      </c>
      <c r="P30" s="246">
        <f>O30*G46</f>
        <v>535960.4171</v>
      </c>
      <c r="Q30" s="213">
        <f t="shared" si="6"/>
        <v>367.96</v>
      </c>
      <c r="R30" s="212">
        <f t="shared" si="6"/>
        <v>2084968.0684</v>
      </c>
      <c r="S30" s="60"/>
      <c r="T30" s="8"/>
      <c r="U30" s="8"/>
      <c r="V30" s="9"/>
    </row>
    <row r="31" spans="1:22" ht="31.5" customHeight="1">
      <c r="A31" s="216"/>
      <c r="B31" s="282" t="s">
        <v>40</v>
      </c>
      <c r="C31" s="297"/>
      <c r="D31" s="298"/>
      <c r="E31" s="217">
        <v>112.1</v>
      </c>
      <c r="F31" s="211">
        <v>103</v>
      </c>
      <c r="G31" s="212">
        <f>F31*F46</f>
        <v>567147.87</v>
      </c>
      <c r="H31" s="213"/>
      <c r="I31" s="214">
        <v>27.01</v>
      </c>
      <c r="J31" s="212">
        <f>I31*F46</f>
        <v>148724.8929</v>
      </c>
      <c r="K31" s="213"/>
      <c r="L31" s="214">
        <v>1</v>
      </c>
      <c r="M31" s="212">
        <f>L31*G46</f>
        <v>5826.29</v>
      </c>
      <c r="N31" s="213"/>
      <c r="O31" s="214">
        <v>80</v>
      </c>
      <c r="P31" s="246">
        <f>O31*G46</f>
        <v>466103.2</v>
      </c>
      <c r="Q31" s="213">
        <f>F31+I31+L31+O31</f>
        <v>211.01</v>
      </c>
      <c r="R31" s="212">
        <f>G31+J31+M31+P31</f>
        <v>1187802.2529</v>
      </c>
      <c r="S31" s="60"/>
      <c r="T31" s="8"/>
      <c r="U31" s="8"/>
      <c r="V31" s="9"/>
    </row>
    <row r="32" spans="1:22" s="89" customFormat="1" ht="28.5" customHeight="1">
      <c r="A32" s="203">
        <v>6</v>
      </c>
      <c r="B32" s="299" t="s">
        <v>53</v>
      </c>
      <c r="C32" s="300"/>
      <c r="D32" s="301"/>
      <c r="E32" s="221"/>
      <c r="F32" s="205">
        <f>F33+F34+F35</f>
        <v>950.4</v>
      </c>
      <c r="G32" s="206">
        <f>G33+G34+G35</f>
        <v>5233178.016</v>
      </c>
      <c r="H32" s="207"/>
      <c r="I32" s="208">
        <f>I33+I34+I35</f>
        <v>315.2</v>
      </c>
      <c r="J32" s="206">
        <f>J33+J34+J35</f>
        <v>1735582.608</v>
      </c>
      <c r="K32" s="207"/>
      <c r="L32" s="208">
        <f>L33+L34+L35</f>
        <v>96.6</v>
      </c>
      <c r="M32" s="206">
        <f>M33+M34+M35</f>
        <v>562819.614</v>
      </c>
      <c r="N32" s="207"/>
      <c r="O32" s="208">
        <f>O33+O34+O35</f>
        <v>805.8</v>
      </c>
      <c r="P32" s="245">
        <f>P33+P34+P35</f>
        <v>4694824.482</v>
      </c>
      <c r="Q32" s="207">
        <f>Q33+Q34+Q35</f>
        <v>2168</v>
      </c>
      <c r="R32" s="206">
        <f>R33+R34+R35</f>
        <v>12226404.719999999</v>
      </c>
      <c r="S32" s="86"/>
      <c r="T32" s="88"/>
      <c r="U32" s="88"/>
      <c r="V32" s="87"/>
    </row>
    <row r="33" spans="1:22" ht="34.5" customHeight="1">
      <c r="A33" s="216"/>
      <c r="B33" s="282" t="s">
        <v>71</v>
      </c>
      <c r="C33" s="297"/>
      <c r="D33" s="298"/>
      <c r="E33" s="217"/>
      <c r="F33" s="211">
        <v>15</v>
      </c>
      <c r="G33" s="212">
        <f>F33*F46</f>
        <v>82594.35</v>
      </c>
      <c r="H33" s="213"/>
      <c r="I33" s="214">
        <v>6</v>
      </c>
      <c r="J33" s="212">
        <f>I33*F46</f>
        <v>33037.74</v>
      </c>
      <c r="K33" s="213"/>
      <c r="L33" s="214">
        <v>1</v>
      </c>
      <c r="M33" s="212">
        <f>L33*G46</f>
        <v>5826.29</v>
      </c>
      <c r="N33" s="213"/>
      <c r="O33" s="214">
        <v>28</v>
      </c>
      <c r="P33" s="246">
        <f>O33*G46</f>
        <v>163136.12</v>
      </c>
      <c r="Q33" s="213">
        <f aca="true" t="shared" si="7" ref="Q33:R42">F33+I33+L33+O33</f>
        <v>50</v>
      </c>
      <c r="R33" s="212">
        <f t="shared" si="7"/>
        <v>284594.5</v>
      </c>
      <c r="S33" s="60"/>
      <c r="T33" s="8"/>
      <c r="U33" s="8"/>
      <c r="V33" s="9"/>
    </row>
    <row r="34" spans="1:22" ht="31.5" customHeight="1">
      <c r="A34" s="216"/>
      <c r="B34" s="282" t="s">
        <v>55</v>
      </c>
      <c r="C34" s="297"/>
      <c r="D34" s="298"/>
      <c r="E34" s="217"/>
      <c r="F34" s="211">
        <v>144</v>
      </c>
      <c r="G34" s="246">
        <f>F34*F46</f>
        <v>792905.76</v>
      </c>
      <c r="H34" s="213"/>
      <c r="I34" s="214">
        <v>65</v>
      </c>
      <c r="J34" s="246">
        <f>I34*F46</f>
        <v>357908.85</v>
      </c>
      <c r="K34" s="213"/>
      <c r="L34" s="214">
        <v>13</v>
      </c>
      <c r="M34" s="246">
        <f>L34*G46</f>
        <v>75741.77</v>
      </c>
      <c r="N34" s="213"/>
      <c r="O34" s="214">
        <v>97</v>
      </c>
      <c r="P34" s="246">
        <f>O34*G46</f>
        <v>565150.13</v>
      </c>
      <c r="Q34" s="213">
        <f t="shared" si="7"/>
        <v>319</v>
      </c>
      <c r="R34" s="246">
        <f t="shared" si="7"/>
        <v>1791706.5099999998</v>
      </c>
      <c r="S34" s="60"/>
      <c r="T34" s="8"/>
      <c r="U34" s="8"/>
      <c r="V34" s="9"/>
    </row>
    <row r="35" spans="1:22" ht="33" customHeight="1">
      <c r="A35" s="216"/>
      <c r="B35" s="282" t="s">
        <v>82</v>
      </c>
      <c r="C35" s="297"/>
      <c r="D35" s="298"/>
      <c r="E35" s="217"/>
      <c r="F35" s="211">
        <v>791.4</v>
      </c>
      <c r="G35" s="212">
        <f>SUM(F35)*F46</f>
        <v>4357677.9059999995</v>
      </c>
      <c r="H35" s="213"/>
      <c r="I35" s="214">
        <v>244.2</v>
      </c>
      <c r="J35" s="212">
        <f>SUM(I35)*F46</f>
        <v>1344636.018</v>
      </c>
      <c r="K35" s="213"/>
      <c r="L35" s="214">
        <v>82.6</v>
      </c>
      <c r="M35" s="212">
        <f>SUM(L35)*G46</f>
        <v>481251.55399999995</v>
      </c>
      <c r="N35" s="213"/>
      <c r="O35" s="214">
        <v>680.8</v>
      </c>
      <c r="P35" s="246">
        <f>SUM(O35)*G46</f>
        <v>3966538.232</v>
      </c>
      <c r="Q35" s="213">
        <f t="shared" si="7"/>
        <v>1798.9999999999998</v>
      </c>
      <c r="R35" s="212">
        <f>SUM(G35)+J35+M35+P35</f>
        <v>10150103.709999999</v>
      </c>
      <c r="S35" s="60"/>
      <c r="T35" s="8"/>
      <c r="U35" s="8"/>
      <c r="V35" s="9"/>
    </row>
    <row r="36" spans="1:22" s="89" customFormat="1" ht="27" customHeight="1">
      <c r="A36" s="203">
        <v>7</v>
      </c>
      <c r="B36" s="299" t="s">
        <v>56</v>
      </c>
      <c r="C36" s="300"/>
      <c r="D36" s="301"/>
      <c r="E36" s="221"/>
      <c r="F36" s="222">
        <f>SUM(F37:F38)</f>
        <v>178.585</v>
      </c>
      <c r="G36" s="206">
        <f>SUM(G37:G38)</f>
        <v>983340.79965</v>
      </c>
      <c r="H36" s="207"/>
      <c r="I36" s="225">
        <f>SUM(I37:I38)</f>
        <v>111.495</v>
      </c>
      <c r="J36" s="206">
        <f>SUM(J37:J38)</f>
        <v>613923.80355</v>
      </c>
      <c r="K36" s="207"/>
      <c r="L36" s="225">
        <f>SUM(L37:L38)</f>
        <v>84.745</v>
      </c>
      <c r="M36" s="206">
        <f>SUM(M37:M38)</f>
        <v>493748.94604999997</v>
      </c>
      <c r="N36" s="207"/>
      <c r="O36" s="225">
        <f>SUM(O37:O38)</f>
        <v>162.385</v>
      </c>
      <c r="P36" s="245">
        <f>SUM(P37:P38)</f>
        <v>946102.10165</v>
      </c>
      <c r="Q36" s="207">
        <f>SUM(Q37:Q38)</f>
        <v>537.21</v>
      </c>
      <c r="R36" s="206">
        <f>SUM(R37:R38)</f>
        <v>3037115.65</v>
      </c>
      <c r="S36" s="86"/>
      <c r="T36" s="88"/>
      <c r="U36" s="88"/>
      <c r="V36" s="87"/>
    </row>
    <row r="37" spans="1:22" s="89" customFormat="1" ht="27" customHeight="1">
      <c r="A37" s="216"/>
      <c r="B37" s="282" t="s">
        <v>87</v>
      </c>
      <c r="C37" s="346"/>
      <c r="D37" s="347"/>
      <c r="E37" s="217"/>
      <c r="F37" s="236">
        <v>172.9</v>
      </c>
      <c r="G37" s="212">
        <f>SUM(F37)*F46</f>
        <v>952037.541</v>
      </c>
      <c r="H37" s="213"/>
      <c r="I37" s="237">
        <v>105.81</v>
      </c>
      <c r="J37" s="212">
        <f>SUM(I37)*F46</f>
        <v>582620.5449</v>
      </c>
      <c r="K37" s="213"/>
      <c r="L37" s="237">
        <v>79.06</v>
      </c>
      <c r="M37" s="212">
        <f>SUM(L37)*G46</f>
        <v>460626.4874</v>
      </c>
      <c r="N37" s="213"/>
      <c r="O37" s="237">
        <v>156.7</v>
      </c>
      <c r="P37" s="246">
        <f>SUM(O37)*G46</f>
        <v>912979.6429999999</v>
      </c>
      <c r="Q37" s="213">
        <f t="shared" si="7"/>
        <v>514.47</v>
      </c>
      <c r="R37" s="212">
        <v>2908264.21</v>
      </c>
      <c r="S37" s="86"/>
      <c r="T37" s="88"/>
      <c r="U37" s="88"/>
      <c r="V37" s="87"/>
    </row>
    <row r="38" spans="1:22" s="89" customFormat="1" ht="27" customHeight="1">
      <c r="A38" s="216"/>
      <c r="B38" s="282" t="s">
        <v>86</v>
      </c>
      <c r="C38" s="346"/>
      <c r="D38" s="347"/>
      <c r="E38" s="217"/>
      <c r="F38" s="236">
        <v>5.685</v>
      </c>
      <c r="G38" s="212">
        <f>SUM(F38)*F46</f>
        <v>31303.258649999996</v>
      </c>
      <c r="H38" s="213"/>
      <c r="I38" s="237">
        <v>5.685</v>
      </c>
      <c r="J38" s="212">
        <f>SUM(I38)*F46</f>
        <v>31303.258649999996</v>
      </c>
      <c r="K38" s="213"/>
      <c r="L38" s="237">
        <v>5.685</v>
      </c>
      <c r="M38" s="212">
        <f>SUM(L38)*G46</f>
        <v>33122.45865</v>
      </c>
      <c r="N38" s="213"/>
      <c r="O38" s="237">
        <v>5.685</v>
      </c>
      <c r="P38" s="246">
        <f>SUM(O38)*G46</f>
        <v>33122.45865</v>
      </c>
      <c r="Q38" s="213">
        <f t="shared" si="7"/>
        <v>22.74</v>
      </c>
      <c r="R38" s="212">
        <v>128851.44</v>
      </c>
      <c r="S38" s="86"/>
      <c r="T38" s="88"/>
      <c r="U38" s="88"/>
      <c r="V38" s="87"/>
    </row>
    <row r="39" spans="1:22" s="89" customFormat="1" ht="27" customHeight="1">
      <c r="A39" s="203">
        <v>8</v>
      </c>
      <c r="B39" s="318" t="s">
        <v>83</v>
      </c>
      <c r="C39" s="319"/>
      <c r="D39" s="320"/>
      <c r="E39" s="221"/>
      <c r="F39" s="222">
        <f>SUM(F40:F42)</f>
        <v>102.347</v>
      </c>
      <c r="G39" s="206">
        <f aca="true" t="shared" si="8" ref="G39:R39">SUM(G40:G42)</f>
        <v>562695.5771</v>
      </c>
      <c r="H39" s="207">
        <f t="shared" si="8"/>
        <v>0</v>
      </c>
      <c r="I39" s="225">
        <f t="shared" si="8"/>
        <v>90.681</v>
      </c>
      <c r="J39" s="206">
        <f t="shared" si="8"/>
        <v>498595.5696</v>
      </c>
      <c r="K39" s="207">
        <f t="shared" si="8"/>
        <v>0</v>
      </c>
      <c r="L39" s="225">
        <f t="shared" si="8"/>
        <v>8.949</v>
      </c>
      <c r="M39" s="206">
        <f t="shared" si="8"/>
        <v>49822.471900000004</v>
      </c>
      <c r="N39" s="207">
        <f t="shared" si="8"/>
        <v>0</v>
      </c>
      <c r="O39" s="225">
        <f t="shared" si="8"/>
        <v>116.56</v>
      </c>
      <c r="P39" s="245">
        <f t="shared" si="8"/>
        <v>678187.9363000001</v>
      </c>
      <c r="Q39" s="207">
        <f t="shared" si="8"/>
        <v>318.53700000000003</v>
      </c>
      <c r="R39" s="206">
        <f t="shared" si="8"/>
        <v>1789301.55</v>
      </c>
      <c r="S39" s="86"/>
      <c r="T39" s="88"/>
      <c r="U39" s="88"/>
      <c r="V39" s="87"/>
    </row>
    <row r="40" spans="1:22" s="89" customFormat="1" ht="27" customHeight="1">
      <c r="A40" s="203"/>
      <c r="B40" s="282" t="s">
        <v>84</v>
      </c>
      <c r="C40" s="297"/>
      <c r="D40" s="298"/>
      <c r="E40" s="221"/>
      <c r="F40" s="236">
        <v>4.25</v>
      </c>
      <c r="G40" s="212">
        <f>SUM(F40)*F46</f>
        <v>23401.7325</v>
      </c>
      <c r="H40" s="213"/>
      <c r="I40" s="237">
        <v>4.5</v>
      </c>
      <c r="J40" s="212">
        <f>SUM(I40)*F46</f>
        <v>24778.305</v>
      </c>
      <c r="K40" s="213"/>
      <c r="L40" s="237">
        <v>0.28</v>
      </c>
      <c r="M40" s="212">
        <f>SUM(L40)*G46</f>
        <v>1631.3612</v>
      </c>
      <c r="N40" s="213"/>
      <c r="O40" s="237">
        <v>4.5</v>
      </c>
      <c r="P40" s="246">
        <f>SUM(O40)*G46</f>
        <v>26218.305</v>
      </c>
      <c r="Q40" s="213">
        <f t="shared" si="7"/>
        <v>13.53</v>
      </c>
      <c r="R40" s="212">
        <v>76029.71</v>
      </c>
      <c r="S40" s="86"/>
      <c r="T40" s="88"/>
      <c r="U40" s="88"/>
      <c r="V40" s="87"/>
    </row>
    <row r="41" spans="1:22" s="89" customFormat="1" ht="27" customHeight="1">
      <c r="A41" s="203"/>
      <c r="B41" s="282" t="s">
        <v>85</v>
      </c>
      <c r="C41" s="297"/>
      <c r="D41" s="298"/>
      <c r="E41" s="221"/>
      <c r="F41" s="236">
        <v>73.74</v>
      </c>
      <c r="G41" s="212">
        <f>SUM(F41)*F46</f>
        <v>406033.8246</v>
      </c>
      <c r="H41" s="213"/>
      <c r="I41" s="237">
        <v>73.74</v>
      </c>
      <c r="J41" s="212">
        <f>SUM(I41)*F46</f>
        <v>406033.8246</v>
      </c>
      <c r="K41" s="213"/>
      <c r="L41" s="237">
        <v>4.83</v>
      </c>
      <c r="M41" s="212">
        <f>SUM(L41)*G46</f>
        <v>28140.9807</v>
      </c>
      <c r="N41" s="213"/>
      <c r="O41" s="237">
        <v>91.97</v>
      </c>
      <c r="P41" s="246">
        <f>SUM(O41)*G46</f>
        <v>535843.8913</v>
      </c>
      <c r="Q41" s="213">
        <f t="shared" si="7"/>
        <v>244.28</v>
      </c>
      <c r="R41" s="212">
        <v>1376052.51</v>
      </c>
      <c r="S41" s="86"/>
      <c r="T41" s="88"/>
      <c r="U41" s="88"/>
      <c r="V41" s="87"/>
    </row>
    <row r="42" spans="1:22" s="89" customFormat="1" ht="27" customHeight="1">
      <c r="A42" s="203"/>
      <c r="B42" s="251" t="s">
        <v>106</v>
      </c>
      <c r="C42" s="249"/>
      <c r="D42" s="250"/>
      <c r="E42" s="221"/>
      <c r="F42" s="236">
        <v>24.357</v>
      </c>
      <c r="G42" s="212">
        <v>133260.02</v>
      </c>
      <c r="H42" s="213"/>
      <c r="I42" s="237">
        <v>12.441</v>
      </c>
      <c r="J42" s="212">
        <v>67783.44</v>
      </c>
      <c r="K42" s="213"/>
      <c r="L42" s="237">
        <v>3.839</v>
      </c>
      <c r="M42" s="212">
        <v>20050.13</v>
      </c>
      <c r="N42" s="213"/>
      <c r="O42" s="237">
        <v>20.09</v>
      </c>
      <c r="P42" s="246">
        <v>116125.74</v>
      </c>
      <c r="Q42" s="253">
        <f t="shared" si="7"/>
        <v>60.727000000000004</v>
      </c>
      <c r="R42" s="212">
        <f>SUM(G42)+J42+M42+P42</f>
        <v>337219.33</v>
      </c>
      <c r="S42" s="86"/>
      <c r="T42" s="88"/>
      <c r="U42" s="88"/>
      <c r="V42" s="87"/>
    </row>
    <row r="43" spans="1:22" ht="26.25" customHeight="1">
      <c r="A43" s="216"/>
      <c r="B43" s="309" t="s">
        <v>19</v>
      </c>
      <c r="C43" s="310"/>
      <c r="D43" s="311"/>
      <c r="E43" s="210" t="e">
        <f>E12+#REF!+#REF!+E14+E15+E16+E17+E18+E19+E31+#REF!+#REF!+#REF!</f>
        <v>#REF!</v>
      </c>
      <c r="F43" s="226">
        <f aca="true" t="shared" si="9" ref="F43:R43">F12+F13+F20+F23+F27+F32+F36+F39</f>
        <v>4775.553</v>
      </c>
      <c r="G43" s="227">
        <f t="shared" si="9"/>
        <v>26294723.042839997</v>
      </c>
      <c r="H43" s="228">
        <f t="shared" si="9"/>
        <v>1516</v>
      </c>
      <c r="I43" s="226">
        <f t="shared" si="9"/>
        <v>1862.899</v>
      </c>
      <c r="J43" s="227">
        <f t="shared" si="9"/>
        <v>10256941.82082</v>
      </c>
      <c r="K43" s="228">
        <f t="shared" si="9"/>
        <v>456.59999999999997</v>
      </c>
      <c r="L43" s="226">
        <f t="shared" si="9"/>
        <v>651.156</v>
      </c>
      <c r="M43" s="227">
        <f t="shared" si="9"/>
        <v>3791506.69393</v>
      </c>
      <c r="N43" s="228">
        <f t="shared" si="9"/>
        <v>3053.7</v>
      </c>
      <c r="O43" s="226">
        <f t="shared" si="9"/>
        <v>4017.2670000000003</v>
      </c>
      <c r="P43" s="247">
        <f t="shared" si="9"/>
        <v>23404838.123329997</v>
      </c>
      <c r="Q43" s="228">
        <f t="shared" si="9"/>
        <v>11306.875</v>
      </c>
      <c r="R43" s="227">
        <f t="shared" si="9"/>
        <v>63748009.6517</v>
      </c>
      <c r="S43" s="62"/>
      <c r="T43" s="16"/>
      <c r="U43" s="9"/>
      <c r="V43" s="9"/>
    </row>
    <row r="44" spans="1:22" ht="25.5" customHeight="1">
      <c r="A44" s="229"/>
      <c r="B44" s="312" t="s">
        <v>8</v>
      </c>
      <c r="C44" s="313"/>
      <c r="D44" s="314"/>
      <c r="E44" s="315" t="s">
        <v>90</v>
      </c>
      <c r="F44" s="316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6"/>
      <c r="R44" s="317"/>
      <c r="T44" s="9"/>
      <c r="U44" s="9"/>
      <c r="V44" s="9"/>
    </row>
    <row r="45" spans="1:22" ht="15.75" customHeight="1">
      <c r="A45" s="17"/>
      <c r="B45" s="18"/>
      <c r="C45" s="119"/>
      <c r="D45" s="119"/>
      <c r="E45" s="120"/>
      <c r="F45" s="121"/>
      <c r="G45" s="122"/>
      <c r="H45" s="120"/>
      <c r="I45" s="120"/>
      <c r="J45" s="122"/>
      <c r="K45" s="19"/>
      <c r="L45" s="19"/>
      <c r="M45" s="98"/>
      <c r="N45" s="19"/>
      <c r="O45" s="19"/>
      <c r="P45" s="98"/>
      <c r="Q45" s="19"/>
      <c r="R45" s="98"/>
      <c r="T45" s="9"/>
      <c r="U45" s="9"/>
      <c r="V45" s="9"/>
    </row>
    <row r="46" spans="1:22" ht="28.5" customHeight="1" hidden="1">
      <c r="A46" s="20"/>
      <c r="B46" s="21"/>
      <c r="C46" s="123"/>
      <c r="D46" s="124"/>
      <c r="E46" s="125" t="s">
        <v>11</v>
      </c>
      <c r="F46" s="126">
        <v>5506.29</v>
      </c>
      <c r="G46" s="127">
        <v>5826.29</v>
      </c>
      <c r="H46" s="125"/>
      <c r="I46" s="125"/>
      <c r="J46" s="128"/>
      <c r="K46" s="23"/>
      <c r="L46" s="23"/>
      <c r="M46" s="99"/>
      <c r="N46" s="24"/>
      <c r="O46" s="24"/>
      <c r="P46" s="99"/>
      <c r="Q46" s="24"/>
      <c r="R46" s="99"/>
      <c r="T46" s="9"/>
      <c r="U46" s="9"/>
      <c r="V46" s="9"/>
    </row>
    <row r="47" spans="1:22" ht="31.5" customHeight="1">
      <c r="A47" s="336" t="s">
        <v>91</v>
      </c>
      <c r="B47" s="336"/>
      <c r="C47" s="336"/>
      <c r="D47" s="336"/>
      <c r="E47" s="336"/>
      <c r="F47" s="336"/>
      <c r="G47" s="336"/>
      <c r="H47" s="336"/>
      <c r="I47" s="336"/>
      <c r="J47" s="336"/>
      <c r="K47" s="336"/>
      <c r="L47" s="336"/>
      <c r="M47" s="336"/>
      <c r="N47" s="336"/>
      <c r="O47" s="336"/>
      <c r="P47" s="336"/>
      <c r="Q47" s="336"/>
      <c r="R47" s="336"/>
      <c r="T47" s="9"/>
      <c r="U47" s="9"/>
      <c r="V47" s="9"/>
    </row>
    <row r="48" spans="1:22" ht="27.75" customHeight="1">
      <c r="A48" s="267" t="s">
        <v>15</v>
      </c>
      <c r="B48" s="268" t="s">
        <v>0</v>
      </c>
      <c r="C48" s="269"/>
      <c r="D48" s="270"/>
      <c r="E48" s="278" t="s">
        <v>1</v>
      </c>
      <c r="F48" s="278"/>
      <c r="G48" s="278"/>
      <c r="H48" s="278" t="s">
        <v>3</v>
      </c>
      <c r="I48" s="278"/>
      <c r="J48" s="278"/>
      <c r="K48" s="278" t="s">
        <v>4</v>
      </c>
      <c r="L48" s="278"/>
      <c r="M48" s="278"/>
      <c r="N48" s="278" t="s">
        <v>6</v>
      </c>
      <c r="O48" s="278"/>
      <c r="P48" s="278"/>
      <c r="Q48" s="278" t="s">
        <v>7</v>
      </c>
      <c r="R48" s="278"/>
      <c r="T48" s="9"/>
      <c r="U48" s="9"/>
      <c r="V48" s="9"/>
    </row>
    <row r="49" spans="1:22" ht="30" customHeight="1">
      <c r="A49" s="267"/>
      <c r="B49" s="271"/>
      <c r="C49" s="272"/>
      <c r="D49" s="273"/>
      <c r="E49" s="57"/>
      <c r="F49" s="57" t="s">
        <v>9</v>
      </c>
      <c r="G49" s="100" t="s">
        <v>5</v>
      </c>
      <c r="H49" s="57" t="s">
        <v>9</v>
      </c>
      <c r="I49" s="57" t="s">
        <v>9</v>
      </c>
      <c r="J49" s="100" t="s">
        <v>5</v>
      </c>
      <c r="K49" s="57" t="s">
        <v>9</v>
      </c>
      <c r="L49" s="57" t="s">
        <v>9</v>
      </c>
      <c r="M49" s="100" t="s">
        <v>5</v>
      </c>
      <c r="N49" s="57" t="s">
        <v>9</v>
      </c>
      <c r="O49" s="57" t="s">
        <v>9</v>
      </c>
      <c r="P49" s="100" t="s">
        <v>5</v>
      </c>
      <c r="Q49" s="57" t="s">
        <v>9</v>
      </c>
      <c r="R49" s="100" t="s">
        <v>5</v>
      </c>
      <c r="T49" s="9"/>
      <c r="U49" s="9"/>
      <c r="V49" s="9"/>
    </row>
    <row r="50" spans="1:22" s="89" customFormat="1" ht="30" customHeight="1">
      <c r="A50" s="94">
        <v>1</v>
      </c>
      <c r="B50" s="303" t="s">
        <v>33</v>
      </c>
      <c r="C50" s="304"/>
      <c r="D50" s="305"/>
      <c r="E50" s="95">
        <v>1800</v>
      </c>
      <c r="F50" s="181">
        <v>1750</v>
      </c>
      <c r="G50" s="172">
        <f>F50*F82</f>
        <v>8260</v>
      </c>
      <c r="H50" s="172">
        <v>1200</v>
      </c>
      <c r="I50" s="181">
        <v>1750</v>
      </c>
      <c r="J50" s="172">
        <f>I50*F82</f>
        <v>8260</v>
      </c>
      <c r="K50" s="172">
        <v>1500</v>
      </c>
      <c r="L50" s="181">
        <v>1750</v>
      </c>
      <c r="M50" s="172">
        <f>L50*G82</f>
        <v>9457.699999999999</v>
      </c>
      <c r="N50" s="172">
        <v>1500</v>
      </c>
      <c r="O50" s="181">
        <v>1751.1</v>
      </c>
      <c r="P50" s="172">
        <f>O50*G82</f>
        <v>9463.644839999999</v>
      </c>
      <c r="Q50" s="172">
        <f>F50+I50+L50+O50</f>
        <v>7001.1</v>
      </c>
      <c r="R50" s="172">
        <f>G50+J50+M50+P50</f>
        <v>35441.34484</v>
      </c>
      <c r="S50" s="86"/>
      <c r="T50" s="87"/>
      <c r="U50" s="88"/>
      <c r="V50" s="87"/>
    </row>
    <row r="51" spans="1:22" s="89" customFormat="1" ht="30" customHeight="1">
      <c r="A51" s="96">
        <v>2</v>
      </c>
      <c r="B51" s="255" t="s">
        <v>41</v>
      </c>
      <c r="C51" s="256"/>
      <c r="D51" s="257"/>
      <c r="E51" s="95"/>
      <c r="F51" s="181">
        <f>F52+F53+F54+F55+F56+F57</f>
        <v>133250</v>
      </c>
      <c r="G51" s="172">
        <f aca="true" t="shared" si="10" ref="G51:R51">G52+G53+G54+G55+G56+G57</f>
        <v>628940</v>
      </c>
      <c r="H51" s="172">
        <f t="shared" si="10"/>
        <v>161000</v>
      </c>
      <c r="I51" s="181">
        <f t="shared" si="10"/>
        <v>113820</v>
      </c>
      <c r="J51" s="172">
        <f t="shared" si="10"/>
        <v>537230.4</v>
      </c>
      <c r="K51" s="172">
        <f t="shared" si="10"/>
        <v>168000</v>
      </c>
      <c r="L51" s="181">
        <f t="shared" si="10"/>
        <v>113149</v>
      </c>
      <c r="M51" s="172">
        <f t="shared" si="10"/>
        <v>611502.4556000001</v>
      </c>
      <c r="N51" s="172">
        <f t="shared" si="10"/>
        <v>244000</v>
      </c>
      <c r="O51" s="181">
        <f t="shared" si="10"/>
        <v>198010</v>
      </c>
      <c r="P51" s="172">
        <f t="shared" si="10"/>
        <v>1070125.244</v>
      </c>
      <c r="Q51" s="172">
        <f t="shared" si="10"/>
        <v>558229</v>
      </c>
      <c r="R51" s="172">
        <f t="shared" si="10"/>
        <v>2847798.0995999994</v>
      </c>
      <c r="S51" s="86"/>
      <c r="T51" s="87"/>
      <c r="U51" s="88"/>
      <c r="V51" s="87"/>
    </row>
    <row r="52" spans="1:21" s="15" customFormat="1" ht="64.5" customHeight="1">
      <c r="A52" s="28"/>
      <c r="B52" s="258" t="s">
        <v>34</v>
      </c>
      <c r="C52" s="259"/>
      <c r="D52" s="260"/>
      <c r="E52" s="12">
        <v>53000</v>
      </c>
      <c r="F52" s="176">
        <v>40000</v>
      </c>
      <c r="G52" s="174">
        <f>F52*F82</f>
        <v>188800</v>
      </c>
      <c r="H52" s="175">
        <v>36000</v>
      </c>
      <c r="I52" s="176">
        <v>30000</v>
      </c>
      <c r="J52" s="174">
        <f>I52*F82</f>
        <v>141600</v>
      </c>
      <c r="K52" s="175">
        <v>24000</v>
      </c>
      <c r="L52" s="176">
        <v>26600</v>
      </c>
      <c r="M52" s="174">
        <f>L52*G82</f>
        <v>143757.04</v>
      </c>
      <c r="N52" s="175">
        <v>50000</v>
      </c>
      <c r="O52" s="176">
        <v>64000</v>
      </c>
      <c r="P52" s="174">
        <f>O52*G82</f>
        <v>345881.6</v>
      </c>
      <c r="Q52" s="175">
        <f aca="true" t="shared" si="11" ref="Q52:Q57">F52+I52+L52+O52</f>
        <v>160600</v>
      </c>
      <c r="R52" s="174">
        <f aca="true" t="shared" si="12" ref="R52:R57">G52+J52+M52+P52</f>
        <v>820038.64</v>
      </c>
      <c r="S52" s="60" t="s">
        <v>78</v>
      </c>
      <c r="U52" s="14"/>
    </row>
    <row r="53" spans="1:22" ht="45.75" customHeight="1">
      <c r="A53" s="25"/>
      <c r="B53" s="306" t="s">
        <v>35</v>
      </c>
      <c r="C53" s="307"/>
      <c r="D53" s="308"/>
      <c r="E53" s="26">
        <v>27000</v>
      </c>
      <c r="F53" s="182">
        <v>23250</v>
      </c>
      <c r="G53" s="174">
        <f>F53*F82</f>
        <v>109740</v>
      </c>
      <c r="H53" s="174">
        <v>17000</v>
      </c>
      <c r="I53" s="182">
        <v>17820</v>
      </c>
      <c r="J53" s="174">
        <f>I53*F82</f>
        <v>84110.4</v>
      </c>
      <c r="K53" s="174">
        <v>19000</v>
      </c>
      <c r="L53" s="182">
        <v>18549</v>
      </c>
      <c r="M53" s="174">
        <f>L53*G82</f>
        <v>100246.2156</v>
      </c>
      <c r="N53" s="174">
        <v>41000</v>
      </c>
      <c r="O53" s="182">
        <v>35010</v>
      </c>
      <c r="P53" s="174">
        <f>O53*G82</f>
        <v>189208.044</v>
      </c>
      <c r="Q53" s="174">
        <f t="shared" si="11"/>
        <v>94629</v>
      </c>
      <c r="R53" s="174">
        <f t="shared" si="12"/>
        <v>483304.6596</v>
      </c>
      <c r="S53" s="60"/>
      <c r="T53" s="9"/>
      <c r="U53" s="8"/>
      <c r="V53" s="9"/>
    </row>
    <row r="54" spans="1:22" ht="54.75" customHeight="1">
      <c r="A54" s="28"/>
      <c r="B54" s="258" t="s">
        <v>36</v>
      </c>
      <c r="C54" s="259"/>
      <c r="D54" s="260"/>
      <c r="E54" s="12">
        <v>70000</v>
      </c>
      <c r="F54" s="176">
        <v>20000</v>
      </c>
      <c r="G54" s="174">
        <f>F54*F82</f>
        <v>94400</v>
      </c>
      <c r="H54" s="175">
        <v>55000</v>
      </c>
      <c r="I54" s="176">
        <v>20000</v>
      </c>
      <c r="J54" s="174">
        <f>I54*F82</f>
        <v>94400</v>
      </c>
      <c r="K54" s="175">
        <v>45000</v>
      </c>
      <c r="L54" s="176">
        <v>20000</v>
      </c>
      <c r="M54" s="174">
        <f>L54*G82</f>
        <v>108088</v>
      </c>
      <c r="N54" s="175">
        <v>70000</v>
      </c>
      <c r="O54" s="176">
        <v>30000</v>
      </c>
      <c r="P54" s="174">
        <f>O54*G82</f>
        <v>162132</v>
      </c>
      <c r="Q54" s="175">
        <f t="shared" si="11"/>
        <v>90000</v>
      </c>
      <c r="R54" s="174">
        <f t="shared" si="12"/>
        <v>459020</v>
      </c>
      <c r="S54" s="60" t="s">
        <v>78</v>
      </c>
      <c r="T54" s="9"/>
      <c r="U54" s="8"/>
      <c r="V54" s="9"/>
    </row>
    <row r="55" spans="1:22" ht="30.75" customHeight="1">
      <c r="A55" s="30"/>
      <c r="B55" s="291" t="s">
        <v>37</v>
      </c>
      <c r="C55" s="291"/>
      <c r="D55" s="291"/>
      <c r="E55" s="5">
        <v>17000</v>
      </c>
      <c r="F55" s="176">
        <v>20000</v>
      </c>
      <c r="G55" s="174">
        <f>F55*F82</f>
        <v>94400</v>
      </c>
      <c r="H55" s="175">
        <v>14000</v>
      </c>
      <c r="I55" s="176">
        <v>17000</v>
      </c>
      <c r="J55" s="174">
        <f>I55*F82</f>
        <v>80240</v>
      </c>
      <c r="K55" s="175">
        <v>13000</v>
      </c>
      <c r="L55" s="176">
        <v>16000</v>
      </c>
      <c r="M55" s="174">
        <f>L55*G82</f>
        <v>86470.4</v>
      </c>
      <c r="N55" s="175">
        <v>24000</v>
      </c>
      <c r="O55" s="176">
        <v>26000</v>
      </c>
      <c r="P55" s="174">
        <f>O55*G82</f>
        <v>140514.4</v>
      </c>
      <c r="Q55" s="175">
        <f t="shared" si="11"/>
        <v>79000</v>
      </c>
      <c r="R55" s="174">
        <f t="shared" si="12"/>
        <v>401624.8</v>
      </c>
      <c r="S55" s="60" t="s">
        <v>78</v>
      </c>
      <c r="T55" s="9"/>
      <c r="U55" s="8"/>
      <c r="V55" s="9"/>
    </row>
    <row r="56" spans="1:22" ht="38.25" customHeight="1">
      <c r="A56" s="30"/>
      <c r="B56" s="291" t="s">
        <v>38</v>
      </c>
      <c r="C56" s="291"/>
      <c r="D56" s="291"/>
      <c r="E56" s="5">
        <v>31000</v>
      </c>
      <c r="F56" s="176">
        <v>24000</v>
      </c>
      <c r="G56" s="174">
        <f>F56*F82</f>
        <v>113280</v>
      </c>
      <c r="H56" s="175">
        <v>27000</v>
      </c>
      <c r="I56" s="176">
        <v>23000</v>
      </c>
      <c r="J56" s="174">
        <f>I56*F82</f>
        <v>108560</v>
      </c>
      <c r="K56" s="175">
        <v>58000</v>
      </c>
      <c r="L56" s="176">
        <v>26000</v>
      </c>
      <c r="M56" s="174">
        <f>L56*G82</f>
        <v>140514.4</v>
      </c>
      <c r="N56" s="175">
        <v>44000</v>
      </c>
      <c r="O56" s="176">
        <v>37000</v>
      </c>
      <c r="P56" s="174">
        <f>O56*G82</f>
        <v>199962.8</v>
      </c>
      <c r="Q56" s="175">
        <f t="shared" si="11"/>
        <v>110000</v>
      </c>
      <c r="R56" s="174">
        <f t="shared" si="12"/>
        <v>562317.2</v>
      </c>
      <c r="S56" s="60" t="s">
        <v>78</v>
      </c>
      <c r="T56" s="9"/>
      <c r="U56" s="8"/>
      <c r="V56" s="9"/>
    </row>
    <row r="57" spans="1:22" ht="59.25" customHeight="1">
      <c r="A57" s="30"/>
      <c r="B57" s="291" t="s">
        <v>39</v>
      </c>
      <c r="C57" s="291"/>
      <c r="D57" s="291"/>
      <c r="E57" s="5">
        <v>8000</v>
      </c>
      <c r="F57" s="176">
        <v>6000</v>
      </c>
      <c r="G57" s="174">
        <f>F57*F82</f>
        <v>28320</v>
      </c>
      <c r="H57" s="175">
        <v>12000</v>
      </c>
      <c r="I57" s="176">
        <v>6000</v>
      </c>
      <c r="J57" s="174">
        <f>I57*F82</f>
        <v>28320</v>
      </c>
      <c r="K57" s="175">
        <v>9000</v>
      </c>
      <c r="L57" s="176">
        <v>6000</v>
      </c>
      <c r="M57" s="174">
        <f>L57*G82</f>
        <v>32426.399999999998</v>
      </c>
      <c r="N57" s="175">
        <v>15000</v>
      </c>
      <c r="O57" s="176">
        <v>6000</v>
      </c>
      <c r="P57" s="174">
        <f>O57*G82</f>
        <v>32426.399999999998</v>
      </c>
      <c r="Q57" s="175">
        <f t="shared" si="11"/>
        <v>24000</v>
      </c>
      <c r="R57" s="174">
        <f t="shared" si="12"/>
        <v>121492.79999999999</v>
      </c>
      <c r="S57" s="60" t="s">
        <v>78</v>
      </c>
      <c r="T57" s="9"/>
      <c r="U57" s="8"/>
      <c r="V57" s="9"/>
    </row>
    <row r="58" spans="1:22" s="89" customFormat="1" ht="27" customHeight="1">
      <c r="A58" s="96">
        <v>3</v>
      </c>
      <c r="B58" s="255" t="s">
        <v>42</v>
      </c>
      <c r="C58" s="256"/>
      <c r="D58" s="257"/>
      <c r="E58" s="83">
        <v>9000</v>
      </c>
      <c r="F58" s="173">
        <f>SUM(F59:F60)</f>
        <v>32644</v>
      </c>
      <c r="G58" s="172">
        <f aca="true" t="shared" si="13" ref="G58:R58">SUM(G59:G60)</f>
        <v>154079.68</v>
      </c>
      <c r="H58" s="85">
        <f t="shared" si="13"/>
        <v>0</v>
      </c>
      <c r="I58" s="173">
        <f t="shared" si="13"/>
        <v>22964</v>
      </c>
      <c r="J58" s="172">
        <f t="shared" si="13"/>
        <v>108390.07999999999</v>
      </c>
      <c r="K58" s="85">
        <f t="shared" si="13"/>
        <v>0</v>
      </c>
      <c r="L58" s="173">
        <f t="shared" si="13"/>
        <v>24392</v>
      </c>
      <c r="M58" s="172">
        <f t="shared" si="13"/>
        <v>131824.1248</v>
      </c>
      <c r="N58" s="85">
        <f t="shared" si="13"/>
        <v>0</v>
      </c>
      <c r="O58" s="173">
        <f t="shared" si="13"/>
        <v>34672</v>
      </c>
      <c r="P58" s="172">
        <f t="shared" si="13"/>
        <v>187381.3568</v>
      </c>
      <c r="Q58" s="85">
        <f t="shared" si="13"/>
        <v>114672</v>
      </c>
      <c r="R58" s="172">
        <f t="shared" si="13"/>
        <v>581675.2344</v>
      </c>
      <c r="S58" s="86"/>
      <c r="T58" s="87"/>
      <c r="U58" s="88"/>
      <c r="V58" s="87"/>
    </row>
    <row r="59" spans="1:22" s="89" customFormat="1" ht="27" customHeight="1">
      <c r="A59" s="28"/>
      <c r="B59" s="282" t="s">
        <v>98</v>
      </c>
      <c r="C59" s="283"/>
      <c r="D59" s="284"/>
      <c r="E59" s="5"/>
      <c r="F59" s="176">
        <v>26364</v>
      </c>
      <c r="G59" s="174">
        <f>F59*F82</f>
        <v>124438.07999999999</v>
      </c>
      <c r="H59" s="175"/>
      <c r="I59" s="176">
        <v>17104</v>
      </c>
      <c r="J59" s="174">
        <f>I59*F82</f>
        <v>80730.87999999999</v>
      </c>
      <c r="K59" s="175"/>
      <c r="L59" s="176">
        <v>18332</v>
      </c>
      <c r="M59" s="174">
        <f>L59*G82</f>
        <v>99073.4608</v>
      </c>
      <c r="N59" s="175"/>
      <c r="O59" s="176">
        <v>26394</v>
      </c>
      <c r="P59" s="174">
        <f>O59*G82</f>
        <v>142643.7336</v>
      </c>
      <c r="Q59" s="175">
        <f>F59+I59+L59+O59</f>
        <v>88194</v>
      </c>
      <c r="R59" s="174">
        <f>G59+J59+M59+P59</f>
        <v>446886.1544</v>
      </c>
      <c r="S59" s="86"/>
      <c r="T59" s="87"/>
      <c r="U59" s="88"/>
      <c r="V59" s="87"/>
    </row>
    <row r="60" spans="1:22" s="89" customFormat="1" ht="27" customHeight="1">
      <c r="A60" s="28"/>
      <c r="B60" s="282" t="s">
        <v>99</v>
      </c>
      <c r="C60" s="283"/>
      <c r="D60" s="284"/>
      <c r="E60" s="5"/>
      <c r="F60" s="176">
        <v>6280</v>
      </c>
      <c r="G60" s="174">
        <f>F60*F82</f>
        <v>29641.6</v>
      </c>
      <c r="H60" s="175"/>
      <c r="I60" s="176">
        <v>5860</v>
      </c>
      <c r="J60" s="174">
        <f>I60*F82</f>
        <v>27659.199999999997</v>
      </c>
      <c r="K60" s="175"/>
      <c r="L60" s="176">
        <v>6060</v>
      </c>
      <c r="M60" s="174">
        <f>L60*G82</f>
        <v>32750.664</v>
      </c>
      <c r="N60" s="175"/>
      <c r="O60" s="176">
        <v>8278</v>
      </c>
      <c r="P60" s="174">
        <f>O60*G82</f>
        <v>44737.6232</v>
      </c>
      <c r="Q60" s="175">
        <f>F60+I60+L60+O60</f>
        <v>26478</v>
      </c>
      <c r="R60" s="174">
        <v>134789.08</v>
      </c>
      <c r="S60" s="86"/>
      <c r="T60" s="87"/>
      <c r="U60" s="88"/>
      <c r="V60" s="87"/>
    </row>
    <row r="61" spans="1:22" s="89" customFormat="1" ht="28.5" customHeight="1">
      <c r="A61" s="96">
        <v>4</v>
      </c>
      <c r="B61" s="255" t="s">
        <v>43</v>
      </c>
      <c r="C61" s="256"/>
      <c r="D61" s="257"/>
      <c r="E61" s="83">
        <v>20000</v>
      </c>
      <c r="F61" s="173">
        <f>F62+F63+F64</f>
        <v>48495.8</v>
      </c>
      <c r="G61" s="172">
        <f aca="true" t="shared" si="14" ref="G61:R61">G62+G63+G64</f>
        <v>228900.17599999998</v>
      </c>
      <c r="H61" s="85">
        <f t="shared" si="14"/>
        <v>0</v>
      </c>
      <c r="I61" s="173">
        <f t="shared" si="14"/>
        <v>18430.3</v>
      </c>
      <c r="J61" s="172">
        <f t="shared" si="14"/>
        <v>86991.01599999999</v>
      </c>
      <c r="K61" s="85">
        <f t="shared" si="14"/>
        <v>0</v>
      </c>
      <c r="L61" s="173">
        <f t="shared" si="14"/>
        <v>13436.5</v>
      </c>
      <c r="M61" s="172">
        <f t="shared" si="14"/>
        <v>72616.2206</v>
      </c>
      <c r="N61" s="85">
        <f t="shared" si="14"/>
        <v>0</v>
      </c>
      <c r="O61" s="173">
        <f t="shared" si="14"/>
        <v>58719.1</v>
      </c>
      <c r="P61" s="172">
        <f t="shared" si="14"/>
        <v>317341.50403999997</v>
      </c>
      <c r="Q61" s="85">
        <f t="shared" si="14"/>
        <v>139081.7</v>
      </c>
      <c r="R61" s="172">
        <f t="shared" si="14"/>
        <v>705848.9328</v>
      </c>
      <c r="S61" s="86"/>
      <c r="T61" s="87"/>
      <c r="U61" s="88"/>
      <c r="V61" s="87"/>
    </row>
    <row r="62" spans="1:22" ht="37.5" customHeight="1">
      <c r="A62" s="30"/>
      <c r="B62" s="258" t="s">
        <v>44</v>
      </c>
      <c r="C62" s="259"/>
      <c r="D62" s="260"/>
      <c r="E62" s="5"/>
      <c r="F62" s="176">
        <v>5377.8</v>
      </c>
      <c r="G62" s="174">
        <f>F62*F82</f>
        <v>25383.216</v>
      </c>
      <c r="H62" s="175"/>
      <c r="I62" s="176">
        <v>4645.3</v>
      </c>
      <c r="J62" s="174">
        <f>I62*F82</f>
        <v>21925.816</v>
      </c>
      <c r="K62" s="175"/>
      <c r="L62" s="176">
        <v>4901.5</v>
      </c>
      <c r="M62" s="174">
        <f>L62*G82</f>
        <v>26489.6666</v>
      </c>
      <c r="N62" s="175"/>
      <c r="O62" s="176">
        <v>5942.1</v>
      </c>
      <c r="P62" s="174">
        <f>O62*G82</f>
        <v>32113.48524</v>
      </c>
      <c r="Q62" s="175">
        <f aca="true" t="shared" si="15" ref="Q62:R64">F62+I62+L62+O62</f>
        <v>20866.7</v>
      </c>
      <c r="R62" s="174">
        <v>105912.2</v>
      </c>
      <c r="S62" s="60" t="s">
        <v>79</v>
      </c>
      <c r="T62" s="9"/>
      <c r="U62" s="8"/>
      <c r="V62" s="9"/>
    </row>
    <row r="63" spans="1:22" ht="34.5" customHeight="1">
      <c r="A63" s="30"/>
      <c r="B63" s="258" t="s">
        <v>58</v>
      </c>
      <c r="C63" s="259"/>
      <c r="D63" s="260"/>
      <c r="E63" s="5">
        <v>29400</v>
      </c>
      <c r="F63" s="176">
        <v>36914</v>
      </c>
      <c r="G63" s="174">
        <f>F63*F82</f>
        <v>174234.08</v>
      </c>
      <c r="H63" s="175"/>
      <c r="I63" s="176">
        <v>11449</v>
      </c>
      <c r="J63" s="174">
        <f>I63*F82</f>
        <v>54039.28</v>
      </c>
      <c r="K63" s="175"/>
      <c r="L63" s="176">
        <v>5138</v>
      </c>
      <c r="M63" s="174">
        <f>L63*G82</f>
        <v>27767.8072</v>
      </c>
      <c r="N63" s="175"/>
      <c r="O63" s="176">
        <v>46542</v>
      </c>
      <c r="P63" s="174">
        <f>O63*G82</f>
        <v>251531.58479999998</v>
      </c>
      <c r="Q63" s="175">
        <f t="shared" si="15"/>
        <v>100043</v>
      </c>
      <c r="R63" s="174">
        <f t="shared" si="15"/>
        <v>507572.752</v>
      </c>
      <c r="S63" s="60"/>
      <c r="T63" s="9"/>
      <c r="U63" s="8"/>
      <c r="V63" s="9"/>
    </row>
    <row r="64" spans="1:22" ht="33" customHeight="1">
      <c r="A64" s="30"/>
      <c r="B64" s="258" t="s">
        <v>59</v>
      </c>
      <c r="C64" s="259"/>
      <c r="D64" s="260"/>
      <c r="E64" s="5"/>
      <c r="F64" s="176">
        <v>6204</v>
      </c>
      <c r="G64" s="174">
        <f>F64*F82</f>
        <v>29282.879999999997</v>
      </c>
      <c r="H64" s="175"/>
      <c r="I64" s="176">
        <v>2336</v>
      </c>
      <c r="J64" s="174">
        <f>I64*F82</f>
        <v>11025.92</v>
      </c>
      <c r="K64" s="175"/>
      <c r="L64" s="176">
        <v>3397</v>
      </c>
      <c r="M64" s="174">
        <f>L64*G82</f>
        <v>18358.7468</v>
      </c>
      <c r="N64" s="175"/>
      <c r="O64" s="176">
        <v>6235</v>
      </c>
      <c r="P64" s="174">
        <f>O64*G82</f>
        <v>33696.434</v>
      </c>
      <c r="Q64" s="175">
        <f t="shared" si="15"/>
        <v>18172</v>
      </c>
      <c r="R64" s="174">
        <f t="shared" si="15"/>
        <v>92363.98079999999</v>
      </c>
      <c r="S64" s="60"/>
      <c r="T64" s="9"/>
      <c r="U64" s="8"/>
      <c r="V64" s="9"/>
    </row>
    <row r="65" spans="1:22" s="89" customFormat="1" ht="27" customHeight="1">
      <c r="A65" s="96">
        <v>5</v>
      </c>
      <c r="B65" s="255" t="s">
        <v>47</v>
      </c>
      <c r="C65" s="256"/>
      <c r="D65" s="257"/>
      <c r="E65" s="90"/>
      <c r="F65" s="173">
        <f>F66+F67+F68+F69</f>
        <v>27639</v>
      </c>
      <c r="G65" s="172">
        <f aca="true" t="shared" si="16" ref="G65:R65">G66+G67+G68+G69</f>
        <v>130456.07999999999</v>
      </c>
      <c r="H65" s="85">
        <f t="shared" si="16"/>
        <v>0</v>
      </c>
      <c r="I65" s="173">
        <f t="shared" si="16"/>
        <v>24645</v>
      </c>
      <c r="J65" s="172">
        <f t="shared" si="16"/>
        <v>116324.40000000001</v>
      </c>
      <c r="K65" s="85">
        <f t="shared" si="16"/>
        <v>0</v>
      </c>
      <c r="L65" s="173">
        <f t="shared" si="16"/>
        <v>26938</v>
      </c>
      <c r="M65" s="172">
        <f t="shared" si="16"/>
        <v>145583.7272</v>
      </c>
      <c r="N65" s="85">
        <f t="shared" si="16"/>
        <v>0</v>
      </c>
      <c r="O65" s="173">
        <f t="shared" si="16"/>
        <v>29247</v>
      </c>
      <c r="P65" s="172">
        <f t="shared" si="16"/>
        <v>158062.48679999998</v>
      </c>
      <c r="Q65" s="85">
        <f t="shared" si="16"/>
        <v>108469</v>
      </c>
      <c r="R65" s="172">
        <f t="shared" si="16"/>
        <v>550426.694</v>
      </c>
      <c r="S65" s="86"/>
      <c r="T65" s="87"/>
      <c r="U65" s="88"/>
      <c r="V65" s="87"/>
    </row>
    <row r="66" spans="1:22" ht="33" customHeight="1">
      <c r="A66" s="30"/>
      <c r="B66" s="258" t="s">
        <v>48</v>
      </c>
      <c r="C66" s="259"/>
      <c r="D66" s="260"/>
      <c r="E66" s="5"/>
      <c r="F66" s="176">
        <v>3193</v>
      </c>
      <c r="G66" s="183">
        <f>F66*F82</f>
        <v>15070.96</v>
      </c>
      <c r="H66" s="175"/>
      <c r="I66" s="176">
        <v>2815</v>
      </c>
      <c r="J66" s="174">
        <f>I66*F82</f>
        <v>13286.8</v>
      </c>
      <c r="K66" s="175"/>
      <c r="L66" s="176">
        <v>2814</v>
      </c>
      <c r="M66" s="174">
        <f>L66*G82</f>
        <v>15207.9816</v>
      </c>
      <c r="N66" s="175"/>
      <c r="O66" s="176">
        <v>2588</v>
      </c>
      <c r="P66" s="174">
        <f>O66*G82</f>
        <v>13986.5872</v>
      </c>
      <c r="Q66" s="175">
        <f aca="true" t="shared" si="17" ref="Q66:R69">F66+I66+L66+O66</f>
        <v>11410</v>
      </c>
      <c r="R66" s="174">
        <f t="shared" si="17"/>
        <v>57552.328799999996</v>
      </c>
      <c r="S66" s="60"/>
      <c r="T66" s="9"/>
      <c r="U66" s="8"/>
      <c r="V66" s="9"/>
    </row>
    <row r="67" spans="1:22" ht="36" customHeight="1">
      <c r="A67" s="30"/>
      <c r="B67" s="258" t="s">
        <v>49</v>
      </c>
      <c r="C67" s="259"/>
      <c r="D67" s="260"/>
      <c r="E67" s="5"/>
      <c r="F67" s="176">
        <v>13050</v>
      </c>
      <c r="G67" s="174">
        <f>F67*F82</f>
        <v>61596</v>
      </c>
      <c r="H67" s="175"/>
      <c r="I67" s="176">
        <v>13050</v>
      </c>
      <c r="J67" s="174">
        <f>I67*F82</f>
        <v>61596</v>
      </c>
      <c r="K67" s="175"/>
      <c r="L67" s="176">
        <v>12950</v>
      </c>
      <c r="M67" s="174">
        <f>L67*G82</f>
        <v>69986.98</v>
      </c>
      <c r="N67" s="175"/>
      <c r="O67" s="176">
        <v>13682.38</v>
      </c>
      <c r="P67" s="174">
        <f>O67*G82</f>
        <v>73945.05447199999</v>
      </c>
      <c r="Q67" s="175">
        <f t="shared" si="17"/>
        <v>52732.38</v>
      </c>
      <c r="R67" s="174">
        <f t="shared" si="17"/>
        <v>267124.03447199997</v>
      </c>
      <c r="S67" s="60"/>
      <c r="T67" s="9"/>
      <c r="U67" s="8"/>
      <c r="V67" s="9"/>
    </row>
    <row r="68" spans="1:22" ht="34.5" customHeight="1">
      <c r="A68" s="30"/>
      <c r="B68" s="258" t="s">
        <v>50</v>
      </c>
      <c r="C68" s="259"/>
      <c r="D68" s="260"/>
      <c r="E68" s="5"/>
      <c r="F68" s="176">
        <v>8118</v>
      </c>
      <c r="G68" s="174">
        <f>F68*F82</f>
        <v>38316.96</v>
      </c>
      <c r="H68" s="175"/>
      <c r="I68" s="176">
        <v>7069</v>
      </c>
      <c r="J68" s="174">
        <f>I68*F82</f>
        <v>33365.68</v>
      </c>
      <c r="K68" s="175"/>
      <c r="L68" s="176">
        <v>8715</v>
      </c>
      <c r="M68" s="174">
        <f>L68*G82</f>
        <v>47099.346</v>
      </c>
      <c r="N68" s="175"/>
      <c r="O68" s="176">
        <v>9280.62</v>
      </c>
      <c r="P68" s="174">
        <f>O68*G82</f>
        <v>50156.182728</v>
      </c>
      <c r="Q68" s="175">
        <f t="shared" si="17"/>
        <v>33182.62</v>
      </c>
      <c r="R68" s="174">
        <f t="shared" si="17"/>
        <v>168938.16872800002</v>
      </c>
      <c r="S68" s="60"/>
      <c r="T68" s="9"/>
      <c r="U68" s="8"/>
      <c r="V68" s="9"/>
    </row>
    <row r="69" spans="1:22" ht="31.5" customHeight="1">
      <c r="A69" s="30"/>
      <c r="B69" s="291" t="s">
        <v>40</v>
      </c>
      <c r="C69" s="291"/>
      <c r="D69" s="291"/>
      <c r="E69" s="5"/>
      <c r="F69" s="176">
        <v>3278</v>
      </c>
      <c r="G69" s="174">
        <f>F69*F82</f>
        <v>15472.16</v>
      </c>
      <c r="H69" s="175"/>
      <c r="I69" s="176">
        <v>1711</v>
      </c>
      <c r="J69" s="174">
        <f>I69*F82</f>
        <v>8075.919999999999</v>
      </c>
      <c r="K69" s="175"/>
      <c r="L69" s="176">
        <v>2459</v>
      </c>
      <c r="M69" s="174">
        <f>L69*G82</f>
        <v>13289.4196</v>
      </c>
      <c r="N69" s="175"/>
      <c r="O69" s="176">
        <v>3696</v>
      </c>
      <c r="P69" s="174">
        <f>O69*G82</f>
        <v>19974.6624</v>
      </c>
      <c r="Q69" s="175">
        <f t="shared" si="17"/>
        <v>11144</v>
      </c>
      <c r="R69" s="174">
        <f t="shared" si="17"/>
        <v>56812.162</v>
      </c>
      <c r="S69" s="60"/>
      <c r="T69" s="9"/>
      <c r="U69" s="8"/>
      <c r="V69" s="9"/>
    </row>
    <row r="70" spans="1:22" s="89" customFormat="1" ht="27" customHeight="1">
      <c r="A70" s="96">
        <v>6</v>
      </c>
      <c r="B70" s="255" t="s">
        <v>53</v>
      </c>
      <c r="C70" s="256"/>
      <c r="D70" s="257"/>
      <c r="E70" s="90"/>
      <c r="F70" s="173">
        <f>F71+F72+F73</f>
        <v>216845.17</v>
      </c>
      <c r="G70" s="172">
        <f aca="true" t="shared" si="18" ref="G70:R70">G71+G72+G73</f>
        <v>1023509.2024000001</v>
      </c>
      <c r="H70" s="85">
        <f t="shared" si="18"/>
        <v>0</v>
      </c>
      <c r="I70" s="173">
        <f t="shared" si="18"/>
        <v>195445.17</v>
      </c>
      <c r="J70" s="172">
        <f t="shared" si="18"/>
        <v>922501.2024000001</v>
      </c>
      <c r="K70" s="85">
        <f t="shared" si="18"/>
        <v>0</v>
      </c>
      <c r="L70" s="173">
        <f t="shared" si="18"/>
        <v>189645.17</v>
      </c>
      <c r="M70" s="172">
        <f t="shared" si="18"/>
        <v>1024918.356748</v>
      </c>
      <c r="N70" s="85">
        <f t="shared" si="18"/>
        <v>0</v>
      </c>
      <c r="O70" s="173">
        <f t="shared" si="18"/>
        <v>204645.17</v>
      </c>
      <c r="P70" s="172">
        <f t="shared" si="18"/>
        <v>1105984.356748</v>
      </c>
      <c r="Q70" s="85">
        <f t="shared" si="18"/>
        <v>806580.68</v>
      </c>
      <c r="R70" s="172">
        <f t="shared" si="18"/>
        <v>4076913.118296</v>
      </c>
      <c r="S70" s="86"/>
      <c r="T70" s="87"/>
      <c r="U70" s="88"/>
      <c r="V70" s="87"/>
    </row>
    <row r="71" spans="1:22" ht="36" customHeight="1">
      <c r="A71" s="30"/>
      <c r="B71" s="258" t="s">
        <v>71</v>
      </c>
      <c r="C71" s="259"/>
      <c r="D71" s="260"/>
      <c r="E71" s="5"/>
      <c r="F71" s="176">
        <v>5200</v>
      </c>
      <c r="G71" s="174">
        <f>F71*F82</f>
        <v>24544</v>
      </c>
      <c r="H71" s="175"/>
      <c r="I71" s="176">
        <v>4800</v>
      </c>
      <c r="J71" s="174">
        <f>I71*F82</f>
        <v>22656</v>
      </c>
      <c r="K71" s="175"/>
      <c r="L71" s="176">
        <v>4000</v>
      </c>
      <c r="M71" s="174">
        <f>L71*G82</f>
        <v>21617.6</v>
      </c>
      <c r="N71" s="175"/>
      <c r="O71" s="176">
        <v>6000</v>
      </c>
      <c r="P71" s="174">
        <f>O71*G82</f>
        <v>32426.399999999998</v>
      </c>
      <c r="Q71" s="175">
        <f>F71+I71+L71+O71</f>
        <v>20000</v>
      </c>
      <c r="R71" s="174">
        <f>G71+J71+M71+P71</f>
        <v>101244</v>
      </c>
      <c r="S71" s="60" t="s">
        <v>78</v>
      </c>
      <c r="T71" s="9"/>
      <c r="U71" s="8"/>
      <c r="V71" s="9"/>
    </row>
    <row r="72" spans="1:22" ht="31.5" customHeight="1">
      <c r="A72" s="30"/>
      <c r="B72" s="258" t="s">
        <v>55</v>
      </c>
      <c r="C72" s="259"/>
      <c r="D72" s="260"/>
      <c r="E72" s="5"/>
      <c r="F72" s="176">
        <v>30000</v>
      </c>
      <c r="G72" s="174">
        <f>F72*F82</f>
        <v>141600</v>
      </c>
      <c r="H72" s="175"/>
      <c r="I72" s="176">
        <v>9000</v>
      </c>
      <c r="J72" s="174">
        <f>I72*F82</f>
        <v>42480</v>
      </c>
      <c r="K72" s="175"/>
      <c r="L72" s="176">
        <v>4000</v>
      </c>
      <c r="M72" s="174">
        <f>L72*G82</f>
        <v>21617.6</v>
      </c>
      <c r="N72" s="175"/>
      <c r="O72" s="176">
        <v>17000</v>
      </c>
      <c r="P72" s="174">
        <f>O72*G82</f>
        <v>91874.8</v>
      </c>
      <c r="Q72" s="175">
        <f>F72+I72+L72+O72</f>
        <v>60000</v>
      </c>
      <c r="R72" s="174">
        <f>G72+J72+M72+P72</f>
        <v>297572.4</v>
      </c>
      <c r="S72" s="60" t="s">
        <v>78</v>
      </c>
      <c r="T72" s="9"/>
      <c r="U72" s="8"/>
      <c r="V72" s="9"/>
    </row>
    <row r="73" spans="1:22" ht="31.5" customHeight="1">
      <c r="A73" s="30"/>
      <c r="B73" s="258" t="s">
        <v>82</v>
      </c>
      <c r="C73" s="259"/>
      <c r="D73" s="260"/>
      <c r="E73" s="5"/>
      <c r="F73" s="176">
        <v>181645.17</v>
      </c>
      <c r="G73" s="174">
        <f>SUM(F73)*F82</f>
        <v>857365.2024000001</v>
      </c>
      <c r="H73" s="175"/>
      <c r="I73" s="176">
        <v>181645.17</v>
      </c>
      <c r="J73" s="174">
        <f>SUM(I73)*F82</f>
        <v>857365.2024000001</v>
      </c>
      <c r="K73" s="175"/>
      <c r="L73" s="176">
        <v>181645.17</v>
      </c>
      <c r="M73" s="174">
        <f>SUM(L73)*G82</f>
        <v>981683.1567480001</v>
      </c>
      <c r="N73" s="175"/>
      <c r="O73" s="176">
        <v>181645.17</v>
      </c>
      <c r="P73" s="174">
        <f>SUM(O73)*G82</f>
        <v>981683.1567480001</v>
      </c>
      <c r="Q73" s="175">
        <f>F73+I73+L73+O73</f>
        <v>726580.68</v>
      </c>
      <c r="R73" s="174">
        <f>SUM(G73)+J73+M73+P73</f>
        <v>3678096.7182960003</v>
      </c>
      <c r="S73" s="60"/>
      <c r="T73" s="9"/>
      <c r="U73" s="8"/>
      <c r="V73" s="9"/>
    </row>
    <row r="74" spans="1:22" ht="31.5" customHeight="1">
      <c r="A74" s="92">
        <v>7</v>
      </c>
      <c r="B74" s="255" t="s">
        <v>83</v>
      </c>
      <c r="C74" s="256"/>
      <c r="D74" s="257"/>
      <c r="E74" s="5"/>
      <c r="F74" s="231">
        <f>SUM(F75:F76)</f>
        <v>5703</v>
      </c>
      <c r="G74" s="234">
        <f aca="true" t="shared" si="19" ref="G74:R74">SUM(G75:G76)</f>
        <v>26918.16</v>
      </c>
      <c r="H74" s="230">
        <f t="shared" si="19"/>
        <v>0</v>
      </c>
      <c r="I74" s="231">
        <f t="shared" si="19"/>
        <v>5447</v>
      </c>
      <c r="J74" s="234">
        <f t="shared" si="19"/>
        <v>25709.84</v>
      </c>
      <c r="K74" s="230">
        <f t="shared" si="19"/>
        <v>0</v>
      </c>
      <c r="L74" s="231">
        <f t="shared" si="19"/>
        <v>6414</v>
      </c>
      <c r="M74" s="234">
        <f t="shared" si="19"/>
        <v>34663.821599999996</v>
      </c>
      <c r="N74" s="230">
        <f t="shared" si="19"/>
        <v>0</v>
      </c>
      <c r="O74" s="231">
        <f t="shared" si="19"/>
        <v>5543</v>
      </c>
      <c r="P74" s="234">
        <f t="shared" si="19"/>
        <v>29956.5892</v>
      </c>
      <c r="Q74" s="230">
        <f t="shared" si="19"/>
        <v>23107</v>
      </c>
      <c r="R74" s="234">
        <f t="shared" si="19"/>
        <v>117248.4108</v>
      </c>
      <c r="S74" s="60"/>
      <c r="T74" s="9"/>
      <c r="U74" s="8"/>
      <c r="V74" s="9"/>
    </row>
    <row r="75" spans="1:22" ht="31.5" customHeight="1">
      <c r="A75" s="92"/>
      <c r="B75" s="285" t="s">
        <v>84</v>
      </c>
      <c r="C75" s="286"/>
      <c r="D75" s="287"/>
      <c r="E75" s="5"/>
      <c r="F75" s="176">
        <v>0</v>
      </c>
      <c r="G75" s="174">
        <f>SUM(F75)*F82</f>
        <v>0</v>
      </c>
      <c r="H75" s="175"/>
      <c r="I75" s="176">
        <v>0</v>
      </c>
      <c r="J75" s="174">
        <f>SUM(I75)*F82</f>
        <v>0</v>
      </c>
      <c r="K75" s="175"/>
      <c r="L75" s="176">
        <v>0</v>
      </c>
      <c r="M75" s="174">
        <f>SUM(L75)*G82</f>
        <v>0</v>
      </c>
      <c r="N75" s="175"/>
      <c r="O75" s="176">
        <v>0</v>
      </c>
      <c r="P75" s="174">
        <f>SUM(O75)*G82</f>
        <v>0</v>
      </c>
      <c r="Q75" s="175">
        <f>SUM(F75)+I75+L75+O75</f>
        <v>0</v>
      </c>
      <c r="R75" s="174">
        <f>SUM(G75)+J75+M75+P75</f>
        <v>0</v>
      </c>
      <c r="S75" s="60"/>
      <c r="T75" s="9"/>
      <c r="U75" s="8"/>
      <c r="V75" s="9"/>
    </row>
    <row r="76" spans="1:22" ht="31.5" customHeight="1">
      <c r="A76" s="92"/>
      <c r="B76" s="285" t="s">
        <v>85</v>
      </c>
      <c r="C76" s="286"/>
      <c r="D76" s="287"/>
      <c r="E76" s="5"/>
      <c r="F76" s="176">
        <v>5703</v>
      </c>
      <c r="G76" s="174">
        <f>SUM(F76)*F82</f>
        <v>26918.16</v>
      </c>
      <c r="H76" s="175"/>
      <c r="I76" s="176">
        <v>5447</v>
      </c>
      <c r="J76" s="174">
        <f>SUM(I76)*F82</f>
        <v>25709.84</v>
      </c>
      <c r="K76" s="175"/>
      <c r="L76" s="176">
        <v>6414</v>
      </c>
      <c r="M76" s="174">
        <f>SUM(L76)*G82</f>
        <v>34663.821599999996</v>
      </c>
      <c r="N76" s="175"/>
      <c r="O76" s="176">
        <v>5543</v>
      </c>
      <c r="P76" s="174">
        <f>SUM(O76)*G82</f>
        <v>29956.5892</v>
      </c>
      <c r="Q76" s="175">
        <f>SUM(F76)+I76+L76+O76</f>
        <v>23107</v>
      </c>
      <c r="R76" s="174">
        <f>SUM(G76)+J76+M76+P76</f>
        <v>117248.4108</v>
      </c>
      <c r="S76" s="60"/>
      <c r="T76" s="9"/>
      <c r="U76" s="8"/>
      <c r="V76" s="9"/>
    </row>
    <row r="77" spans="1:22" ht="31.5" customHeight="1">
      <c r="A77" s="92">
        <v>8</v>
      </c>
      <c r="B77" s="348" t="s">
        <v>56</v>
      </c>
      <c r="C77" s="349"/>
      <c r="D77" s="350"/>
      <c r="E77" s="83"/>
      <c r="F77" s="173">
        <f>SUM(F78:F79)</f>
        <v>89160</v>
      </c>
      <c r="G77" s="172">
        <f aca="true" t="shared" si="20" ref="G77:R77">SUM(G78:G79)</f>
        <v>420835.19999999995</v>
      </c>
      <c r="H77" s="85">
        <f t="shared" si="20"/>
        <v>0</v>
      </c>
      <c r="I77" s="173">
        <f t="shared" si="20"/>
        <v>61792</v>
      </c>
      <c r="J77" s="172">
        <f t="shared" si="20"/>
        <v>291658.24</v>
      </c>
      <c r="K77" s="85">
        <f t="shared" si="20"/>
        <v>0</v>
      </c>
      <c r="L77" s="173">
        <f t="shared" si="20"/>
        <v>43368</v>
      </c>
      <c r="M77" s="172">
        <f t="shared" si="20"/>
        <v>234378.0192</v>
      </c>
      <c r="N77" s="85">
        <f t="shared" si="20"/>
        <v>0</v>
      </c>
      <c r="O77" s="173">
        <f t="shared" si="20"/>
        <v>91168</v>
      </c>
      <c r="P77" s="172">
        <f t="shared" si="20"/>
        <v>492708.3392</v>
      </c>
      <c r="Q77" s="85">
        <f t="shared" si="20"/>
        <v>285488</v>
      </c>
      <c r="R77" s="172">
        <f t="shared" si="20"/>
        <v>1439579.7984</v>
      </c>
      <c r="S77" s="60"/>
      <c r="T77" s="9"/>
      <c r="U77" s="8"/>
      <c r="V77" s="9"/>
    </row>
    <row r="78" spans="1:22" ht="31.5" customHeight="1">
      <c r="A78" s="92"/>
      <c r="B78" s="285" t="s">
        <v>88</v>
      </c>
      <c r="C78" s="346"/>
      <c r="D78" s="347"/>
      <c r="E78" s="5"/>
      <c r="F78" s="176">
        <v>600</v>
      </c>
      <c r="G78" s="174">
        <f>F78*F82</f>
        <v>2832</v>
      </c>
      <c r="H78" s="175"/>
      <c r="I78" s="176">
        <v>600</v>
      </c>
      <c r="J78" s="174">
        <f>I78*F82</f>
        <v>2832</v>
      </c>
      <c r="K78" s="175"/>
      <c r="L78" s="176">
        <v>600</v>
      </c>
      <c r="M78" s="174">
        <f>L78*G82</f>
        <v>3242.64</v>
      </c>
      <c r="N78" s="175"/>
      <c r="O78" s="176">
        <v>600</v>
      </c>
      <c r="P78" s="174">
        <f>O78*G82</f>
        <v>3242.64</v>
      </c>
      <c r="Q78" s="175">
        <f>F78+I78+L78+O78</f>
        <v>2400</v>
      </c>
      <c r="R78" s="174">
        <f>G78+J78+M78+P78</f>
        <v>12149.279999999999</v>
      </c>
      <c r="S78" s="60"/>
      <c r="T78" s="9"/>
      <c r="U78" s="8"/>
      <c r="V78" s="9"/>
    </row>
    <row r="79" spans="1:22" ht="31.5" customHeight="1">
      <c r="A79" s="92"/>
      <c r="B79" s="285" t="s">
        <v>97</v>
      </c>
      <c r="C79" s="346"/>
      <c r="D79" s="347"/>
      <c r="E79" s="5"/>
      <c r="F79" s="176">
        <v>88560</v>
      </c>
      <c r="G79" s="174">
        <f>F79*F82</f>
        <v>418003.19999999995</v>
      </c>
      <c r="H79" s="175"/>
      <c r="I79" s="176">
        <v>61192</v>
      </c>
      <c r="J79" s="174">
        <f>I79*F82</f>
        <v>288826.24</v>
      </c>
      <c r="K79" s="175"/>
      <c r="L79" s="176">
        <v>42768</v>
      </c>
      <c r="M79" s="174">
        <f>L79*G82</f>
        <v>231135.3792</v>
      </c>
      <c r="N79" s="175"/>
      <c r="O79" s="176">
        <v>90568</v>
      </c>
      <c r="P79" s="174">
        <f>O79*G82</f>
        <v>489465.6992</v>
      </c>
      <c r="Q79" s="175">
        <f>F79+I79+L79+O79</f>
        <v>283088</v>
      </c>
      <c r="R79" s="174">
        <f>G79+J79+M79+P79</f>
        <v>1427430.5184</v>
      </c>
      <c r="S79" s="60"/>
      <c r="T79" s="9"/>
      <c r="U79" s="8"/>
      <c r="V79" s="9"/>
    </row>
    <row r="80" spans="1:22" ht="30" customHeight="1">
      <c r="A80" s="30"/>
      <c r="B80" s="302" t="s">
        <v>19</v>
      </c>
      <c r="C80" s="302"/>
      <c r="D80" s="302"/>
      <c r="E80" s="12">
        <f>SUM(E50:E63)</f>
        <v>266200</v>
      </c>
      <c r="F80" s="179">
        <f aca="true" t="shared" si="21" ref="F80:R80">F50+F51+F58+F61+F65+F70+F74+F77</f>
        <v>555486.97</v>
      </c>
      <c r="G80" s="180">
        <f t="shared" si="21"/>
        <v>2621898.4984</v>
      </c>
      <c r="H80" s="54">
        <f t="shared" si="21"/>
        <v>162200</v>
      </c>
      <c r="I80" s="179">
        <f t="shared" si="21"/>
        <v>444293.47</v>
      </c>
      <c r="J80" s="180">
        <f t="shared" si="21"/>
        <v>2097065.1784</v>
      </c>
      <c r="K80" s="54">
        <f t="shared" si="21"/>
        <v>169500</v>
      </c>
      <c r="L80" s="179">
        <f t="shared" si="21"/>
        <v>419092.67000000004</v>
      </c>
      <c r="M80" s="180">
        <f t="shared" si="21"/>
        <v>2264944.425748</v>
      </c>
      <c r="N80" s="54">
        <f t="shared" si="21"/>
        <v>245500</v>
      </c>
      <c r="O80" s="179">
        <f t="shared" si="21"/>
        <v>623755.37</v>
      </c>
      <c r="P80" s="180">
        <f t="shared" si="21"/>
        <v>3371023.521628</v>
      </c>
      <c r="Q80" s="54">
        <f t="shared" si="21"/>
        <v>2042628.48</v>
      </c>
      <c r="R80" s="180">
        <f t="shared" si="21"/>
        <v>10354931.633135999</v>
      </c>
      <c r="S80" s="62"/>
      <c r="T80" s="32"/>
      <c r="U80" s="9"/>
      <c r="V80" s="9"/>
    </row>
    <row r="81" spans="1:22" ht="50.25" customHeight="1">
      <c r="A81" s="33"/>
      <c r="B81" s="281" t="s">
        <v>8</v>
      </c>
      <c r="C81" s="281"/>
      <c r="D81" s="281"/>
      <c r="E81" s="288" t="s">
        <v>94</v>
      </c>
      <c r="F81" s="289"/>
      <c r="G81" s="289"/>
      <c r="H81" s="289"/>
      <c r="I81" s="289"/>
      <c r="J81" s="289"/>
      <c r="K81" s="289"/>
      <c r="L81" s="289"/>
      <c r="M81" s="289"/>
      <c r="N81" s="289"/>
      <c r="O81" s="289"/>
      <c r="P81" s="289"/>
      <c r="Q81" s="289"/>
      <c r="R81" s="290"/>
      <c r="T81" s="9"/>
      <c r="U81" s="9"/>
      <c r="V81" s="9"/>
    </row>
    <row r="82" spans="1:22" ht="32.25" customHeight="1" hidden="1">
      <c r="A82" s="3"/>
      <c r="B82" s="3"/>
      <c r="C82" s="3"/>
      <c r="D82" s="3"/>
      <c r="E82" s="3"/>
      <c r="F82" s="129">
        <v>4.72</v>
      </c>
      <c r="G82" s="129">
        <v>5.4044</v>
      </c>
      <c r="H82" s="129"/>
      <c r="I82" s="129"/>
      <c r="J82" s="130"/>
      <c r="K82" s="3"/>
      <c r="L82" s="3"/>
      <c r="M82" s="97"/>
      <c r="N82" s="3"/>
      <c r="O82" s="3"/>
      <c r="P82" s="103"/>
      <c r="Q82" s="34"/>
      <c r="R82" s="97"/>
      <c r="T82" s="9"/>
      <c r="U82" s="9"/>
      <c r="V82" s="9"/>
    </row>
    <row r="83" spans="1:22" ht="21" customHeight="1" hidden="1">
      <c r="A83" s="35"/>
      <c r="B83" s="36"/>
      <c r="C83" s="36"/>
      <c r="D83" s="36"/>
      <c r="E83" s="37" t="s">
        <v>13</v>
      </c>
      <c r="F83" s="129"/>
      <c r="G83" s="131"/>
      <c r="H83" s="132"/>
      <c r="I83" s="132"/>
      <c r="J83" s="133"/>
      <c r="K83" s="38"/>
      <c r="L83" s="38"/>
      <c r="M83" s="101"/>
      <c r="N83" s="38"/>
      <c r="O83" s="38"/>
      <c r="P83" s="101"/>
      <c r="Q83" s="38"/>
      <c r="R83" s="101"/>
      <c r="T83" s="9"/>
      <c r="U83" s="9"/>
      <c r="V83" s="9"/>
    </row>
    <row r="84" spans="1:22" ht="2.25" customHeight="1" hidden="1">
      <c r="A84" s="35"/>
      <c r="B84" s="36"/>
      <c r="C84" s="36"/>
      <c r="D84" s="36"/>
      <c r="E84" s="37"/>
      <c r="F84" s="134"/>
      <c r="G84" s="130"/>
      <c r="H84" s="134"/>
      <c r="I84" s="134"/>
      <c r="J84" s="133"/>
      <c r="K84" s="38"/>
      <c r="L84" s="38"/>
      <c r="M84" s="101"/>
      <c r="N84" s="38"/>
      <c r="O84" s="38"/>
      <c r="P84" s="103"/>
      <c r="Q84" s="39"/>
      <c r="R84" s="104"/>
      <c r="T84" s="9"/>
      <c r="U84" s="9"/>
      <c r="V84" s="9"/>
    </row>
    <row r="85" spans="1:22" ht="14.25" customHeight="1" hidden="1">
      <c r="A85" s="35"/>
      <c r="B85" s="40"/>
      <c r="C85" s="40"/>
      <c r="D85" s="40"/>
      <c r="E85" s="41"/>
      <c r="F85" s="129"/>
      <c r="G85" s="130"/>
      <c r="H85" s="129"/>
      <c r="I85" s="129"/>
      <c r="J85" s="133"/>
      <c r="K85" s="42"/>
      <c r="L85" s="42"/>
      <c r="M85" s="101"/>
      <c r="N85" s="43"/>
      <c r="O85" s="43"/>
      <c r="P85" s="296"/>
      <c r="Q85" s="296"/>
      <c r="R85" s="296"/>
      <c r="T85" s="9"/>
      <c r="U85" s="9"/>
      <c r="V85" s="9"/>
    </row>
    <row r="86" spans="1:22" ht="9.75" customHeight="1">
      <c r="A86" s="35"/>
      <c r="B86" s="40"/>
      <c r="C86" s="40"/>
      <c r="D86" s="40"/>
      <c r="E86" s="41"/>
      <c r="F86" s="3"/>
      <c r="G86" s="97"/>
      <c r="H86" s="3"/>
      <c r="I86" s="3"/>
      <c r="J86" s="101"/>
      <c r="K86" s="42"/>
      <c r="L86" s="42"/>
      <c r="M86" s="101"/>
      <c r="N86" s="43"/>
      <c r="O86" s="43"/>
      <c r="P86" s="296"/>
      <c r="Q86" s="296"/>
      <c r="R86" s="296"/>
      <c r="T86" s="9"/>
      <c r="U86" s="9"/>
      <c r="V86" s="9"/>
    </row>
    <row r="87" spans="1:22" ht="13.5" customHeight="1" hidden="1">
      <c r="A87" s="35"/>
      <c r="B87" s="40"/>
      <c r="C87" s="40"/>
      <c r="D87" s="40"/>
      <c r="E87" s="41"/>
      <c r="F87" s="3"/>
      <c r="G87" s="97"/>
      <c r="H87" s="3"/>
      <c r="I87" s="3"/>
      <c r="J87" s="101"/>
      <c r="K87" s="42"/>
      <c r="L87" s="42"/>
      <c r="M87" s="101"/>
      <c r="N87" s="43"/>
      <c r="O87" s="43"/>
      <c r="P87" s="296"/>
      <c r="Q87" s="296"/>
      <c r="R87" s="296"/>
      <c r="T87" s="9"/>
      <c r="U87" s="9"/>
      <c r="V87" s="9"/>
    </row>
    <row r="88" spans="1:22" ht="15.75" customHeight="1" hidden="1">
      <c r="A88" s="35"/>
      <c r="B88" s="40"/>
      <c r="C88" s="40"/>
      <c r="D88" s="40"/>
      <c r="E88" s="41"/>
      <c r="F88" s="3"/>
      <c r="G88" s="97"/>
      <c r="H88" s="3"/>
      <c r="I88" s="3"/>
      <c r="J88" s="101"/>
      <c r="K88" s="42"/>
      <c r="L88" s="42"/>
      <c r="M88" s="101"/>
      <c r="N88" s="43"/>
      <c r="O88" s="43"/>
      <c r="P88" s="101"/>
      <c r="Q88" s="43"/>
      <c r="R88" s="101"/>
      <c r="T88" s="9"/>
      <c r="U88" s="9"/>
      <c r="V88" s="9"/>
    </row>
    <row r="89" spans="1:22" ht="26.25" customHeight="1">
      <c r="A89" s="279" t="s">
        <v>92</v>
      </c>
      <c r="B89" s="279"/>
      <c r="C89" s="279"/>
      <c r="D89" s="279"/>
      <c r="E89" s="279"/>
      <c r="F89" s="279"/>
      <c r="G89" s="279"/>
      <c r="H89" s="279"/>
      <c r="I89" s="279"/>
      <c r="J89" s="279"/>
      <c r="K89" s="279"/>
      <c r="L89" s="279"/>
      <c r="M89" s="279"/>
      <c r="N89" s="279"/>
      <c r="O89" s="279"/>
      <c r="P89" s="279"/>
      <c r="Q89" s="279"/>
      <c r="R89" s="279"/>
      <c r="T89" s="9"/>
      <c r="U89" s="9"/>
      <c r="V89" s="9"/>
    </row>
    <row r="90" spans="1:18" ht="25.5">
      <c r="A90" s="280" t="s">
        <v>15</v>
      </c>
      <c r="B90" s="261" t="s">
        <v>0</v>
      </c>
      <c r="C90" s="262"/>
      <c r="D90" s="263"/>
      <c r="E90" s="278" t="s">
        <v>1</v>
      </c>
      <c r="F90" s="278"/>
      <c r="G90" s="278"/>
      <c r="H90" s="278" t="s">
        <v>3</v>
      </c>
      <c r="I90" s="278"/>
      <c r="J90" s="278"/>
      <c r="K90" s="278" t="s">
        <v>4</v>
      </c>
      <c r="L90" s="278"/>
      <c r="M90" s="278"/>
      <c r="N90" s="278" t="s">
        <v>6</v>
      </c>
      <c r="O90" s="278"/>
      <c r="P90" s="278"/>
      <c r="Q90" s="278" t="s">
        <v>7</v>
      </c>
      <c r="R90" s="278"/>
    </row>
    <row r="91" spans="1:18" ht="25.5">
      <c r="A91" s="280"/>
      <c r="B91" s="264"/>
      <c r="C91" s="265"/>
      <c r="D91" s="266"/>
      <c r="F91" s="57" t="s">
        <v>10</v>
      </c>
      <c r="G91" s="100" t="s">
        <v>5</v>
      </c>
      <c r="H91" s="57" t="s">
        <v>10</v>
      </c>
      <c r="I91" s="57" t="s">
        <v>10</v>
      </c>
      <c r="J91" s="100" t="s">
        <v>5</v>
      </c>
      <c r="K91" s="57" t="s">
        <v>10</v>
      </c>
      <c r="L91" s="57" t="s">
        <v>10</v>
      </c>
      <c r="M91" s="100" t="s">
        <v>5</v>
      </c>
      <c r="N91" s="57" t="s">
        <v>10</v>
      </c>
      <c r="O91" s="57" t="s">
        <v>10</v>
      </c>
      <c r="P91" s="100" t="s">
        <v>5</v>
      </c>
      <c r="Q91" s="57" t="s">
        <v>10</v>
      </c>
      <c r="R91" s="100" t="s">
        <v>5</v>
      </c>
    </row>
    <row r="92" spans="1:21" s="89" customFormat="1" ht="32.25" customHeight="1">
      <c r="A92" s="96">
        <v>1</v>
      </c>
      <c r="B92" s="255" t="s">
        <v>33</v>
      </c>
      <c r="C92" s="256"/>
      <c r="D92" s="257"/>
      <c r="E92" s="83">
        <v>14.8</v>
      </c>
      <c r="F92" s="173">
        <v>3.3</v>
      </c>
      <c r="G92" s="172">
        <f>F92*F119</f>
        <v>97.67999999999999</v>
      </c>
      <c r="H92" s="85">
        <v>14.8</v>
      </c>
      <c r="I92" s="173">
        <v>3.3</v>
      </c>
      <c r="J92" s="172">
        <f>I92*F119</f>
        <v>97.67999999999999</v>
      </c>
      <c r="K92" s="85">
        <v>15</v>
      </c>
      <c r="L92" s="173">
        <v>3.4</v>
      </c>
      <c r="M92" s="172">
        <f>L92*G119</f>
        <v>104.278</v>
      </c>
      <c r="N92" s="85">
        <v>15</v>
      </c>
      <c r="O92" s="173">
        <v>3.3</v>
      </c>
      <c r="P92" s="184">
        <f>O92*G119</f>
        <v>101.211</v>
      </c>
      <c r="Q92" s="185">
        <f>F92+I92+L92+O92</f>
        <v>13.3</v>
      </c>
      <c r="R92" s="184">
        <f>G92+J92+M92+P92</f>
        <v>400.849</v>
      </c>
      <c r="S92" s="86" t="s">
        <v>21</v>
      </c>
      <c r="T92" s="93"/>
      <c r="U92" s="93"/>
    </row>
    <row r="93" spans="1:21" s="89" customFormat="1" ht="32.25" customHeight="1">
      <c r="A93" s="96">
        <v>2</v>
      </c>
      <c r="B93" s="255" t="s">
        <v>41</v>
      </c>
      <c r="C93" s="256"/>
      <c r="D93" s="257"/>
      <c r="E93" s="90"/>
      <c r="F93" s="173">
        <f>F94+F95+F96+F97+F98+F99</f>
        <v>1459</v>
      </c>
      <c r="G93" s="172">
        <f>G94+G95+G96+G97+G98+G99</f>
        <v>49201.4</v>
      </c>
      <c r="H93" s="85"/>
      <c r="I93" s="173">
        <f>I94+I95+I96+I97+I98+I99</f>
        <v>1734.4</v>
      </c>
      <c r="J93" s="172">
        <f>J94+J95+J96+J97+J98+J99</f>
        <v>60240.44</v>
      </c>
      <c r="K93" s="85"/>
      <c r="L93" s="173">
        <f>L94+L95+L96+L97+L98+L99</f>
        <v>1872.8</v>
      </c>
      <c r="M93" s="172">
        <f>M94+M95+M96+M97+M98+M99</f>
        <v>67631.576</v>
      </c>
      <c r="N93" s="85"/>
      <c r="O93" s="173">
        <f>O94+O95+O96+O97+O98+O99</f>
        <v>1893.8</v>
      </c>
      <c r="P93" s="184">
        <f>P94+P95+P96+P97+P98+P99</f>
        <v>67179.64600000001</v>
      </c>
      <c r="Q93" s="185">
        <f>Q94+Q95+Q96+Q97+Q98+Q99</f>
        <v>6960</v>
      </c>
      <c r="R93" s="184">
        <f>R94+R95+R96+R97+R98+R99</f>
        <v>244253.07</v>
      </c>
      <c r="S93" s="86"/>
      <c r="T93" s="93"/>
      <c r="U93" s="93"/>
    </row>
    <row r="94" spans="1:21" s="15" customFormat="1" ht="49.5" customHeight="1">
      <c r="A94" s="28"/>
      <c r="B94" s="258" t="s">
        <v>34</v>
      </c>
      <c r="C94" s="259"/>
      <c r="D94" s="260"/>
      <c r="E94" s="5">
        <v>3068.8</v>
      </c>
      <c r="F94" s="176">
        <v>350</v>
      </c>
      <c r="G94" s="174">
        <f>F94*F119</f>
        <v>10360</v>
      </c>
      <c r="H94" s="175">
        <v>2511</v>
      </c>
      <c r="I94" s="176">
        <v>268</v>
      </c>
      <c r="J94" s="174">
        <f>I94*F119</f>
        <v>7932.8</v>
      </c>
      <c r="K94" s="175">
        <v>2511</v>
      </c>
      <c r="L94" s="176">
        <v>340</v>
      </c>
      <c r="M94" s="174">
        <f>L94*G119</f>
        <v>10427.800000000001</v>
      </c>
      <c r="N94" s="175">
        <v>2511</v>
      </c>
      <c r="O94" s="176">
        <v>342</v>
      </c>
      <c r="P94" s="186">
        <f>O94*G119</f>
        <v>10489.140000000001</v>
      </c>
      <c r="Q94" s="187">
        <f aca="true" t="shared" si="22" ref="Q94:Q101">F94+I94+L94+O94</f>
        <v>1300</v>
      </c>
      <c r="R94" s="186">
        <f>G94+J94+M94+P94</f>
        <v>39209.74</v>
      </c>
      <c r="S94" s="60" t="s">
        <v>78</v>
      </c>
      <c r="T94" s="14"/>
      <c r="U94" s="14"/>
    </row>
    <row r="95" spans="1:21" ht="48.75" customHeight="1">
      <c r="A95" s="25"/>
      <c r="B95" s="258" t="s">
        <v>35</v>
      </c>
      <c r="C95" s="259"/>
      <c r="D95" s="260"/>
      <c r="E95" s="44">
        <v>609</v>
      </c>
      <c r="F95" s="176">
        <v>170</v>
      </c>
      <c r="G95" s="174">
        <f>F95*F119</f>
        <v>5032</v>
      </c>
      <c r="H95" s="175">
        <v>609</v>
      </c>
      <c r="I95" s="176">
        <v>150</v>
      </c>
      <c r="J95" s="174">
        <f>I95*F119</f>
        <v>4440</v>
      </c>
      <c r="K95" s="175">
        <v>609</v>
      </c>
      <c r="L95" s="176">
        <v>170</v>
      </c>
      <c r="M95" s="174">
        <f>L95*G119</f>
        <v>5213.900000000001</v>
      </c>
      <c r="N95" s="175">
        <v>609</v>
      </c>
      <c r="O95" s="176">
        <v>150</v>
      </c>
      <c r="P95" s="186">
        <f>O95*G119</f>
        <v>4600.5</v>
      </c>
      <c r="Q95" s="187">
        <f t="shared" si="22"/>
        <v>640</v>
      </c>
      <c r="R95" s="186">
        <f>G95+J95+M95+P95</f>
        <v>19286.4</v>
      </c>
      <c r="S95" s="60" t="s">
        <v>78</v>
      </c>
      <c r="T95" s="10"/>
      <c r="U95" s="10"/>
    </row>
    <row r="96" spans="1:21" ht="47.25" customHeight="1">
      <c r="A96" s="28"/>
      <c r="B96" s="258" t="s">
        <v>36</v>
      </c>
      <c r="C96" s="259"/>
      <c r="D96" s="260"/>
      <c r="E96" s="5">
        <v>725.1</v>
      </c>
      <c r="F96" s="176">
        <v>350</v>
      </c>
      <c r="G96" s="174">
        <f>F96*F120</f>
        <v>14570.5</v>
      </c>
      <c r="H96" s="175">
        <v>885.2</v>
      </c>
      <c r="I96" s="176">
        <v>300</v>
      </c>
      <c r="J96" s="174">
        <f>I96*F120</f>
        <v>12489</v>
      </c>
      <c r="K96" s="175">
        <v>727.3</v>
      </c>
      <c r="L96" s="176">
        <v>200</v>
      </c>
      <c r="M96" s="174">
        <f>L96*G120</f>
        <v>8326</v>
      </c>
      <c r="N96" s="175">
        <v>892.61</v>
      </c>
      <c r="O96" s="176">
        <v>350</v>
      </c>
      <c r="P96" s="186">
        <f>O96*G120</f>
        <v>14570.5</v>
      </c>
      <c r="Q96" s="187">
        <f t="shared" si="22"/>
        <v>1200</v>
      </c>
      <c r="R96" s="186">
        <f>G96+J96+M96+P96</f>
        <v>49956</v>
      </c>
      <c r="S96" s="60" t="s">
        <v>78</v>
      </c>
      <c r="T96" s="10"/>
      <c r="U96" s="10"/>
    </row>
    <row r="97" spans="1:21" ht="30.75" customHeight="1">
      <c r="A97" s="28"/>
      <c r="B97" s="291" t="s">
        <v>37</v>
      </c>
      <c r="C97" s="291"/>
      <c r="D97" s="291"/>
      <c r="E97" s="5">
        <v>1639</v>
      </c>
      <c r="F97" s="176">
        <v>150</v>
      </c>
      <c r="G97" s="174">
        <f>F97*F120</f>
        <v>6244.5</v>
      </c>
      <c r="H97" s="175">
        <v>1584</v>
      </c>
      <c r="I97" s="176">
        <v>440</v>
      </c>
      <c r="J97" s="174">
        <f>I97*F120</f>
        <v>18317.2</v>
      </c>
      <c r="K97" s="175">
        <v>1344</v>
      </c>
      <c r="L97" s="176">
        <v>730</v>
      </c>
      <c r="M97" s="174">
        <f>L97*G120</f>
        <v>30389.9</v>
      </c>
      <c r="N97" s="175">
        <v>1639</v>
      </c>
      <c r="O97" s="176">
        <v>480</v>
      </c>
      <c r="P97" s="186">
        <f>O97*G120</f>
        <v>19982.4</v>
      </c>
      <c r="Q97" s="187">
        <f t="shared" si="22"/>
        <v>1800</v>
      </c>
      <c r="R97" s="186">
        <f>G97+J97+M97+P97</f>
        <v>74934</v>
      </c>
      <c r="S97" s="60" t="s">
        <v>78</v>
      </c>
      <c r="T97" s="10"/>
      <c r="U97" s="10"/>
    </row>
    <row r="98" spans="1:21" s="111" customFormat="1" ht="33" customHeight="1">
      <c r="A98" s="112"/>
      <c r="B98" s="292" t="s">
        <v>38</v>
      </c>
      <c r="C98" s="292"/>
      <c r="D98" s="292"/>
      <c r="E98" s="107">
        <v>53.7</v>
      </c>
      <c r="F98" s="188">
        <v>400</v>
      </c>
      <c r="G98" s="189">
        <f>F98*F119</f>
        <v>11840</v>
      </c>
      <c r="H98" s="190">
        <v>43.6</v>
      </c>
      <c r="I98" s="188">
        <v>550</v>
      </c>
      <c r="J98" s="189">
        <f>I98*F119</f>
        <v>16280</v>
      </c>
      <c r="K98" s="190">
        <v>43.8</v>
      </c>
      <c r="L98" s="188">
        <v>350</v>
      </c>
      <c r="M98" s="189">
        <f>L98*G119</f>
        <v>10734.5</v>
      </c>
      <c r="N98" s="190">
        <v>43.8</v>
      </c>
      <c r="O98" s="188">
        <v>550</v>
      </c>
      <c r="P98" s="191">
        <f>O98*G119</f>
        <v>16868.5</v>
      </c>
      <c r="Q98" s="192">
        <f t="shared" si="22"/>
        <v>1850</v>
      </c>
      <c r="R98" s="191">
        <f>G98+J98+M98+P98</f>
        <v>55723</v>
      </c>
      <c r="S98" s="108" t="s">
        <v>78</v>
      </c>
      <c r="T98" s="113"/>
      <c r="U98" s="113"/>
    </row>
    <row r="99" spans="1:21" s="111" customFormat="1" ht="54.75" customHeight="1">
      <c r="A99" s="112"/>
      <c r="B99" s="292" t="s">
        <v>39</v>
      </c>
      <c r="C99" s="292"/>
      <c r="D99" s="292"/>
      <c r="E99" s="107">
        <v>51</v>
      </c>
      <c r="F99" s="188">
        <v>39</v>
      </c>
      <c r="G99" s="189">
        <f>F99*F119</f>
        <v>1154.4</v>
      </c>
      <c r="H99" s="190">
        <v>48</v>
      </c>
      <c r="I99" s="188">
        <v>26.4</v>
      </c>
      <c r="J99" s="189">
        <f>I99*F119</f>
        <v>781.4399999999999</v>
      </c>
      <c r="K99" s="190">
        <v>48</v>
      </c>
      <c r="L99" s="188">
        <v>82.8</v>
      </c>
      <c r="M99" s="189">
        <f>L99*G119</f>
        <v>2539.476</v>
      </c>
      <c r="N99" s="190">
        <v>51</v>
      </c>
      <c r="O99" s="188">
        <v>21.8</v>
      </c>
      <c r="P99" s="191">
        <f>O99*G119</f>
        <v>668.6060000000001</v>
      </c>
      <c r="Q99" s="192">
        <f t="shared" si="22"/>
        <v>170</v>
      </c>
      <c r="R99" s="191">
        <v>5143.93</v>
      </c>
      <c r="S99" s="108" t="s">
        <v>78</v>
      </c>
      <c r="T99" s="113"/>
      <c r="U99" s="113"/>
    </row>
    <row r="100" spans="1:21" s="89" customFormat="1" ht="55.5" customHeight="1">
      <c r="A100" s="96">
        <v>3</v>
      </c>
      <c r="B100" s="255" t="s">
        <v>42</v>
      </c>
      <c r="C100" s="256"/>
      <c r="D100" s="257"/>
      <c r="E100" s="90">
        <v>76.86</v>
      </c>
      <c r="F100" s="178">
        <f>F101+F102</f>
        <v>129.745</v>
      </c>
      <c r="G100" s="172">
        <f>G101+G102</f>
        <v>3957.68435</v>
      </c>
      <c r="H100" s="85">
        <v>76.86</v>
      </c>
      <c r="I100" s="178">
        <f>I101+I102</f>
        <v>129.745</v>
      </c>
      <c r="J100" s="172">
        <f>J101+J102</f>
        <v>3957.68435</v>
      </c>
      <c r="K100" s="85">
        <v>76.86</v>
      </c>
      <c r="L100" s="178">
        <f>L101+L102</f>
        <v>129.738</v>
      </c>
      <c r="M100" s="172">
        <f>M101+M102</f>
        <v>4085.7929400000003</v>
      </c>
      <c r="N100" s="85">
        <v>76.86</v>
      </c>
      <c r="O100" s="178">
        <f>O101+O102</f>
        <v>129.738</v>
      </c>
      <c r="P100" s="184">
        <f>P101+P102</f>
        <v>4085.7929400000003</v>
      </c>
      <c r="Q100" s="193">
        <f t="shared" si="22"/>
        <v>518.966</v>
      </c>
      <c r="R100" s="184">
        <f>R101+R102</f>
        <v>16086.939999999999</v>
      </c>
      <c r="S100" s="86" t="s">
        <v>21</v>
      </c>
      <c r="T100" s="93"/>
      <c r="U100" s="93"/>
    </row>
    <row r="101" spans="1:21" ht="40.5" customHeight="1">
      <c r="A101" s="28"/>
      <c r="B101" s="282" t="s">
        <v>98</v>
      </c>
      <c r="C101" s="283"/>
      <c r="D101" s="284"/>
      <c r="E101" s="5"/>
      <c r="F101" s="176">
        <v>120</v>
      </c>
      <c r="G101" s="174">
        <f>F101*F119</f>
        <v>3552</v>
      </c>
      <c r="H101" s="175"/>
      <c r="I101" s="176">
        <v>120</v>
      </c>
      <c r="J101" s="174">
        <f>I101*F119</f>
        <v>3552</v>
      </c>
      <c r="K101" s="175"/>
      <c r="L101" s="176">
        <v>120</v>
      </c>
      <c r="M101" s="174">
        <f>L101*G119</f>
        <v>3680.4</v>
      </c>
      <c r="N101" s="175"/>
      <c r="O101" s="176">
        <v>120</v>
      </c>
      <c r="P101" s="186">
        <f>O101*G119</f>
        <v>3680.4</v>
      </c>
      <c r="Q101" s="187">
        <f t="shared" si="22"/>
        <v>480</v>
      </c>
      <c r="R101" s="186">
        <f>G101+J101+M101+P101</f>
        <v>14464.8</v>
      </c>
      <c r="S101" s="60"/>
      <c r="T101" s="10"/>
      <c r="U101" s="10"/>
    </row>
    <row r="102" spans="1:21" ht="38.25" customHeight="1">
      <c r="A102" s="28"/>
      <c r="B102" s="282" t="s">
        <v>99</v>
      </c>
      <c r="C102" s="283"/>
      <c r="D102" s="284"/>
      <c r="E102" s="5"/>
      <c r="F102" s="194">
        <v>9.745</v>
      </c>
      <c r="G102" s="174">
        <f>F102*F120</f>
        <v>405.68435</v>
      </c>
      <c r="H102" s="54"/>
      <c r="I102" s="194">
        <v>9.745</v>
      </c>
      <c r="J102" s="174">
        <f>I102*F120</f>
        <v>405.68435</v>
      </c>
      <c r="K102" s="54"/>
      <c r="L102" s="194">
        <v>9.738</v>
      </c>
      <c r="M102" s="174">
        <f>L102*G120</f>
        <v>405.39294</v>
      </c>
      <c r="N102" s="54"/>
      <c r="O102" s="194">
        <v>9.738</v>
      </c>
      <c r="P102" s="186">
        <f>O102*G120</f>
        <v>405.39294</v>
      </c>
      <c r="Q102" s="187">
        <f>F102+I102+L102+O102</f>
        <v>38.965999999999994</v>
      </c>
      <c r="R102" s="186">
        <v>1622.14</v>
      </c>
      <c r="S102" s="60"/>
      <c r="T102" s="10"/>
      <c r="U102" s="10"/>
    </row>
    <row r="103" spans="1:21" s="89" customFormat="1" ht="30.75" customHeight="1">
      <c r="A103" s="96">
        <v>4</v>
      </c>
      <c r="B103" s="255" t="s">
        <v>43</v>
      </c>
      <c r="C103" s="256"/>
      <c r="D103" s="257"/>
      <c r="E103" s="90">
        <v>172</v>
      </c>
      <c r="F103" s="173">
        <f>F104</f>
        <v>23.4</v>
      </c>
      <c r="G103" s="172">
        <f>G104</f>
        <v>692.64</v>
      </c>
      <c r="H103" s="85"/>
      <c r="I103" s="173">
        <f>I104</f>
        <v>23.4</v>
      </c>
      <c r="J103" s="172">
        <f>J104</f>
        <v>692.64</v>
      </c>
      <c r="K103" s="85"/>
      <c r="L103" s="173">
        <f>L104</f>
        <v>23.7</v>
      </c>
      <c r="M103" s="172">
        <f>M104</f>
        <v>726.879</v>
      </c>
      <c r="N103" s="85"/>
      <c r="O103" s="173">
        <f>O104</f>
        <v>23.1</v>
      </c>
      <c r="P103" s="184">
        <f>P104</f>
        <v>708.4770000000001</v>
      </c>
      <c r="Q103" s="185">
        <f>Q104</f>
        <v>93.6</v>
      </c>
      <c r="R103" s="184">
        <f>R104</f>
        <v>2820.6360000000004</v>
      </c>
      <c r="S103" s="86" t="s">
        <v>21</v>
      </c>
      <c r="T103" s="93"/>
      <c r="U103" s="93"/>
    </row>
    <row r="104" spans="1:21" ht="36.75" customHeight="1">
      <c r="A104" s="28"/>
      <c r="B104" s="258" t="s">
        <v>44</v>
      </c>
      <c r="C104" s="259"/>
      <c r="D104" s="260"/>
      <c r="E104" s="5"/>
      <c r="F104" s="176">
        <v>23.4</v>
      </c>
      <c r="G104" s="174">
        <f>F104*F119</f>
        <v>692.64</v>
      </c>
      <c r="H104" s="175"/>
      <c r="I104" s="176">
        <v>23.4</v>
      </c>
      <c r="J104" s="174">
        <f>I104*F119</f>
        <v>692.64</v>
      </c>
      <c r="K104" s="175"/>
      <c r="L104" s="176">
        <v>23.7</v>
      </c>
      <c r="M104" s="174">
        <f>L104*G119</f>
        <v>726.879</v>
      </c>
      <c r="N104" s="175"/>
      <c r="O104" s="176">
        <v>23.1</v>
      </c>
      <c r="P104" s="186">
        <f>O104*G119</f>
        <v>708.4770000000001</v>
      </c>
      <c r="Q104" s="187">
        <f>F104+I104+L104+O104</f>
        <v>93.6</v>
      </c>
      <c r="R104" s="186">
        <f>G104+J104+M104+P104</f>
        <v>2820.6360000000004</v>
      </c>
      <c r="S104" s="60"/>
      <c r="T104" s="10"/>
      <c r="U104" s="10"/>
    </row>
    <row r="105" spans="1:21" s="89" customFormat="1" ht="48.75" customHeight="1">
      <c r="A105" s="96">
        <v>5</v>
      </c>
      <c r="B105" s="255" t="s">
        <v>47</v>
      </c>
      <c r="C105" s="256"/>
      <c r="D105" s="257"/>
      <c r="E105" s="90"/>
      <c r="F105" s="173">
        <f>F106+F107+F108+F109</f>
        <v>132.91</v>
      </c>
      <c r="G105" s="172">
        <v>4085.72</v>
      </c>
      <c r="H105" s="85"/>
      <c r="I105" s="173">
        <f>I106+I107+I108+I109</f>
        <v>93.46000000000001</v>
      </c>
      <c r="J105" s="172">
        <v>2880.71</v>
      </c>
      <c r="K105" s="85"/>
      <c r="L105" s="173">
        <f>L106+L107+L108+L109</f>
        <v>106.78999999999999</v>
      </c>
      <c r="M105" s="172">
        <f>M106+M107+M108+M109</f>
        <v>3609.5293000000006</v>
      </c>
      <c r="N105" s="85"/>
      <c r="O105" s="173">
        <f>O106+O107+O108+O109</f>
        <v>245.81</v>
      </c>
      <c r="P105" s="184">
        <f>P106+P107+P108+P109</f>
        <v>7671.6087</v>
      </c>
      <c r="Q105" s="185">
        <f>Q106+Q107+Q108+Q109</f>
        <v>578.97</v>
      </c>
      <c r="R105" s="184">
        <f>R106+R107+R108+R109</f>
        <v>18247.574</v>
      </c>
      <c r="S105" s="86"/>
      <c r="T105" s="93"/>
      <c r="U105" s="93"/>
    </row>
    <row r="106" spans="1:21" ht="33.75" customHeight="1">
      <c r="A106" s="28"/>
      <c r="B106" s="258" t="s">
        <v>105</v>
      </c>
      <c r="C106" s="259"/>
      <c r="D106" s="260"/>
      <c r="E106" s="5"/>
      <c r="F106" s="176">
        <v>7.71</v>
      </c>
      <c r="G106" s="174">
        <f>F106*F119</f>
        <v>228.216</v>
      </c>
      <c r="H106" s="175"/>
      <c r="I106" s="176">
        <v>6.36</v>
      </c>
      <c r="J106" s="174">
        <f>I106*F119</f>
        <v>188.25600000000003</v>
      </c>
      <c r="K106" s="175"/>
      <c r="L106" s="176">
        <v>3.69</v>
      </c>
      <c r="M106" s="174">
        <f>L106*G119</f>
        <v>113.1723</v>
      </c>
      <c r="N106" s="175"/>
      <c r="O106" s="176">
        <v>32.91</v>
      </c>
      <c r="P106" s="186">
        <f>O106*G119</f>
        <v>1009.3497</v>
      </c>
      <c r="Q106" s="187">
        <f aca="true" t="shared" si="23" ref="Q106:R109">F106+I106+L106+O106</f>
        <v>50.67</v>
      </c>
      <c r="R106" s="186">
        <v>1539</v>
      </c>
      <c r="S106" s="60"/>
      <c r="T106" s="10"/>
      <c r="U106" s="10"/>
    </row>
    <row r="107" spans="1:21" ht="33.75" customHeight="1">
      <c r="A107" s="28"/>
      <c r="B107" s="258" t="s">
        <v>49</v>
      </c>
      <c r="C107" s="259"/>
      <c r="D107" s="260"/>
      <c r="E107" s="5"/>
      <c r="F107" s="176">
        <v>48</v>
      </c>
      <c r="G107" s="174">
        <f>40*F119+8*F120</f>
        <v>1517.04</v>
      </c>
      <c r="H107" s="175"/>
      <c r="I107" s="176">
        <v>48</v>
      </c>
      <c r="J107" s="174">
        <f>40*F119+8*F120</f>
        <v>1517.04</v>
      </c>
      <c r="K107" s="175"/>
      <c r="L107" s="176">
        <v>69</v>
      </c>
      <c r="M107" s="174">
        <f>40*G119+29*G120</f>
        <v>2434.07</v>
      </c>
      <c r="N107" s="175"/>
      <c r="O107" s="176">
        <v>48</v>
      </c>
      <c r="P107" s="186">
        <f>40*G119+8*G120</f>
        <v>1559.8400000000001</v>
      </c>
      <c r="Q107" s="187">
        <f t="shared" si="23"/>
        <v>213</v>
      </c>
      <c r="R107" s="186">
        <f t="shared" si="23"/>
        <v>7027.99</v>
      </c>
      <c r="S107" s="60"/>
      <c r="T107" s="10"/>
      <c r="U107" s="10"/>
    </row>
    <row r="108" spans="1:21" ht="33.75" customHeight="1">
      <c r="A108" s="28"/>
      <c r="B108" s="258" t="s">
        <v>50</v>
      </c>
      <c r="C108" s="259"/>
      <c r="D108" s="260"/>
      <c r="E108" s="5"/>
      <c r="F108" s="176">
        <v>32.2</v>
      </c>
      <c r="G108" s="174">
        <f>27.6*F119+4.6*F120</f>
        <v>1008.4580000000001</v>
      </c>
      <c r="H108" s="175"/>
      <c r="I108" s="176">
        <v>29.1</v>
      </c>
      <c r="J108" s="174">
        <f>27.6*F119+1.5*F120</f>
        <v>879.4050000000001</v>
      </c>
      <c r="K108" s="175"/>
      <c r="L108" s="176">
        <v>29.1</v>
      </c>
      <c r="M108" s="174">
        <f>27.6*G119+1.5*G120</f>
        <v>908.9370000000001</v>
      </c>
      <c r="N108" s="175"/>
      <c r="O108" s="176">
        <v>31.7</v>
      </c>
      <c r="P108" s="186">
        <f>27.6*G119+4.1*G120</f>
        <v>1017.1750000000001</v>
      </c>
      <c r="Q108" s="187">
        <f t="shared" si="23"/>
        <v>122.10000000000001</v>
      </c>
      <c r="R108" s="186">
        <v>3813.99</v>
      </c>
      <c r="S108" s="60"/>
      <c r="T108" s="10"/>
      <c r="U108" s="10"/>
    </row>
    <row r="109" spans="1:21" ht="35.25" customHeight="1">
      <c r="A109" s="28"/>
      <c r="B109" s="291" t="s">
        <v>40</v>
      </c>
      <c r="C109" s="291"/>
      <c r="D109" s="291"/>
      <c r="E109" s="5"/>
      <c r="F109" s="176">
        <v>45</v>
      </c>
      <c r="G109" s="174">
        <f>F109*F119</f>
        <v>1332</v>
      </c>
      <c r="H109" s="175"/>
      <c r="I109" s="176">
        <v>10</v>
      </c>
      <c r="J109" s="174">
        <f>I109*F119</f>
        <v>296</v>
      </c>
      <c r="K109" s="175"/>
      <c r="L109" s="176">
        <v>5</v>
      </c>
      <c r="M109" s="174">
        <f>L109*G119</f>
        <v>153.35000000000002</v>
      </c>
      <c r="N109" s="175"/>
      <c r="O109" s="176">
        <v>133.2</v>
      </c>
      <c r="P109" s="186">
        <f>O109*G119</f>
        <v>4085.2439999999997</v>
      </c>
      <c r="Q109" s="187">
        <f t="shared" si="23"/>
        <v>193.2</v>
      </c>
      <c r="R109" s="186">
        <f t="shared" si="23"/>
        <v>5866.593999999999</v>
      </c>
      <c r="S109" s="60" t="s">
        <v>79</v>
      </c>
      <c r="T109" s="10"/>
      <c r="U109" s="10"/>
    </row>
    <row r="110" spans="1:21" s="89" customFormat="1" ht="30.75" customHeight="1">
      <c r="A110" s="96">
        <v>6</v>
      </c>
      <c r="B110" s="255" t="s">
        <v>53</v>
      </c>
      <c r="C110" s="256"/>
      <c r="D110" s="257"/>
      <c r="E110" s="90"/>
      <c r="F110" s="173">
        <f>F111+F112+F113</f>
        <v>2682</v>
      </c>
      <c r="G110" s="172">
        <f>G111+G112+G113</f>
        <v>79387.2</v>
      </c>
      <c r="H110" s="85"/>
      <c r="I110" s="173">
        <f>I111+I112+I113</f>
        <v>2575</v>
      </c>
      <c r="J110" s="172">
        <f>J111+J112+J113</f>
        <v>76220</v>
      </c>
      <c r="K110" s="85"/>
      <c r="L110" s="173">
        <f>L111+L112+L113</f>
        <v>2376</v>
      </c>
      <c r="M110" s="172">
        <f>M111+M112+M113</f>
        <v>72871.92</v>
      </c>
      <c r="N110" s="85"/>
      <c r="O110" s="173">
        <f>O111+O112+O113</f>
        <v>2710</v>
      </c>
      <c r="P110" s="184">
        <f>P111+P112+P113</f>
        <v>83115.70000000001</v>
      </c>
      <c r="Q110" s="185">
        <f>Q111+Q112+Q113</f>
        <v>10343</v>
      </c>
      <c r="R110" s="184">
        <f>R111+R112+R113</f>
        <v>311594.81999999995</v>
      </c>
      <c r="S110" s="86"/>
      <c r="T110" s="93"/>
      <c r="U110" s="93"/>
    </row>
    <row r="111" spans="1:21" ht="36.75" customHeight="1">
      <c r="A111" s="30"/>
      <c r="B111" s="258" t="s">
        <v>71</v>
      </c>
      <c r="C111" s="259"/>
      <c r="D111" s="260"/>
      <c r="E111" s="5"/>
      <c r="F111" s="176">
        <v>192</v>
      </c>
      <c r="G111" s="174">
        <f>F111*F119</f>
        <v>5683.200000000001</v>
      </c>
      <c r="H111" s="175"/>
      <c r="I111" s="176">
        <v>185</v>
      </c>
      <c r="J111" s="174">
        <f>I111*F119</f>
        <v>5476</v>
      </c>
      <c r="K111" s="175"/>
      <c r="L111" s="176">
        <v>86</v>
      </c>
      <c r="M111" s="174">
        <f>L111*G119</f>
        <v>2637.6200000000003</v>
      </c>
      <c r="N111" s="175"/>
      <c r="O111" s="176">
        <v>220</v>
      </c>
      <c r="P111" s="186">
        <f>O111*G119</f>
        <v>6747.400000000001</v>
      </c>
      <c r="Q111" s="187">
        <f>F111+I111+L111+O111</f>
        <v>683</v>
      </c>
      <c r="R111" s="186">
        <f>G111+J111+M111+P111</f>
        <v>20544.22</v>
      </c>
      <c r="S111" s="60"/>
      <c r="T111" s="10"/>
      <c r="U111" s="10"/>
    </row>
    <row r="112" spans="1:21" ht="35.25" customHeight="1">
      <c r="A112" s="30"/>
      <c r="B112" s="258" t="s">
        <v>55</v>
      </c>
      <c r="C112" s="259"/>
      <c r="D112" s="260"/>
      <c r="E112" s="5"/>
      <c r="F112" s="176">
        <v>300</v>
      </c>
      <c r="G112" s="174">
        <f>F112*F119</f>
        <v>8880</v>
      </c>
      <c r="H112" s="175"/>
      <c r="I112" s="176">
        <v>200</v>
      </c>
      <c r="J112" s="174">
        <f>I112*F119</f>
        <v>5920</v>
      </c>
      <c r="K112" s="175"/>
      <c r="L112" s="176">
        <v>100</v>
      </c>
      <c r="M112" s="174">
        <f>L112*G119</f>
        <v>3067</v>
      </c>
      <c r="N112" s="175"/>
      <c r="O112" s="176">
        <v>300</v>
      </c>
      <c r="P112" s="186">
        <f>O112*G119</f>
        <v>9201</v>
      </c>
      <c r="Q112" s="187">
        <f>F112+I112+L112+O112</f>
        <v>900</v>
      </c>
      <c r="R112" s="186">
        <f>G112+J112+M112+P112</f>
        <v>27068</v>
      </c>
      <c r="S112" s="60"/>
      <c r="T112" s="10"/>
      <c r="U112" s="10"/>
    </row>
    <row r="113" spans="1:21" ht="36.75" customHeight="1">
      <c r="A113" s="30"/>
      <c r="B113" s="258" t="s">
        <v>82</v>
      </c>
      <c r="C113" s="259"/>
      <c r="D113" s="260"/>
      <c r="E113" s="5"/>
      <c r="F113" s="176">
        <v>2190</v>
      </c>
      <c r="G113" s="174">
        <f>SUM(F113)*F119</f>
        <v>64824</v>
      </c>
      <c r="H113" s="175"/>
      <c r="I113" s="176">
        <v>2190</v>
      </c>
      <c r="J113" s="174">
        <f>SUM(I113)*F119</f>
        <v>64824</v>
      </c>
      <c r="K113" s="175"/>
      <c r="L113" s="176">
        <v>2190</v>
      </c>
      <c r="M113" s="174">
        <f>SUM(L113)*G119</f>
        <v>67167.3</v>
      </c>
      <c r="N113" s="175"/>
      <c r="O113" s="176">
        <v>2190</v>
      </c>
      <c r="P113" s="186">
        <f>SUM(O113)*G119</f>
        <v>67167.3</v>
      </c>
      <c r="Q113" s="187">
        <f>F113+I113+L113+O113</f>
        <v>8760</v>
      </c>
      <c r="R113" s="186">
        <f>SUM(G113)+J113+M113+P113</f>
        <v>263982.6</v>
      </c>
      <c r="S113" s="60"/>
      <c r="T113" s="10"/>
      <c r="U113" s="10"/>
    </row>
    <row r="114" spans="1:21" ht="36.75" customHeight="1">
      <c r="A114" s="92">
        <v>7</v>
      </c>
      <c r="B114" s="255" t="s">
        <v>83</v>
      </c>
      <c r="C114" s="256"/>
      <c r="D114" s="257"/>
      <c r="E114" s="5"/>
      <c r="F114" s="231">
        <f>SUM(F115:F116)</f>
        <v>30</v>
      </c>
      <c r="G114" s="234">
        <f aca="true" t="shared" si="24" ref="G114:R114">SUM(G115:G116)</f>
        <v>888</v>
      </c>
      <c r="H114" s="230">
        <f t="shared" si="24"/>
        <v>0</v>
      </c>
      <c r="I114" s="231">
        <f t="shared" si="24"/>
        <v>30</v>
      </c>
      <c r="J114" s="234">
        <f t="shared" si="24"/>
        <v>888</v>
      </c>
      <c r="K114" s="230">
        <f t="shared" si="24"/>
        <v>0</v>
      </c>
      <c r="L114" s="231">
        <f t="shared" si="24"/>
        <v>30</v>
      </c>
      <c r="M114" s="234">
        <f t="shared" si="24"/>
        <v>920.1</v>
      </c>
      <c r="N114" s="230">
        <f t="shared" si="24"/>
        <v>0</v>
      </c>
      <c r="O114" s="231">
        <f t="shared" si="24"/>
        <v>30</v>
      </c>
      <c r="P114" s="232">
        <f t="shared" si="24"/>
        <v>920.1</v>
      </c>
      <c r="Q114" s="235">
        <f t="shared" si="24"/>
        <v>120</v>
      </c>
      <c r="R114" s="232">
        <f t="shared" si="24"/>
        <v>3616.2</v>
      </c>
      <c r="S114" s="60"/>
      <c r="T114" s="10"/>
      <c r="U114" s="10"/>
    </row>
    <row r="115" spans="1:21" ht="36.75" customHeight="1">
      <c r="A115" s="92"/>
      <c r="B115" s="285" t="s">
        <v>84</v>
      </c>
      <c r="C115" s="286"/>
      <c r="D115" s="287"/>
      <c r="E115" s="5"/>
      <c r="F115" s="176">
        <v>0</v>
      </c>
      <c r="G115" s="174"/>
      <c r="H115" s="175"/>
      <c r="I115" s="176">
        <v>0</v>
      </c>
      <c r="J115" s="174"/>
      <c r="K115" s="175"/>
      <c r="L115" s="176">
        <v>0</v>
      </c>
      <c r="M115" s="174"/>
      <c r="N115" s="175"/>
      <c r="O115" s="176">
        <v>0</v>
      </c>
      <c r="P115" s="186"/>
      <c r="Q115" s="187"/>
      <c r="R115" s="186"/>
      <c r="S115" s="60"/>
      <c r="T115" s="10"/>
      <c r="U115" s="10"/>
    </row>
    <row r="116" spans="1:21" ht="36.75" customHeight="1">
      <c r="A116" s="92"/>
      <c r="B116" s="285" t="s">
        <v>85</v>
      </c>
      <c r="C116" s="286"/>
      <c r="D116" s="287"/>
      <c r="E116" s="5"/>
      <c r="F116" s="176">
        <v>30</v>
      </c>
      <c r="G116" s="174">
        <f>SUM(F116)*F119</f>
        <v>888</v>
      </c>
      <c r="H116" s="175"/>
      <c r="I116" s="176">
        <v>30</v>
      </c>
      <c r="J116" s="174">
        <f>SUM(I116)*F119</f>
        <v>888</v>
      </c>
      <c r="K116" s="175"/>
      <c r="L116" s="176">
        <v>30</v>
      </c>
      <c r="M116" s="174">
        <f>SUM(L116)*G119</f>
        <v>920.1</v>
      </c>
      <c r="N116" s="175"/>
      <c r="O116" s="176">
        <v>30</v>
      </c>
      <c r="P116" s="186">
        <f>SUM(O116)*G119</f>
        <v>920.1</v>
      </c>
      <c r="Q116" s="187">
        <f>F116+I116+L116+O116</f>
        <v>120</v>
      </c>
      <c r="R116" s="186">
        <f>SUM(G116)+J116+M116+P116</f>
        <v>3616.2</v>
      </c>
      <c r="S116" s="60"/>
      <c r="T116" s="10"/>
      <c r="U116" s="10"/>
    </row>
    <row r="117" spans="1:22" ht="31.5" customHeight="1">
      <c r="A117" s="33"/>
      <c r="B117" s="293" t="s">
        <v>19</v>
      </c>
      <c r="C117" s="294"/>
      <c r="D117" s="295"/>
      <c r="E117" s="12" t="e">
        <f>E92+#REF!+#REF!+E94+E95+E96+#REF!+E97+E98+E99+E100+E103+#REF!</f>
        <v>#REF!</v>
      </c>
      <c r="F117" s="179">
        <f>F92+F93+F100+F103+F105+F110+F114</f>
        <v>4460.3550000000005</v>
      </c>
      <c r="G117" s="180">
        <f aca="true" t="shared" si="25" ref="G117:R117">G92+G93+G100+G103+G105+G110+G114</f>
        <v>138310.32435</v>
      </c>
      <c r="H117" s="54">
        <f t="shared" si="25"/>
        <v>91.66</v>
      </c>
      <c r="I117" s="54">
        <f t="shared" si="25"/>
        <v>4589.305</v>
      </c>
      <c r="J117" s="180">
        <f t="shared" si="25"/>
        <v>144977.15435000003</v>
      </c>
      <c r="K117" s="54">
        <f t="shared" si="25"/>
        <v>91.86</v>
      </c>
      <c r="L117" s="179">
        <f t="shared" si="25"/>
        <v>4542.428</v>
      </c>
      <c r="M117" s="180">
        <f t="shared" si="25"/>
        <v>149950.07524</v>
      </c>
      <c r="N117" s="54">
        <f t="shared" si="25"/>
        <v>91.86</v>
      </c>
      <c r="O117" s="179">
        <f t="shared" si="25"/>
        <v>5035.748</v>
      </c>
      <c r="P117" s="195">
        <f t="shared" si="25"/>
        <v>163782.53564000002</v>
      </c>
      <c r="Q117" s="196">
        <f t="shared" si="25"/>
        <v>18627.836000000003</v>
      </c>
      <c r="R117" s="195">
        <f t="shared" si="25"/>
        <v>597020.0889999999</v>
      </c>
      <c r="T117" s="9"/>
      <c r="U117" s="9"/>
      <c r="V117" s="9"/>
    </row>
    <row r="118" spans="1:22" ht="26.25" customHeight="1">
      <c r="A118" s="33"/>
      <c r="B118" s="281" t="s">
        <v>17</v>
      </c>
      <c r="C118" s="281"/>
      <c r="D118" s="281"/>
      <c r="E118" s="278" t="s">
        <v>96</v>
      </c>
      <c r="F118" s="278"/>
      <c r="G118" s="278"/>
      <c r="H118" s="278"/>
      <c r="I118" s="278"/>
      <c r="J118" s="278"/>
      <c r="K118" s="278"/>
      <c r="L118" s="278"/>
      <c r="M118" s="278"/>
      <c r="N118" s="278"/>
      <c r="O118" s="278"/>
      <c r="P118" s="278"/>
      <c r="Q118" s="278"/>
      <c r="R118" s="278"/>
      <c r="T118" s="9"/>
      <c r="U118" s="9"/>
      <c r="V118" s="9"/>
    </row>
    <row r="119" spans="1:22" ht="25.5" customHeight="1">
      <c r="A119" s="41"/>
      <c r="B119" s="41"/>
      <c r="C119" s="41"/>
      <c r="D119" s="135"/>
      <c r="E119" s="135"/>
      <c r="F119" s="129">
        <v>29.6</v>
      </c>
      <c r="G119" s="132">
        <v>30.67</v>
      </c>
      <c r="H119" s="132"/>
      <c r="I119" s="132"/>
      <c r="J119" s="131"/>
      <c r="K119" s="37"/>
      <c r="L119" s="37"/>
      <c r="M119" s="97"/>
      <c r="N119" s="37"/>
      <c r="O119" s="37"/>
      <c r="P119" s="97"/>
      <c r="Q119" s="37"/>
      <c r="R119" s="97"/>
      <c r="T119" s="9"/>
      <c r="U119" s="9"/>
      <c r="V119" s="9"/>
    </row>
    <row r="120" spans="1:22" ht="33" customHeight="1" hidden="1">
      <c r="A120" s="41"/>
      <c r="B120" s="41"/>
      <c r="C120" s="41"/>
      <c r="D120" s="135"/>
      <c r="E120" s="135"/>
      <c r="F120" s="136">
        <v>41.63</v>
      </c>
      <c r="G120" s="132">
        <v>41.63</v>
      </c>
      <c r="H120" s="132"/>
      <c r="I120" s="132"/>
      <c r="J120" s="131"/>
      <c r="K120" s="37"/>
      <c r="L120" s="37"/>
      <c r="M120" s="97"/>
      <c r="N120" s="37"/>
      <c r="O120" s="37"/>
      <c r="P120" s="103"/>
      <c r="Q120" s="39"/>
      <c r="R120" s="97"/>
      <c r="T120" s="9"/>
      <c r="U120" s="9"/>
      <c r="V120" s="9"/>
    </row>
    <row r="121" spans="1:22" ht="34.5" customHeight="1">
      <c r="A121" s="279" t="s">
        <v>100</v>
      </c>
      <c r="B121" s="279"/>
      <c r="C121" s="279"/>
      <c r="D121" s="279"/>
      <c r="E121" s="279"/>
      <c r="F121" s="279"/>
      <c r="G121" s="279"/>
      <c r="H121" s="279"/>
      <c r="I121" s="279"/>
      <c r="J121" s="279"/>
      <c r="K121" s="279"/>
      <c r="L121" s="279"/>
      <c r="M121" s="279"/>
      <c r="N121" s="279"/>
      <c r="O121" s="279"/>
      <c r="P121" s="279"/>
      <c r="Q121" s="279"/>
      <c r="R121" s="279"/>
      <c r="T121" s="9"/>
      <c r="U121" s="9"/>
      <c r="V121" s="9"/>
    </row>
    <row r="122" spans="1:22" ht="25.5">
      <c r="A122" s="280" t="s">
        <v>15</v>
      </c>
      <c r="B122" s="261" t="s">
        <v>0</v>
      </c>
      <c r="C122" s="262"/>
      <c r="D122" s="263"/>
      <c r="E122" s="278" t="s">
        <v>1</v>
      </c>
      <c r="F122" s="278"/>
      <c r="G122" s="278"/>
      <c r="H122" s="278" t="s">
        <v>3</v>
      </c>
      <c r="I122" s="278"/>
      <c r="J122" s="278"/>
      <c r="K122" s="278" t="s">
        <v>4</v>
      </c>
      <c r="L122" s="278"/>
      <c r="M122" s="278"/>
      <c r="N122" s="278" t="s">
        <v>6</v>
      </c>
      <c r="O122" s="278"/>
      <c r="P122" s="278"/>
      <c r="Q122" s="278" t="s">
        <v>7</v>
      </c>
      <c r="R122" s="278"/>
      <c r="T122" s="9"/>
      <c r="U122" s="9"/>
      <c r="V122" s="9"/>
    </row>
    <row r="123" spans="1:22" ht="25.5">
      <c r="A123" s="280"/>
      <c r="B123" s="264"/>
      <c r="C123" s="265"/>
      <c r="D123" s="266"/>
      <c r="E123" s="57" t="s">
        <v>10</v>
      </c>
      <c r="F123" s="57" t="s">
        <v>10</v>
      </c>
      <c r="G123" s="100" t="s">
        <v>5</v>
      </c>
      <c r="H123" s="57" t="s">
        <v>10</v>
      </c>
      <c r="I123" s="57" t="s">
        <v>10</v>
      </c>
      <c r="J123" s="100" t="s">
        <v>5</v>
      </c>
      <c r="K123" s="57" t="s">
        <v>10</v>
      </c>
      <c r="L123" s="57" t="s">
        <v>10</v>
      </c>
      <c r="M123" s="100" t="s">
        <v>5</v>
      </c>
      <c r="N123" s="57" t="s">
        <v>10</v>
      </c>
      <c r="O123" s="57" t="s">
        <v>10</v>
      </c>
      <c r="P123" s="100" t="s">
        <v>5</v>
      </c>
      <c r="Q123" s="57" t="s">
        <v>10</v>
      </c>
      <c r="R123" s="100" t="s">
        <v>5</v>
      </c>
      <c r="T123" s="9"/>
      <c r="U123" s="9"/>
      <c r="V123" s="9"/>
    </row>
    <row r="124" spans="1:22" s="89" customFormat="1" ht="25.5" customHeight="1">
      <c r="A124" s="96">
        <v>1</v>
      </c>
      <c r="B124" s="255" t="s">
        <v>33</v>
      </c>
      <c r="C124" s="256"/>
      <c r="D124" s="257"/>
      <c r="E124" s="90">
        <v>17.5</v>
      </c>
      <c r="F124" s="173">
        <v>12.3</v>
      </c>
      <c r="G124" s="184">
        <f>F124*F153</f>
        <v>469.245</v>
      </c>
      <c r="H124" s="85">
        <v>17.5</v>
      </c>
      <c r="I124" s="173">
        <v>8.3</v>
      </c>
      <c r="J124" s="184">
        <f>I124*F153</f>
        <v>316.64500000000004</v>
      </c>
      <c r="K124" s="85">
        <v>17.5</v>
      </c>
      <c r="L124" s="173">
        <v>5.4</v>
      </c>
      <c r="M124" s="184">
        <f>L124*G153</f>
        <v>222.53400000000002</v>
      </c>
      <c r="N124" s="85">
        <v>17.5</v>
      </c>
      <c r="O124" s="173">
        <v>11.3</v>
      </c>
      <c r="P124" s="184">
        <f>O124*G153</f>
        <v>465.67300000000006</v>
      </c>
      <c r="Q124" s="85">
        <f>F124+I124+L124+O124</f>
        <v>37.3</v>
      </c>
      <c r="R124" s="172">
        <f>G124+J124+M124+P124</f>
        <v>1474.0970000000002</v>
      </c>
      <c r="S124" s="86"/>
      <c r="T124" s="88"/>
      <c r="U124" s="88"/>
      <c r="V124" s="87"/>
    </row>
    <row r="125" spans="1:22" s="89" customFormat="1" ht="36" customHeight="1">
      <c r="A125" s="96">
        <v>2</v>
      </c>
      <c r="B125" s="255" t="s">
        <v>41</v>
      </c>
      <c r="C125" s="256"/>
      <c r="D125" s="257"/>
      <c r="E125" s="90"/>
      <c r="F125" s="173">
        <f>F126+F127+F128+F129+F130+F131</f>
        <v>2325.56</v>
      </c>
      <c r="G125" s="184">
        <f>G126+G127+G128+G129+G131+G130</f>
        <v>72384.314</v>
      </c>
      <c r="H125" s="85"/>
      <c r="I125" s="173">
        <f>I126+I127+I128+I129+I130+I131</f>
        <v>2397.88</v>
      </c>
      <c r="J125" s="184">
        <f>J126+J127+J128+J129+J130+J131</f>
        <v>65770.322</v>
      </c>
      <c r="K125" s="85"/>
      <c r="L125" s="173">
        <f>L126+L127+L128+L129+L130+L131</f>
        <v>2361.08</v>
      </c>
      <c r="M125" s="184">
        <f>M126+M127+M128+M129+M130+M131</f>
        <v>68056.9068</v>
      </c>
      <c r="N125" s="85"/>
      <c r="O125" s="173">
        <f>O126+O127+O128+O129+O130+O131</f>
        <v>2343.7500000000005</v>
      </c>
      <c r="P125" s="184">
        <f>P126+P127+P128+P129+P130+P131</f>
        <v>68237.9375</v>
      </c>
      <c r="Q125" s="85">
        <f>Q126+Q127+Q129+Q130+Q131+Q128</f>
        <v>9428.27</v>
      </c>
      <c r="R125" s="172">
        <f>R126+R127+R128+R129+R130+R131</f>
        <v>274449.48030000005</v>
      </c>
      <c r="S125" s="86"/>
      <c r="T125" s="88"/>
      <c r="U125" s="88"/>
      <c r="V125" s="87"/>
    </row>
    <row r="126" spans="1:21" ht="51.75" customHeight="1">
      <c r="A126" s="30"/>
      <c r="B126" s="258" t="s">
        <v>34</v>
      </c>
      <c r="C126" s="259"/>
      <c r="D126" s="260"/>
      <c r="E126" s="5">
        <v>2715</v>
      </c>
      <c r="F126" s="176">
        <v>748.28</v>
      </c>
      <c r="G126" s="186">
        <f>F126*F153</f>
        <v>28546.881999999998</v>
      </c>
      <c r="H126" s="175">
        <v>2715</v>
      </c>
      <c r="I126" s="176">
        <v>409.15</v>
      </c>
      <c r="J126" s="186">
        <f>I126*F153</f>
        <v>15609.072499999998</v>
      </c>
      <c r="K126" s="175">
        <v>2715</v>
      </c>
      <c r="L126" s="176">
        <v>662.91</v>
      </c>
      <c r="M126" s="186">
        <f>L126*G153</f>
        <v>27318.521099999998</v>
      </c>
      <c r="N126" s="175">
        <v>2715</v>
      </c>
      <c r="O126" s="176">
        <v>464.93</v>
      </c>
      <c r="P126" s="186">
        <f>O126*G153</f>
        <v>19159.7653</v>
      </c>
      <c r="Q126" s="175">
        <f aca="true" t="shared" si="26" ref="Q126:Q131">F126+I126+L126+O126</f>
        <v>2285.2699999999995</v>
      </c>
      <c r="R126" s="174">
        <f aca="true" t="shared" si="27" ref="R126:R131">G126+J126+M126+P126</f>
        <v>90634.24089999999</v>
      </c>
      <c r="S126" s="60" t="s">
        <v>78</v>
      </c>
      <c r="T126" s="10"/>
      <c r="U126" s="10"/>
    </row>
    <row r="127" spans="1:22" ht="51.75" customHeight="1">
      <c r="A127" s="30"/>
      <c r="B127" s="306" t="s">
        <v>35</v>
      </c>
      <c r="C127" s="307"/>
      <c r="D127" s="308"/>
      <c r="E127" s="5">
        <v>816</v>
      </c>
      <c r="F127" s="176">
        <v>250</v>
      </c>
      <c r="G127" s="186">
        <f>F127*F153</f>
        <v>9537.5</v>
      </c>
      <c r="H127" s="175">
        <v>816</v>
      </c>
      <c r="I127" s="176">
        <v>230</v>
      </c>
      <c r="J127" s="186">
        <f>I127*F153</f>
        <v>8774.5</v>
      </c>
      <c r="K127" s="175">
        <v>816</v>
      </c>
      <c r="L127" s="176">
        <v>230</v>
      </c>
      <c r="M127" s="186">
        <f>L127*G153</f>
        <v>9478.300000000001</v>
      </c>
      <c r="N127" s="175">
        <v>816</v>
      </c>
      <c r="O127" s="176">
        <v>250</v>
      </c>
      <c r="P127" s="186">
        <f>O127*G153</f>
        <v>10302.5</v>
      </c>
      <c r="Q127" s="175">
        <f t="shared" si="26"/>
        <v>960</v>
      </c>
      <c r="R127" s="174">
        <f t="shared" si="27"/>
        <v>38092.8</v>
      </c>
      <c r="S127" s="60" t="s">
        <v>78</v>
      </c>
      <c r="T127" s="8"/>
      <c r="U127" s="8"/>
      <c r="V127" s="9"/>
    </row>
    <row r="128" spans="1:22" ht="51" customHeight="1">
      <c r="A128" s="30"/>
      <c r="B128" s="258" t="s">
        <v>36</v>
      </c>
      <c r="C128" s="259"/>
      <c r="D128" s="260"/>
      <c r="E128" s="5">
        <v>910.2</v>
      </c>
      <c r="F128" s="176">
        <v>400</v>
      </c>
      <c r="G128" s="186">
        <f>F128*F154</f>
        <v>4548</v>
      </c>
      <c r="H128" s="175">
        <v>1072.5</v>
      </c>
      <c r="I128" s="176">
        <v>450</v>
      </c>
      <c r="J128" s="186">
        <f>I128*F154</f>
        <v>5116.5</v>
      </c>
      <c r="K128" s="175">
        <v>905.1</v>
      </c>
      <c r="L128" s="176">
        <v>200</v>
      </c>
      <c r="M128" s="186">
        <f>L128*G154</f>
        <v>2274</v>
      </c>
      <c r="N128" s="175">
        <v>1121.6</v>
      </c>
      <c r="O128" s="176">
        <v>400</v>
      </c>
      <c r="P128" s="186">
        <f>O128*G154</f>
        <v>4548</v>
      </c>
      <c r="Q128" s="175">
        <f t="shared" si="26"/>
        <v>1450</v>
      </c>
      <c r="R128" s="174">
        <f t="shared" si="27"/>
        <v>16486.5</v>
      </c>
      <c r="S128" s="60" t="s">
        <v>78</v>
      </c>
      <c r="T128" s="8"/>
      <c r="U128" s="8"/>
      <c r="V128" s="9"/>
    </row>
    <row r="129" spans="1:22" ht="36" customHeight="1">
      <c r="A129" s="30"/>
      <c r="B129" s="291" t="s">
        <v>37</v>
      </c>
      <c r="C129" s="291"/>
      <c r="D129" s="291"/>
      <c r="E129" s="5">
        <v>1845</v>
      </c>
      <c r="F129" s="176">
        <v>210</v>
      </c>
      <c r="G129" s="186">
        <f>F129*F154</f>
        <v>2387.7</v>
      </c>
      <c r="H129" s="175">
        <v>1803</v>
      </c>
      <c r="I129" s="176">
        <v>510</v>
      </c>
      <c r="J129" s="186">
        <f>I129*F154</f>
        <v>5798.7</v>
      </c>
      <c r="K129" s="175">
        <v>1803</v>
      </c>
      <c r="L129" s="176">
        <v>780</v>
      </c>
      <c r="M129" s="186">
        <f>L129*G154</f>
        <v>8868.599999999999</v>
      </c>
      <c r="N129" s="175">
        <v>1813.3</v>
      </c>
      <c r="O129" s="176">
        <v>550</v>
      </c>
      <c r="P129" s="186">
        <f>O129*G154</f>
        <v>6253.5</v>
      </c>
      <c r="Q129" s="175">
        <f t="shared" si="26"/>
        <v>2050</v>
      </c>
      <c r="R129" s="174">
        <f t="shared" si="27"/>
        <v>23308.5</v>
      </c>
      <c r="S129" s="60" t="s">
        <v>78</v>
      </c>
      <c r="T129" s="8"/>
      <c r="U129" s="8"/>
      <c r="V129" s="9"/>
    </row>
    <row r="130" spans="1:22" s="111" customFormat="1" ht="33" customHeight="1">
      <c r="A130" s="114"/>
      <c r="B130" s="292" t="s">
        <v>38</v>
      </c>
      <c r="C130" s="292"/>
      <c r="D130" s="292"/>
      <c r="E130" s="107">
        <v>74.5</v>
      </c>
      <c r="F130" s="188">
        <v>675</v>
      </c>
      <c r="G130" s="191">
        <f>F130*F153</f>
        <v>25751.25</v>
      </c>
      <c r="H130" s="190">
        <v>72.8</v>
      </c>
      <c r="I130" s="188">
        <v>766.5</v>
      </c>
      <c r="J130" s="191">
        <f>I130*F153</f>
        <v>29241.975</v>
      </c>
      <c r="K130" s="190">
        <v>72.9</v>
      </c>
      <c r="L130" s="188">
        <v>400</v>
      </c>
      <c r="M130" s="191">
        <f>L130*G153</f>
        <v>16484</v>
      </c>
      <c r="N130" s="190">
        <v>72.9</v>
      </c>
      <c r="O130" s="188">
        <v>658.5</v>
      </c>
      <c r="P130" s="191">
        <f>O130*G153</f>
        <v>27136.785</v>
      </c>
      <c r="Q130" s="190">
        <f t="shared" si="26"/>
        <v>2500</v>
      </c>
      <c r="R130" s="189">
        <f t="shared" si="27"/>
        <v>98614.01000000001</v>
      </c>
      <c r="S130" s="108" t="s">
        <v>78</v>
      </c>
      <c r="T130" s="110"/>
      <c r="U130" s="110"/>
      <c r="V130" s="109"/>
    </row>
    <row r="131" spans="1:22" s="111" customFormat="1" ht="55.5" customHeight="1">
      <c r="A131" s="114"/>
      <c r="B131" s="292" t="s">
        <v>39</v>
      </c>
      <c r="C131" s="292"/>
      <c r="D131" s="292"/>
      <c r="E131" s="107">
        <v>88.6</v>
      </c>
      <c r="F131" s="197">
        <v>42.28</v>
      </c>
      <c r="G131" s="191">
        <f>F131*F153</f>
        <v>1612.982</v>
      </c>
      <c r="H131" s="190">
        <v>88.5</v>
      </c>
      <c r="I131" s="198">
        <v>32.23</v>
      </c>
      <c r="J131" s="191">
        <f>I131*F153</f>
        <v>1229.5745</v>
      </c>
      <c r="K131" s="190">
        <v>88.5</v>
      </c>
      <c r="L131" s="188">
        <v>88.17</v>
      </c>
      <c r="M131" s="191">
        <f>L131*G153</f>
        <v>3633.4857</v>
      </c>
      <c r="N131" s="190">
        <v>88.5</v>
      </c>
      <c r="O131" s="198">
        <v>20.32</v>
      </c>
      <c r="P131" s="191">
        <f>O131*G153</f>
        <v>837.3872</v>
      </c>
      <c r="Q131" s="190">
        <f t="shared" si="26"/>
        <v>183</v>
      </c>
      <c r="R131" s="189">
        <f t="shared" si="27"/>
        <v>7313.4294</v>
      </c>
      <c r="S131" s="108" t="s">
        <v>78</v>
      </c>
      <c r="T131" s="110"/>
      <c r="U131" s="110"/>
      <c r="V131" s="109"/>
    </row>
    <row r="132" spans="1:22" s="89" customFormat="1" ht="51.75" customHeight="1">
      <c r="A132" s="96">
        <v>3</v>
      </c>
      <c r="B132" s="255" t="s">
        <v>42</v>
      </c>
      <c r="C132" s="256"/>
      <c r="D132" s="257"/>
      <c r="E132" s="90">
        <v>118.05</v>
      </c>
      <c r="F132" s="178">
        <f>SUM(F133:F135)</f>
        <v>130.847</v>
      </c>
      <c r="G132" s="184">
        <f aca="true" t="shared" si="28" ref="G132:Q132">SUM(G133:G135)</f>
        <v>4433.53039</v>
      </c>
      <c r="H132" s="85">
        <f t="shared" si="28"/>
        <v>0</v>
      </c>
      <c r="I132" s="178">
        <f t="shared" si="28"/>
        <v>130.847</v>
      </c>
      <c r="J132" s="184">
        <f t="shared" si="28"/>
        <v>4433.53039</v>
      </c>
      <c r="K132" s="85">
        <f t="shared" si="28"/>
        <v>0</v>
      </c>
      <c r="L132" s="178">
        <f t="shared" si="28"/>
        <v>130.825</v>
      </c>
      <c r="M132" s="184">
        <f t="shared" si="28"/>
        <v>4769.88025</v>
      </c>
      <c r="N132" s="85">
        <f t="shared" si="28"/>
        <v>0</v>
      </c>
      <c r="O132" s="178">
        <f t="shared" si="28"/>
        <v>130.825</v>
      </c>
      <c r="P132" s="184">
        <f t="shared" si="28"/>
        <v>4769.88025</v>
      </c>
      <c r="Q132" s="177">
        <f t="shared" si="28"/>
        <v>523.344</v>
      </c>
      <c r="R132" s="172">
        <f>SUM(R133:R136)</f>
        <v>57930.02128</v>
      </c>
      <c r="S132" s="86"/>
      <c r="T132" s="88"/>
      <c r="U132" s="88"/>
      <c r="V132" s="87"/>
    </row>
    <row r="133" spans="1:22" ht="42.75" customHeight="1">
      <c r="A133" s="28"/>
      <c r="B133" s="282" t="s">
        <v>98</v>
      </c>
      <c r="C133" s="283"/>
      <c r="D133" s="284"/>
      <c r="E133" s="5"/>
      <c r="F133" s="176">
        <v>80</v>
      </c>
      <c r="G133" s="186">
        <f>F133*F153</f>
        <v>3052</v>
      </c>
      <c r="H133" s="54"/>
      <c r="I133" s="176">
        <v>80</v>
      </c>
      <c r="J133" s="186">
        <f>I133*F153</f>
        <v>3052</v>
      </c>
      <c r="K133" s="175"/>
      <c r="L133" s="176">
        <v>80</v>
      </c>
      <c r="M133" s="186">
        <f>L133*G153</f>
        <v>3296.8</v>
      </c>
      <c r="N133" s="175"/>
      <c r="O133" s="176">
        <v>80</v>
      </c>
      <c r="P133" s="186">
        <f>O133*G153</f>
        <v>3296.8</v>
      </c>
      <c r="Q133" s="175">
        <f aca="true" t="shared" si="29" ref="Q133:R136">F133+I133+L133+O133</f>
        <v>320</v>
      </c>
      <c r="R133" s="174">
        <f t="shared" si="29"/>
        <v>12697.599999999999</v>
      </c>
      <c r="S133" s="60"/>
      <c r="T133" s="8"/>
      <c r="U133" s="8"/>
      <c r="V133" s="9"/>
    </row>
    <row r="134" spans="1:22" ht="39.75" customHeight="1">
      <c r="A134" s="28"/>
      <c r="B134" s="282" t="s">
        <v>99</v>
      </c>
      <c r="C134" s="283"/>
      <c r="D134" s="284"/>
      <c r="E134" s="5"/>
      <c r="F134" s="194">
        <v>20.847</v>
      </c>
      <c r="G134" s="186">
        <f>F134*F154</f>
        <v>237.03039</v>
      </c>
      <c r="H134" s="54"/>
      <c r="I134" s="194">
        <v>20.847</v>
      </c>
      <c r="J134" s="186">
        <f>I134*F154</f>
        <v>237.03039</v>
      </c>
      <c r="K134" s="175"/>
      <c r="L134" s="194">
        <v>20.825</v>
      </c>
      <c r="M134" s="186">
        <f>L134*G154</f>
        <v>236.78024999999997</v>
      </c>
      <c r="N134" s="175"/>
      <c r="O134" s="194">
        <v>20.825</v>
      </c>
      <c r="P134" s="186">
        <f>O134*G154</f>
        <v>236.78024999999997</v>
      </c>
      <c r="Q134" s="175">
        <f t="shared" si="29"/>
        <v>83.34400000000001</v>
      </c>
      <c r="R134" s="174">
        <f t="shared" si="29"/>
        <v>947.6212800000001</v>
      </c>
      <c r="S134" s="60"/>
      <c r="T134" s="8"/>
      <c r="U134" s="8"/>
      <c r="V134" s="9"/>
    </row>
    <row r="135" spans="1:22" ht="39.75" customHeight="1">
      <c r="A135" s="28"/>
      <c r="B135" s="274" t="s">
        <v>101</v>
      </c>
      <c r="C135" s="275"/>
      <c r="D135" s="244" t="s">
        <v>103</v>
      </c>
      <c r="E135" s="5"/>
      <c r="F135" s="194">
        <v>30</v>
      </c>
      <c r="G135" s="186">
        <f>F135*F153</f>
        <v>1144.5</v>
      </c>
      <c r="H135" s="54"/>
      <c r="I135" s="194">
        <v>30</v>
      </c>
      <c r="J135" s="186">
        <f>I135*F153</f>
        <v>1144.5</v>
      </c>
      <c r="K135" s="175"/>
      <c r="L135" s="194">
        <v>30</v>
      </c>
      <c r="M135" s="186">
        <f>L135*G153</f>
        <v>1236.3</v>
      </c>
      <c r="N135" s="175"/>
      <c r="O135" s="194">
        <v>30</v>
      </c>
      <c r="P135" s="186">
        <f>O135*G153</f>
        <v>1236.3</v>
      </c>
      <c r="Q135" s="175">
        <f t="shared" si="29"/>
        <v>120</v>
      </c>
      <c r="R135" s="174">
        <f t="shared" si="29"/>
        <v>4761.6</v>
      </c>
      <c r="S135" s="60"/>
      <c r="T135" s="8"/>
      <c r="U135" s="8"/>
      <c r="V135" s="9"/>
    </row>
    <row r="136" spans="1:22" ht="39.75" customHeight="1">
      <c r="A136" s="28"/>
      <c r="B136" s="276"/>
      <c r="C136" s="277"/>
      <c r="D136" s="244" t="s">
        <v>102</v>
      </c>
      <c r="E136" s="5"/>
      <c r="F136" s="194">
        <v>30</v>
      </c>
      <c r="G136" s="186">
        <f>F136*F155</f>
        <v>9880.800000000001</v>
      </c>
      <c r="H136" s="54"/>
      <c r="I136" s="194">
        <v>30</v>
      </c>
      <c r="J136" s="186">
        <f>I136*F155</f>
        <v>9880.800000000001</v>
      </c>
      <c r="K136" s="175"/>
      <c r="L136" s="194">
        <v>30</v>
      </c>
      <c r="M136" s="186">
        <f>L136*G155</f>
        <v>9880.800000000001</v>
      </c>
      <c r="N136" s="175"/>
      <c r="O136" s="194">
        <v>30</v>
      </c>
      <c r="P136" s="186">
        <f>O136*G155</f>
        <v>9880.800000000001</v>
      </c>
      <c r="Q136" s="175">
        <f t="shared" si="29"/>
        <v>120</v>
      </c>
      <c r="R136" s="174">
        <f t="shared" si="29"/>
        <v>39523.200000000004</v>
      </c>
      <c r="S136" s="60"/>
      <c r="T136" s="8"/>
      <c r="U136" s="8"/>
      <c r="V136" s="9"/>
    </row>
    <row r="137" spans="1:22" s="89" customFormat="1" ht="33.75" customHeight="1">
      <c r="A137" s="96">
        <v>4</v>
      </c>
      <c r="B137" s="255" t="s">
        <v>43</v>
      </c>
      <c r="C137" s="256"/>
      <c r="D137" s="257"/>
      <c r="E137" s="90">
        <v>180</v>
      </c>
      <c r="F137" s="173">
        <f>F138</f>
        <v>23.4</v>
      </c>
      <c r="G137" s="184">
        <f>G138</f>
        <v>892.7099999999999</v>
      </c>
      <c r="H137" s="85"/>
      <c r="I137" s="173">
        <f>I138</f>
        <v>23.4</v>
      </c>
      <c r="J137" s="184">
        <f>J138</f>
        <v>892.7099999999999</v>
      </c>
      <c r="K137" s="85"/>
      <c r="L137" s="173">
        <f>L138</f>
        <v>23.7</v>
      </c>
      <c r="M137" s="184">
        <f>M138</f>
        <v>976.677</v>
      </c>
      <c r="N137" s="85"/>
      <c r="O137" s="173">
        <f>O138</f>
        <v>23.1</v>
      </c>
      <c r="P137" s="184">
        <f>P138</f>
        <v>951.951</v>
      </c>
      <c r="Q137" s="85">
        <f>Q138</f>
        <v>93.6</v>
      </c>
      <c r="R137" s="172">
        <f>R138</f>
        <v>3714.048</v>
      </c>
      <c r="S137" s="86"/>
      <c r="T137" s="88"/>
      <c r="U137" s="88"/>
      <c r="V137" s="87"/>
    </row>
    <row r="138" spans="1:22" ht="33.75" customHeight="1">
      <c r="A138" s="30"/>
      <c r="B138" s="258" t="s">
        <v>44</v>
      </c>
      <c r="C138" s="259"/>
      <c r="D138" s="260"/>
      <c r="E138" s="5"/>
      <c r="F138" s="176">
        <v>23.4</v>
      </c>
      <c r="G138" s="186">
        <f>F138*F153</f>
        <v>892.7099999999999</v>
      </c>
      <c r="H138" s="175"/>
      <c r="I138" s="176">
        <v>23.4</v>
      </c>
      <c r="J138" s="186">
        <f>I138*F153</f>
        <v>892.7099999999999</v>
      </c>
      <c r="K138" s="175"/>
      <c r="L138" s="176">
        <v>23.7</v>
      </c>
      <c r="M138" s="186">
        <f>L138*G153</f>
        <v>976.677</v>
      </c>
      <c r="N138" s="175"/>
      <c r="O138" s="176">
        <v>23.1</v>
      </c>
      <c r="P138" s="186">
        <f>O138*G153</f>
        <v>951.951</v>
      </c>
      <c r="Q138" s="175">
        <f>F138+I138+L138+O138</f>
        <v>93.6</v>
      </c>
      <c r="R138" s="174">
        <f>G138+J138+M138+P138</f>
        <v>3714.048</v>
      </c>
      <c r="S138" s="60"/>
      <c r="T138" s="8"/>
      <c r="U138" s="8"/>
      <c r="V138" s="9"/>
    </row>
    <row r="139" spans="1:22" s="89" customFormat="1" ht="53.25" customHeight="1">
      <c r="A139" s="96">
        <v>5</v>
      </c>
      <c r="B139" s="255" t="s">
        <v>47</v>
      </c>
      <c r="C139" s="256"/>
      <c r="D139" s="257"/>
      <c r="E139" s="90"/>
      <c r="F139" s="173">
        <f>F140+F141+F142+F143</f>
        <v>189.14</v>
      </c>
      <c r="G139" s="184">
        <f>G140+G141+G142+G143</f>
        <v>6497.987</v>
      </c>
      <c r="H139" s="85"/>
      <c r="I139" s="173">
        <f>I140+I141+I142+I143</f>
        <v>171.2</v>
      </c>
      <c r="J139" s="184">
        <f>J140+J141+J142+J143</f>
        <v>5950.154</v>
      </c>
      <c r="K139" s="85"/>
      <c r="L139" s="173">
        <f>L140+L141+L142+L143</f>
        <v>152.42000000000002</v>
      </c>
      <c r="M139" s="184">
        <f>M140+M141+M142+M143</f>
        <v>5633.7002</v>
      </c>
      <c r="N139" s="85"/>
      <c r="O139" s="173">
        <f>O140+O141+O142+O143</f>
        <v>245.33999999999997</v>
      </c>
      <c r="P139" s="184">
        <f>P140+P141+P142+P143</f>
        <v>9289.8614</v>
      </c>
      <c r="Q139" s="85">
        <f>Q140+Q141+Q142+Q143</f>
        <v>758.0999999999999</v>
      </c>
      <c r="R139" s="172">
        <f>R140+R141+R142+R143</f>
        <v>27371.7026</v>
      </c>
      <c r="S139" s="86"/>
      <c r="T139" s="88"/>
      <c r="U139" s="88"/>
      <c r="V139" s="87"/>
    </row>
    <row r="140" spans="1:22" ht="33.75" customHeight="1">
      <c r="A140" s="28"/>
      <c r="B140" s="258" t="s">
        <v>48</v>
      </c>
      <c r="C140" s="259"/>
      <c r="D140" s="260"/>
      <c r="E140" s="5"/>
      <c r="F140" s="176">
        <v>8.64</v>
      </c>
      <c r="G140" s="186">
        <f>F140*F153</f>
        <v>329.616</v>
      </c>
      <c r="H140" s="175"/>
      <c r="I140" s="176">
        <v>10</v>
      </c>
      <c r="J140" s="186">
        <f>I140*F153</f>
        <v>381.5</v>
      </c>
      <c r="K140" s="175"/>
      <c r="L140" s="176">
        <v>14.42</v>
      </c>
      <c r="M140" s="186">
        <f>L140*G153</f>
        <v>594.2482</v>
      </c>
      <c r="N140" s="175"/>
      <c r="O140" s="176">
        <v>32.88</v>
      </c>
      <c r="P140" s="186">
        <f>O140*G153</f>
        <v>1354.9848000000002</v>
      </c>
      <c r="Q140" s="175">
        <f aca="true" t="shared" si="30" ref="Q140:R143">F140+I140+L140+O140</f>
        <v>65.94</v>
      </c>
      <c r="R140" s="174">
        <f t="shared" si="30"/>
        <v>2660.349</v>
      </c>
      <c r="S140" s="60"/>
      <c r="T140" s="8"/>
      <c r="U140" s="8"/>
      <c r="V140" s="9"/>
    </row>
    <row r="141" spans="1:22" ht="33.75" customHeight="1">
      <c r="A141" s="28"/>
      <c r="B141" s="258" t="s">
        <v>49</v>
      </c>
      <c r="C141" s="259"/>
      <c r="D141" s="260"/>
      <c r="E141" s="5"/>
      <c r="F141" s="176">
        <v>73</v>
      </c>
      <c r="G141" s="186">
        <f>53.5*F153+19.5*F154</f>
        <v>2262.74</v>
      </c>
      <c r="H141" s="175"/>
      <c r="I141" s="176">
        <v>72</v>
      </c>
      <c r="J141" s="186">
        <f>52.5*F153+19.5*F154</f>
        <v>2224.59</v>
      </c>
      <c r="K141" s="175"/>
      <c r="L141" s="176">
        <v>62</v>
      </c>
      <c r="M141" s="186">
        <f>42.5*G153+19.5*G154</f>
        <v>1973.1399999999999</v>
      </c>
      <c r="N141" s="175"/>
      <c r="O141" s="176">
        <v>71</v>
      </c>
      <c r="P141" s="186">
        <f>51.5*G153+19.5*G154</f>
        <v>2344.03</v>
      </c>
      <c r="Q141" s="175">
        <f t="shared" si="30"/>
        <v>278</v>
      </c>
      <c r="R141" s="174">
        <f t="shared" si="30"/>
        <v>8804.5</v>
      </c>
      <c r="S141" s="60"/>
      <c r="T141" s="8"/>
      <c r="U141" s="8"/>
      <c r="V141" s="9"/>
    </row>
    <row r="142" spans="1:22" ht="33.75" customHeight="1">
      <c r="A142" s="28"/>
      <c r="B142" s="258" t="s">
        <v>50</v>
      </c>
      <c r="C142" s="259"/>
      <c r="D142" s="260"/>
      <c r="E142" s="5"/>
      <c r="F142" s="176">
        <v>47.3</v>
      </c>
      <c r="G142" s="186">
        <f>40*F153+7.3*F154</f>
        <v>1609.001</v>
      </c>
      <c r="H142" s="175"/>
      <c r="I142" s="176">
        <v>42.2</v>
      </c>
      <c r="J142" s="186">
        <f>40*F153+2.2*F154</f>
        <v>1551.014</v>
      </c>
      <c r="K142" s="175"/>
      <c r="L142" s="176">
        <v>41.1</v>
      </c>
      <c r="M142" s="186">
        <f>38.9*G153+2.2*G154</f>
        <v>1628.0829999999999</v>
      </c>
      <c r="N142" s="175"/>
      <c r="O142" s="176">
        <v>47.5</v>
      </c>
      <c r="P142" s="186">
        <f>39.5*G153+8*G154</f>
        <v>1718.755</v>
      </c>
      <c r="Q142" s="175">
        <f t="shared" si="30"/>
        <v>178.1</v>
      </c>
      <c r="R142" s="174">
        <f t="shared" si="30"/>
        <v>6506.853</v>
      </c>
      <c r="S142" s="60" t="s">
        <v>78</v>
      </c>
      <c r="T142" s="8"/>
      <c r="U142" s="8"/>
      <c r="V142" s="9"/>
    </row>
    <row r="143" spans="1:22" ht="33.75" customHeight="1">
      <c r="A143" s="28"/>
      <c r="B143" s="291" t="s">
        <v>40</v>
      </c>
      <c r="C143" s="291"/>
      <c r="D143" s="291"/>
      <c r="E143" s="5"/>
      <c r="F143" s="176">
        <v>60.2</v>
      </c>
      <c r="G143" s="186">
        <f>F143*F153</f>
        <v>2296.63</v>
      </c>
      <c r="H143" s="175"/>
      <c r="I143" s="176">
        <v>47</v>
      </c>
      <c r="J143" s="186">
        <f>I143*F153</f>
        <v>1793.05</v>
      </c>
      <c r="K143" s="175"/>
      <c r="L143" s="176">
        <v>34.9</v>
      </c>
      <c r="M143" s="186">
        <f>L143*G153</f>
        <v>1438.229</v>
      </c>
      <c r="N143" s="175"/>
      <c r="O143" s="176">
        <v>93.96</v>
      </c>
      <c r="P143" s="186">
        <f>O143*G153</f>
        <v>3872.0915999999997</v>
      </c>
      <c r="Q143" s="175">
        <f t="shared" si="30"/>
        <v>236.06</v>
      </c>
      <c r="R143" s="174">
        <f t="shared" si="30"/>
        <v>9400.0006</v>
      </c>
      <c r="S143" s="60" t="s">
        <v>78</v>
      </c>
      <c r="T143" s="8"/>
      <c r="U143" s="8"/>
      <c r="V143" s="9"/>
    </row>
    <row r="144" spans="1:22" s="89" customFormat="1" ht="33.75" customHeight="1">
      <c r="A144" s="96">
        <v>6</v>
      </c>
      <c r="B144" s="255" t="s">
        <v>53</v>
      </c>
      <c r="C144" s="256"/>
      <c r="D144" s="257"/>
      <c r="E144" s="90"/>
      <c r="F144" s="173">
        <f>F145+F146+F147</f>
        <v>3319.1</v>
      </c>
      <c r="G144" s="184">
        <f>G145+G146+G147</f>
        <v>126623.665</v>
      </c>
      <c r="H144" s="85"/>
      <c r="I144" s="173">
        <f>I145+I146+I147</f>
        <v>3004.1</v>
      </c>
      <c r="J144" s="184">
        <f>J145+J146+J147</f>
        <v>114606.415</v>
      </c>
      <c r="K144" s="85"/>
      <c r="L144" s="173">
        <f>L145+L146+L147</f>
        <v>2722.1</v>
      </c>
      <c r="M144" s="184">
        <f>M145+M146+M147</f>
        <v>112177.741</v>
      </c>
      <c r="N144" s="85"/>
      <c r="O144" s="173">
        <f>O145+O146+O147</f>
        <v>3046.1</v>
      </c>
      <c r="P144" s="184">
        <f>P145+P146+P147</f>
        <v>125529.78099999999</v>
      </c>
      <c r="Q144" s="85">
        <f>Q145+Q146+Q147</f>
        <v>12091.4</v>
      </c>
      <c r="R144" s="172">
        <f>R145+R146+R147</f>
        <v>478937.61</v>
      </c>
      <c r="S144" s="86"/>
      <c r="T144" s="88"/>
      <c r="U144" s="88"/>
      <c r="V144" s="87"/>
    </row>
    <row r="145" spans="1:22" ht="38.25" customHeight="1">
      <c r="A145" s="30"/>
      <c r="B145" s="258" t="s">
        <v>71</v>
      </c>
      <c r="C145" s="259"/>
      <c r="D145" s="260"/>
      <c r="E145" s="5"/>
      <c r="F145" s="176">
        <v>233</v>
      </c>
      <c r="G145" s="186">
        <f>F145*F153</f>
        <v>8888.949999999999</v>
      </c>
      <c r="H145" s="175"/>
      <c r="I145" s="176">
        <v>218</v>
      </c>
      <c r="J145" s="186">
        <f>I145*F153</f>
        <v>8316.699999999999</v>
      </c>
      <c r="K145" s="175"/>
      <c r="L145" s="176">
        <v>96</v>
      </c>
      <c r="M145" s="186">
        <f>L145*G153</f>
        <v>3956.16</v>
      </c>
      <c r="N145" s="175"/>
      <c r="O145" s="176">
        <v>260</v>
      </c>
      <c r="P145" s="186">
        <f>O145*G153</f>
        <v>10714.6</v>
      </c>
      <c r="Q145" s="175">
        <f>F145+I145+L145+O145</f>
        <v>807</v>
      </c>
      <c r="R145" s="174">
        <f>G145+J145+M145+P145</f>
        <v>31876.409999999996</v>
      </c>
      <c r="S145" s="60" t="s">
        <v>78</v>
      </c>
      <c r="T145" s="8"/>
      <c r="U145" s="8"/>
      <c r="V145" s="9"/>
    </row>
    <row r="146" spans="1:22" ht="36.75" customHeight="1">
      <c r="A146" s="30"/>
      <c r="B146" s="258" t="s">
        <v>55</v>
      </c>
      <c r="C146" s="259"/>
      <c r="D146" s="260"/>
      <c r="E146" s="5"/>
      <c r="F146" s="176">
        <v>600</v>
      </c>
      <c r="G146" s="186">
        <f>F146*F153</f>
        <v>22890</v>
      </c>
      <c r="H146" s="175"/>
      <c r="I146" s="176">
        <v>300</v>
      </c>
      <c r="J146" s="186">
        <f>I146*F153</f>
        <v>11445</v>
      </c>
      <c r="K146" s="175"/>
      <c r="L146" s="194">
        <v>140</v>
      </c>
      <c r="M146" s="186">
        <f>L146*G153</f>
        <v>5769.400000000001</v>
      </c>
      <c r="N146" s="175"/>
      <c r="O146" s="194">
        <v>300</v>
      </c>
      <c r="P146" s="186">
        <f>O146*G153</f>
        <v>12363</v>
      </c>
      <c r="Q146" s="175">
        <f>F146+I146+L146+O146</f>
        <v>1340</v>
      </c>
      <c r="R146" s="174">
        <f>G146+J146+M146+P146</f>
        <v>52467.4</v>
      </c>
      <c r="S146" s="60" t="s">
        <v>78</v>
      </c>
      <c r="T146" s="8"/>
      <c r="U146" s="8"/>
      <c r="V146" s="9"/>
    </row>
    <row r="147" spans="1:22" ht="33.75" customHeight="1">
      <c r="A147" s="30"/>
      <c r="B147" s="258" t="s">
        <v>82</v>
      </c>
      <c r="C147" s="259"/>
      <c r="D147" s="260"/>
      <c r="E147" s="5"/>
      <c r="F147" s="176">
        <v>2486.1</v>
      </c>
      <c r="G147" s="186">
        <f>SUM(F147)*F153</f>
        <v>94844.715</v>
      </c>
      <c r="H147" s="175"/>
      <c r="I147" s="176">
        <v>2486.1</v>
      </c>
      <c r="J147" s="186">
        <f>SUM(I147)*F153</f>
        <v>94844.715</v>
      </c>
      <c r="K147" s="175"/>
      <c r="L147" s="194">
        <v>2486.1</v>
      </c>
      <c r="M147" s="186">
        <f>SUM(L147)*G153</f>
        <v>102452.181</v>
      </c>
      <c r="N147" s="175"/>
      <c r="O147" s="194">
        <v>2486.1</v>
      </c>
      <c r="P147" s="186">
        <f>SUM(O147)*G153</f>
        <v>102452.181</v>
      </c>
      <c r="Q147" s="175">
        <f>F147+I147+L147+O147</f>
        <v>9944.4</v>
      </c>
      <c r="R147" s="174">
        <v>394593.8</v>
      </c>
      <c r="S147" s="60"/>
      <c r="T147" s="8"/>
      <c r="U147" s="8"/>
      <c r="V147" s="9"/>
    </row>
    <row r="148" spans="1:22" ht="33.75" customHeight="1">
      <c r="A148" s="92">
        <v>7</v>
      </c>
      <c r="B148" s="255" t="s">
        <v>83</v>
      </c>
      <c r="C148" s="256"/>
      <c r="D148" s="257"/>
      <c r="E148" s="5"/>
      <c r="F148" s="231">
        <f>SUM(F149:F150)</f>
        <v>25</v>
      </c>
      <c r="G148" s="232">
        <f aca="true" t="shared" si="31" ref="G148:R148">SUM(G149:G150)</f>
        <v>953.75</v>
      </c>
      <c r="H148" s="230">
        <f t="shared" si="31"/>
        <v>0</v>
      </c>
      <c r="I148" s="231">
        <f t="shared" si="31"/>
        <v>25</v>
      </c>
      <c r="J148" s="232">
        <f t="shared" si="31"/>
        <v>953.75</v>
      </c>
      <c r="K148" s="230">
        <f t="shared" si="31"/>
        <v>0</v>
      </c>
      <c r="L148" s="233">
        <f t="shared" si="31"/>
        <v>25</v>
      </c>
      <c r="M148" s="232">
        <f t="shared" si="31"/>
        <v>1030.25</v>
      </c>
      <c r="N148" s="230">
        <f t="shared" si="31"/>
        <v>0</v>
      </c>
      <c r="O148" s="233">
        <f t="shared" si="31"/>
        <v>25</v>
      </c>
      <c r="P148" s="232">
        <f t="shared" si="31"/>
        <v>1030.25</v>
      </c>
      <c r="Q148" s="230">
        <f t="shared" si="31"/>
        <v>100</v>
      </c>
      <c r="R148" s="234">
        <f t="shared" si="31"/>
        <v>3968</v>
      </c>
      <c r="S148" s="60"/>
      <c r="T148" s="8"/>
      <c r="U148" s="8"/>
      <c r="V148" s="9"/>
    </row>
    <row r="149" spans="1:22" ht="33.75" customHeight="1">
      <c r="A149" s="92"/>
      <c r="B149" s="285" t="s">
        <v>84</v>
      </c>
      <c r="C149" s="286"/>
      <c r="D149" s="287"/>
      <c r="E149" s="5"/>
      <c r="F149" s="176">
        <v>0</v>
      </c>
      <c r="G149" s="186">
        <f>SUM(F149)*F153</f>
        <v>0</v>
      </c>
      <c r="H149" s="175"/>
      <c r="I149" s="176">
        <v>0</v>
      </c>
      <c r="J149" s="186">
        <f>SUM(I149)*F153</f>
        <v>0</v>
      </c>
      <c r="K149" s="175"/>
      <c r="L149" s="176">
        <v>0</v>
      </c>
      <c r="M149" s="186">
        <f>SUM(L149)*G153</f>
        <v>0</v>
      </c>
      <c r="N149" s="175"/>
      <c r="O149" s="176">
        <v>0</v>
      </c>
      <c r="P149" s="186">
        <f>SUM(O149)*G153</f>
        <v>0</v>
      </c>
      <c r="Q149" s="175">
        <f>F149+I149+L149+O149</f>
        <v>0</v>
      </c>
      <c r="R149" s="174">
        <f>SUM(G149)+J149+M149+P149</f>
        <v>0</v>
      </c>
      <c r="S149" s="60"/>
      <c r="T149" s="8"/>
      <c r="U149" s="8"/>
      <c r="V149" s="9"/>
    </row>
    <row r="150" spans="1:22" ht="33.75" customHeight="1">
      <c r="A150" s="92"/>
      <c r="B150" s="285" t="s">
        <v>85</v>
      </c>
      <c r="C150" s="286"/>
      <c r="D150" s="287"/>
      <c r="E150" s="5"/>
      <c r="F150" s="176">
        <v>25</v>
      </c>
      <c r="G150" s="186">
        <f>SUM(F150)*F153</f>
        <v>953.75</v>
      </c>
      <c r="H150" s="175"/>
      <c r="I150" s="176">
        <v>25</v>
      </c>
      <c r="J150" s="186">
        <f>SUM(I150)*F153</f>
        <v>953.75</v>
      </c>
      <c r="K150" s="175"/>
      <c r="L150" s="194">
        <v>25</v>
      </c>
      <c r="M150" s="186">
        <f>SUM(L150)*G153</f>
        <v>1030.25</v>
      </c>
      <c r="N150" s="175"/>
      <c r="O150" s="194">
        <v>25</v>
      </c>
      <c r="P150" s="186">
        <f>SUM(O150)*G153</f>
        <v>1030.25</v>
      </c>
      <c r="Q150" s="175">
        <f>F150+I150+L150+O150</f>
        <v>100</v>
      </c>
      <c r="R150" s="174">
        <f>SUM(G150)+J150+M150+P150</f>
        <v>3968</v>
      </c>
      <c r="S150" s="60"/>
      <c r="T150" s="8"/>
      <c r="U150" s="8"/>
      <c r="V150" s="9"/>
    </row>
    <row r="151" spans="1:22" ht="35.25">
      <c r="A151" s="46"/>
      <c r="B151" s="302" t="s">
        <v>19</v>
      </c>
      <c r="C151" s="302"/>
      <c r="D151" s="302"/>
      <c r="E151" s="12">
        <f>SUM(E124:E137)</f>
        <v>6764.85</v>
      </c>
      <c r="F151" s="179">
        <f aca="true" t="shared" si="32" ref="F151:R151">F124+F125+F132+F137+F139+F144+F148</f>
        <v>6025.347</v>
      </c>
      <c r="G151" s="195">
        <f t="shared" si="32"/>
        <v>212255.20139</v>
      </c>
      <c r="H151" s="54">
        <f t="shared" si="32"/>
        <v>17.5</v>
      </c>
      <c r="I151" s="179">
        <f t="shared" si="32"/>
        <v>5760.727000000001</v>
      </c>
      <c r="J151" s="195">
        <f t="shared" si="32"/>
        <v>192923.52639</v>
      </c>
      <c r="K151" s="54">
        <f t="shared" si="32"/>
        <v>17.5</v>
      </c>
      <c r="L151" s="179">
        <f t="shared" si="32"/>
        <v>5420.525</v>
      </c>
      <c r="M151" s="195">
        <f t="shared" si="32"/>
        <v>192867.68925</v>
      </c>
      <c r="N151" s="54">
        <f t="shared" si="32"/>
        <v>17.5</v>
      </c>
      <c r="O151" s="179">
        <f t="shared" si="32"/>
        <v>5825.415000000001</v>
      </c>
      <c r="P151" s="195">
        <f t="shared" si="32"/>
        <v>210275.33414999998</v>
      </c>
      <c r="Q151" s="54">
        <f t="shared" si="32"/>
        <v>23032.014000000003</v>
      </c>
      <c r="R151" s="180">
        <f t="shared" si="32"/>
        <v>847844.95918</v>
      </c>
      <c r="S151" s="60"/>
      <c r="T151" s="47"/>
      <c r="U151" s="47"/>
      <c r="V151" s="47"/>
    </row>
    <row r="152" spans="1:18" ht="57.75" customHeight="1">
      <c r="A152" s="33"/>
      <c r="B152" s="337" t="s">
        <v>17</v>
      </c>
      <c r="C152" s="338"/>
      <c r="D152" s="339"/>
      <c r="E152" s="288" t="s">
        <v>104</v>
      </c>
      <c r="F152" s="289"/>
      <c r="G152" s="289"/>
      <c r="H152" s="289"/>
      <c r="I152" s="289"/>
      <c r="J152" s="289"/>
      <c r="K152" s="289"/>
      <c r="L152" s="289"/>
      <c r="M152" s="289"/>
      <c r="N152" s="289"/>
      <c r="O152" s="289"/>
      <c r="P152" s="289"/>
      <c r="Q152" s="289"/>
      <c r="R152" s="290"/>
    </row>
    <row r="153" spans="1:18" ht="26.25">
      <c r="A153" s="41"/>
      <c r="B153" s="37"/>
      <c r="C153" s="37"/>
      <c r="D153" s="135"/>
      <c r="E153" s="135"/>
      <c r="F153" s="129">
        <v>38.15</v>
      </c>
      <c r="G153" s="132">
        <v>41.21</v>
      </c>
      <c r="H153" s="132"/>
      <c r="I153" s="132"/>
      <c r="J153" s="131"/>
      <c r="K153" s="4"/>
      <c r="L153" s="4"/>
      <c r="M153" s="97"/>
      <c r="N153" s="37"/>
      <c r="O153" s="37"/>
      <c r="P153" s="97"/>
      <c r="Q153" s="37"/>
      <c r="R153" s="97"/>
    </row>
    <row r="154" spans="1:18" ht="26.25">
      <c r="A154" s="41"/>
      <c r="B154" s="37"/>
      <c r="C154" s="37"/>
      <c r="D154" s="135"/>
      <c r="E154" s="135"/>
      <c r="F154" s="129">
        <v>11.37</v>
      </c>
      <c r="G154" s="137">
        <v>11.37</v>
      </c>
      <c r="H154" s="132"/>
      <c r="I154" s="132"/>
      <c r="J154" s="131"/>
      <c r="K154" s="4"/>
      <c r="L154" s="4"/>
      <c r="M154" s="97"/>
      <c r="N154" s="37"/>
      <c r="O154" s="37"/>
      <c r="P154" s="97"/>
      <c r="Q154" s="37"/>
      <c r="R154" s="97"/>
    </row>
    <row r="155" spans="1:18" ht="26.25">
      <c r="A155" s="41"/>
      <c r="B155" s="37"/>
      <c r="C155" s="37"/>
      <c r="D155" s="135"/>
      <c r="E155" s="135"/>
      <c r="F155" s="129">
        <v>329.36</v>
      </c>
      <c r="G155" s="129">
        <v>329.36</v>
      </c>
      <c r="H155" s="111"/>
      <c r="I155" s="135"/>
      <c r="J155" s="130"/>
      <c r="K155" s="37"/>
      <c r="L155" s="37"/>
      <c r="M155" s="97"/>
      <c r="N155" s="37"/>
      <c r="O155" s="37"/>
      <c r="P155" s="97"/>
      <c r="Q155" s="37"/>
      <c r="R155" s="97"/>
    </row>
    <row r="156" spans="1:18" ht="26.25">
      <c r="A156" s="45"/>
      <c r="B156" s="37"/>
      <c r="C156" s="37"/>
      <c r="D156" s="37"/>
      <c r="E156" s="37"/>
      <c r="F156" s="37"/>
      <c r="G156" s="97"/>
      <c r="H156" s="4"/>
      <c r="I156" s="4"/>
      <c r="J156" s="97"/>
      <c r="K156" s="37"/>
      <c r="L156" s="37"/>
      <c r="M156" s="97"/>
      <c r="N156" s="37"/>
      <c r="O156" s="37"/>
      <c r="P156" s="97"/>
      <c r="Q156" s="37"/>
      <c r="R156" s="97"/>
    </row>
    <row r="157" spans="1:18" ht="26.25">
      <c r="A157" s="4"/>
      <c r="B157" s="37"/>
      <c r="C157" s="37"/>
      <c r="D157" s="37"/>
      <c r="E157" s="37"/>
      <c r="F157" s="37"/>
      <c r="G157" s="97"/>
      <c r="H157" s="37"/>
      <c r="I157" s="37"/>
      <c r="J157" s="97"/>
      <c r="K157" s="37"/>
      <c r="L157" s="37"/>
      <c r="M157" s="97"/>
      <c r="N157" s="37"/>
      <c r="O157" s="37"/>
      <c r="P157" s="97"/>
      <c r="Q157" s="37"/>
      <c r="R157" s="97"/>
    </row>
    <row r="158" spans="1:18" ht="26.25">
      <c r="A158" s="4"/>
      <c r="B158" s="4"/>
      <c r="C158" s="4"/>
      <c r="D158" s="4"/>
      <c r="E158" s="4"/>
      <c r="F158" s="4"/>
      <c r="G158" s="97"/>
      <c r="H158" s="4"/>
      <c r="I158" s="4"/>
      <c r="J158" s="97"/>
      <c r="K158" s="4"/>
      <c r="L158" s="4"/>
      <c r="M158" s="97"/>
      <c r="N158" s="4"/>
      <c r="O158" s="4"/>
      <c r="P158" s="97"/>
      <c r="Q158" s="4"/>
      <c r="R158" s="97"/>
    </row>
    <row r="159" spans="1:18" ht="26.25">
      <c r="A159" s="4"/>
      <c r="B159" s="4"/>
      <c r="C159" s="4"/>
      <c r="D159" s="4"/>
      <c r="E159" s="4"/>
      <c r="F159" s="4"/>
      <c r="G159" s="97"/>
      <c r="H159" s="4"/>
      <c r="I159" s="4"/>
      <c r="J159" s="97"/>
      <c r="K159" s="4"/>
      <c r="L159" s="4"/>
      <c r="M159" s="97"/>
      <c r="N159" s="4"/>
      <c r="O159" s="4"/>
      <c r="P159" s="97"/>
      <c r="Q159" s="4"/>
      <c r="R159" s="97"/>
    </row>
    <row r="160" spans="1:18" ht="26.25">
      <c r="A160" s="4"/>
      <c r="B160" s="4"/>
      <c r="C160" s="4"/>
      <c r="D160" s="4"/>
      <c r="E160" s="48"/>
      <c r="K160" s="4"/>
      <c r="L160" s="4"/>
      <c r="M160" s="97"/>
      <c r="N160" s="4"/>
      <c r="O160" s="4"/>
      <c r="P160" s="97"/>
      <c r="Q160" s="4"/>
      <c r="R160" s="97"/>
    </row>
    <row r="161" ht="25.5">
      <c r="E161" s="49" t="s">
        <v>22</v>
      </c>
    </row>
    <row r="162" ht="25.5">
      <c r="E162" s="49" t="s">
        <v>23</v>
      </c>
    </row>
    <row r="163" ht="25.5">
      <c r="E163" s="49" t="s">
        <v>24</v>
      </c>
    </row>
    <row r="164" ht="25.5">
      <c r="E164" s="49" t="s">
        <v>25</v>
      </c>
    </row>
    <row r="165" ht="25.5">
      <c r="E165" s="49" t="s">
        <v>26</v>
      </c>
    </row>
    <row r="166" ht="25.5">
      <c r="E166" s="49" t="s">
        <v>27</v>
      </c>
    </row>
    <row r="167" ht="25.5">
      <c r="E167" s="49" t="s">
        <v>29</v>
      </c>
    </row>
    <row r="168" ht="25.5">
      <c r="E168" s="49" t="s">
        <v>30</v>
      </c>
    </row>
    <row r="169" ht="25.5">
      <c r="E169" s="49" t="s">
        <v>28</v>
      </c>
    </row>
  </sheetData>
  <sheetProtection/>
  <mergeCells count="169">
    <mergeCell ref="B27:D27"/>
    <mergeCell ref="B79:D79"/>
    <mergeCell ref="B21:D21"/>
    <mergeCell ref="B22:D22"/>
    <mergeCell ref="B59:D59"/>
    <mergeCell ref="B60:D60"/>
    <mergeCell ref="B78:D78"/>
    <mergeCell ref="B77:D77"/>
    <mergeCell ref="B37:D37"/>
    <mergeCell ref="B38:D38"/>
    <mergeCell ref="B58:D58"/>
    <mergeCell ref="B73:D73"/>
    <mergeCell ref="N48:P48"/>
    <mergeCell ref="B61:D61"/>
    <mergeCell ref="E48:G48"/>
    <mergeCell ref="H48:J48"/>
    <mergeCell ref="B70:D70"/>
    <mergeCell ref="B64:D64"/>
    <mergeCell ref="B67:D67"/>
    <mergeCell ref="B66:D66"/>
    <mergeCell ref="R24:R25"/>
    <mergeCell ref="F24:F25"/>
    <mergeCell ref="G24:G25"/>
    <mergeCell ref="I24:I25"/>
    <mergeCell ref="J24:J25"/>
    <mergeCell ref="L24:L25"/>
    <mergeCell ref="M24:M25"/>
    <mergeCell ref="O24:O25"/>
    <mergeCell ref="P24:P25"/>
    <mergeCell ref="A90:A91"/>
    <mergeCell ref="B90:D91"/>
    <mergeCell ref="B103:D103"/>
    <mergeCell ref="B126:D126"/>
    <mergeCell ref="B96:D96"/>
    <mergeCell ref="B132:D132"/>
    <mergeCell ref="B125:D125"/>
    <mergeCell ref="B100:D100"/>
    <mergeCell ref="B93:D93"/>
    <mergeCell ref="B94:D94"/>
    <mergeCell ref="B152:D152"/>
    <mergeCell ref="B110:D110"/>
    <mergeCell ref="B111:D111"/>
    <mergeCell ref="B143:D143"/>
    <mergeCell ref="B133:D133"/>
    <mergeCell ref="B142:D142"/>
    <mergeCell ref="B124:D124"/>
    <mergeCell ref="B151:D151"/>
    <mergeCell ref="B112:D112"/>
    <mergeCell ref="B145:D145"/>
    <mergeCell ref="P85:R85"/>
    <mergeCell ref="B68:D68"/>
    <mergeCell ref="B71:D71"/>
    <mergeCell ref="E81:R81"/>
    <mergeCell ref="B127:D127"/>
    <mergeCell ref="B104:D104"/>
    <mergeCell ref="B95:D95"/>
    <mergeCell ref="B69:D69"/>
    <mergeCell ref="B113:D113"/>
    <mergeCell ref="B81:D81"/>
    <mergeCell ref="B12:D12"/>
    <mergeCell ref="B105:D105"/>
    <mergeCell ref="B102:D102"/>
    <mergeCell ref="B101:D101"/>
    <mergeCell ref="N90:P90"/>
    <mergeCell ref="B20:D20"/>
    <mergeCell ref="B23:D23"/>
    <mergeCell ref="A47:R47"/>
    <mergeCell ref="B26:D26"/>
    <mergeCell ref="B35:D35"/>
    <mergeCell ref="A9:R9"/>
    <mergeCell ref="B40:D40"/>
    <mergeCell ref="B41:D41"/>
    <mergeCell ref="A24:A25"/>
    <mergeCell ref="B24:D25"/>
    <mergeCell ref="A10:A11"/>
    <mergeCell ref="H10:J10"/>
    <mergeCell ref="K10:M10"/>
    <mergeCell ref="N10:P10"/>
    <mergeCell ref="Q10:R10"/>
    <mergeCell ref="B28:D28"/>
    <mergeCell ref="B29:D29"/>
    <mergeCell ref="B14:D14"/>
    <mergeCell ref="B15:D15"/>
    <mergeCell ref="B16:D16"/>
    <mergeCell ref="E10:G10"/>
    <mergeCell ref="B10:D11"/>
    <mergeCell ref="B13:D13"/>
    <mergeCell ref="K48:M48"/>
    <mergeCell ref="B18:D18"/>
    <mergeCell ref="B19:D19"/>
    <mergeCell ref="B17:D17"/>
    <mergeCell ref="B43:D43"/>
    <mergeCell ref="B44:D44"/>
    <mergeCell ref="E44:R44"/>
    <mergeCell ref="B39:D39"/>
    <mergeCell ref="Q24:Q25"/>
    <mergeCell ref="B31:D31"/>
    <mergeCell ref="B34:D34"/>
    <mergeCell ref="B50:D50"/>
    <mergeCell ref="B33:D33"/>
    <mergeCell ref="B36:D36"/>
    <mergeCell ref="B55:D55"/>
    <mergeCell ref="B51:D51"/>
    <mergeCell ref="B54:D54"/>
    <mergeCell ref="B52:D52"/>
    <mergeCell ref="B53:D53"/>
    <mergeCell ref="B62:D62"/>
    <mergeCell ref="B57:D57"/>
    <mergeCell ref="P86:R86"/>
    <mergeCell ref="B65:D65"/>
    <mergeCell ref="B30:D30"/>
    <mergeCell ref="B32:D32"/>
    <mergeCell ref="B80:D80"/>
    <mergeCell ref="B72:D72"/>
    <mergeCell ref="B56:D56"/>
    <mergeCell ref="B63:D63"/>
    <mergeCell ref="Q48:R48"/>
    <mergeCell ref="K90:M90"/>
    <mergeCell ref="H90:J90"/>
    <mergeCell ref="N122:P122"/>
    <mergeCell ref="P87:R87"/>
    <mergeCell ref="B106:D106"/>
    <mergeCell ref="B92:D92"/>
    <mergeCell ref="E90:G90"/>
    <mergeCell ref="B98:D98"/>
    <mergeCell ref="B99:D99"/>
    <mergeCell ref="B75:D75"/>
    <mergeCell ref="B76:D76"/>
    <mergeCell ref="H122:J122"/>
    <mergeCell ref="B117:D117"/>
    <mergeCell ref="B109:D109"/>
    <mergeCell ref="B97:D97"/>
    <mergeCell ref="A89:R89"/>
    <mergeCell ref="E122:G122"/>
    <mergeCell ref="B114:D114"/>
    <mergeCell ref="Q90:R90"/>
    <mergeCell ref="E152:R152"/>
    <mergeCell ref="B128:D128"/>
    <mergeCell ref="B129:D129"/>
    <mergeCell ref="B130:D130"/>
    <mergeCell ref="B131:D131"/>
    <mergeCell ref="K122:M122"/>
    <mergeCell ref="Q122:R122"/>
    <mergeCell ref="B148:D148"/>
    <mergeCell ref="B149:D149"/>
    <mergeCell ref="B150:D150"/>
    <mergeCell ref="B146:D146"/>
    <mergeCell ref="B108:D108"/>
    <mergeCell ref="B115:D115"/>
    <mergeCell ref="B116:D116"/>
    <mergeCell ref="B139:D139"/>
    <mergeCell ref="B147:D147"/>
    <mergeCell ref="A122:A123"/>
    <mergeCell ref="B138:D138"/>
    <mergeCell ref="B141:D141"/>
    <mergeCell ref="B118:D118"/>
    <mergeCell ref="B134:D134"/>
    <mergeCell ref="B140:D140"/>
    <mergeCell ref="B137:D137"/>
    <mergeCell ref="A8:R8"/>
    <mergeCell ref="B144:D144"/>
    <mergeCell ref="B107:D107"/>
    <mergeCell ref="B122:D123"/>
    <mergeCell ref="A48:A49"/>
    <mergeCell ref="B48:D49"/>
    <mergeCell ref="B74:D74"/>
    <mergeCell ref="B135:C136"/>
    <mergeCell ref="E118:R118"/>
    <mergeCell ref="A121:R121"/>
  </mergeCells>
  <printOptions/>
  <pageMargins left="0.3937007874015748" right="0.3937007874015748" top="0.7598425196850395" bottom="0.3937007874015748" header="0.31496062992125984" footer="0.31496062992125984"/>
  <pageSetup fitToHeight="0" fitToWidth="1" horizontalDpi="600" verticalDpi="600" orientation="landscape" paperSize="9" scale="37" r:id="rId1"/>
  <rowBreaks count="4" manualBreakCount="4">
    <brk id="45" max="17" man="1"/>
    <brk id="82" max="17" man="1"/>
    <brk id="119" max="17" man="1"/>
    <brk id="155" max="18" man="1"/>
  </rowBreaks>
  <colBreaks count="1" manualBreakCount="1">
    <brk id="19" max="9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222"/>
  <sheetViews>
    <sheetView tabSelected="1" view="pageBreakPreview" zoomScale="42" zoomScaleNormal="85" zoomScaleSheetLayoutView="42" zoomScalePageLayoutView="0" workbookViewId="0" topLeftCell="A77">
      <selection activeCell="B103" sqref="B103:D103"/>
    </sheetView>
  </sheetViews>
  <sheetFormatPr defaultColWidth="9.140625" defaultRowHeight="12.75"/>
  <cols>
    <col min="1" max="1" width="6.7109375" style="7" customWidth="1"/>
    <col min="2" max="2" width="9.140625" style="7" customWidth="1"/>
    <col min="3" max="3" width="21.140625" style="7" customWidth="1"/>
    <col min="4" max="4" width="51.28125" style="7" customWidth="1"/>
    <col min="5" max="5" width="27.140625" style="7" customWidth="1"/>
    <col min="6" max="6" width="14.421875" style="7" hidden="1" customWidth="1"/>
    <col min="7" max="7" width="24.7109375" style="7" customWidth="1"/>
    <col min="8" max="8" width="29.8515625" style="7" customWidth="1"/>
    <col min="9" max="9" width="9.8515625" style="7" hidden="1" customWidth="1"/>
    <col min="10" max="10" width="29.421875" style="7" customWidth="1"/>
    <col min="11" max="11" width="31.421875" style="7" customWidth="1"/>
    <col min="12" max="12" width="9.8515625" style="7" hidden="1" customWidth="1"/>
    <col min="13" max="13" width="28.140625" style="7" customWidth="1"/>
    <col min="14" max="14" width="30.421875" style="7" customWidth="1"/>
    <col min="15" max="15" width="9.8515625" style="7" hidden="1" customWidth="1"/>
    <col min="16" max="16" width="27.00390625" style="7" customWidth="1"/>
    <col min="17" max="18" width="29.28125" style="7" customWidth="1"/>
    <col min="19" max="19" width="35.00390625" style="7" customWidth="1"/>
    <col min="20" max="20" width="18.00390625" style="60" customWidth="1"/>
    <col min="21" max="21" width="22.421875" style="7" bestFit="1" customWidth="1"/>
    <col min="22" max="22" width="12.8515625" style="7" customWidth="1"/>
    <col min="23" max="23" width="10.28125" style="7" bestFit="1" customWidth="1"/>
    <col min="24" max="16384" width="9.140625" style="7" customWidth="1"/>
  </cols>
  <sheetData>
    <row r="1" spans="1:23" ht="33.75" customHeight="1" hidden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63"/>
      <c r="P1" s="63"/>
      <c r="Q1" s="50"/>
      <c r="R1" s="50"/>
      <c r="S1" s="63"/>
      <c r="U1" s="9"/>
      <c r="V1" s="9"/>
      <c r="W1" s="9"/>
    </row>
    <row r="2" spans="1:23" ht="35.25" hidden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63"/>
      <c r="P2" s="63"/>
      <c r="Q2" s="296"/>
      <c r="R2" s="296"/>
      <c r="S2" s="296"/>
      <c r="U2" s="9"/>
      <c r="V2" s="9"/>
      <c r="W2" s="9"/>
    </row>
    <row r="3" spans="1:23" ht="35.25" hidden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63"/>
      <c r="P3" s="63"/>
      <c r="Q3" s="296"/>
      <c r="R3" s="296"/>
      <c r="S3" s="296"/>
      <c r="U3" s="9"/>
      <c r="V3" s="9"/>
      <c r="W3" s="9"/>
    </row>
    <row r="4" spans="1:23" ht="35.25" hidden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63"/>
      <c r="P4" s="63"/>
      <c r="Q4" s="296"/>
      <c r="R4" s="296"/>
      <c r="S4" s="296"/>
      <c r="U4" s="9"/>
      <c r="V4" s="9"/>
      <c r="W4" s="9"/>
    </row>
    <row r="5" spans="1:23" ht="35.25" hidden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3"/>
      <c r="P5" s="63"/>
      <c r="Q5" s="63"/>
      <c r="R5" s="63"/>
      <c r="S5" s="63"/>
      <c r="U5" s="9"/>
      <c r="V5" s="9"/>
      <c r="W5" s="9"/>
    </row>
    <row r="6" spans="1:23" ht="33.75" customHeight="1" hidden="1">
      <c r="A6" s="254" t="s">
        <v>66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U6" s="9"/>
      <c r="V6" s="9"/>
      <c r="W6" s="9"/>
    </row>
    <row r="7" spans="1:23" ht="18.75" customHeight="1" hidden="1">
      <c r="A7" s="413" t="s">
        <v>15</v>
      </c>
      <c r="B7" s="268" t="s">
        <v>0</v>
      </c>
      <c r="C7" s="269"/>
      <c r="D7" s="270"/>
      <c r="E7" s="64"/>
      <c r="F7" s="288" t="s">
        <v>1</v>
      </c>
      <c r="G7" s="289"/>
      <c r="H7" s="290"/>
      <c r="I7" s="288" t="s">
        <v>3</v>
      </c>
      <c r="J7" s="289"/>
      <c r="K7" s="290"/>
      <c r="L7" s="288" t="s">
        <v>4</v>
      </c>
      <c r="M7" s="289"/>
      <c r="N7" s="290"/>
      <c r="O7" s="288" t="s">
        <v>6</v>
      </c>
      <c r="P7" s="289"/>
      <c r="Q7" s="290"/>
      <c r="R7" s="288" t="s">
        <v>7</v>
      </c>
      <c r="S7" s="290"/>
      <c r="V7" s="9"/>
      <c r="W7" s="9"/>
    </row>
    <row r="8" spans="1:23" ht="53.25" hidden="1">
      <c r="A8" s="414"/>
      <c r="B8" s="271"/>
      <c r="C8" s="272"/>
      <c r="D8" s="273"/>
      <c r="E8" s="66"/>
      <c r="F8" s="67"/>
      <c r="G8" s="67" t="s">
        <v>2</v>
      </c>
      <c r="H8" s="67" t="s">
        <v>5</v>
      </c>
      <c r="I8" s="67"/>
      <c r="J8" s="67" t="s">
        <v>2</v>
      </c>
      <c r="K8" s="67" t="s">
        <v>5</v>
      </c>
      <c r="L8" s="67"/>
      <c r="M8" s="67" t="s">
        <v>2</v>
      </c>
      <c r="N8" s="67" t="s">
        <v>5</v>
      </c>
      <c r="O8" s="67" t="s">
        <v>2</v>
      </c>
      <c r="P8" s="67" t="s">
        <v>2</v>
      </c>
      <c r="Q8" s="67" t="s">
        <v>5</v>
      </c>
      <c r="R8" s="67" t="s">
        <v>2</v>
      </c>
      <c r="S8" s="67" t="s">
        <v>5</v>
      </c>
      <c r="V8" s="9"/>
      <c r="W8" s="9"/>
    </row>
    <row r="9" spans="1:23" ht="30" customHeight="1" hidden="1">
      <c r="A9" s="12">
        <v>1</v>
      </c>
      <c r="B9" s="398" t="s">
        <v>33</v>
      </c>
      <c r="C9" s="399"/>
      <c r="D9" s="400"/>
      <c r="E9" s="71"/>
      <c r="F9" s="12">
        <v>22.6</v>
      </c>
      <c r="G9" s="51">
        <v>22.6</v>
      </c>
      <c r="H9" s="6">
        <f>G9*G36</f>
        <v>60523.252</v>
      </c>
      <c r="I9" s="6">
        <v>7.9</v>
      </c>
      <c r="J9" s="6">
        <v>7.5</v>
      </c>
      <c r="K9" s="6">
        <f>J9*G36</f>
        <v>20085.15</v>
      </c>
      <c r="L9" s="6">
        <v>2.9</v>
      </c>
      <c r="M9" s="6">
        <v>2.4</v>
      </c>
      <c r="N9" s="6">
        <f>M9*H36</f>
        <v>7174.727999999999</v>
      </c>
      <c r="O9" s="6">
        <v>20.6</v>
      </c>
      <c r="P9" s="6">
        <v>18.7</v>
      </c>
      <c r="Q9" s="6">
        <f>P9*H36</f>
        <v>55903.08899999999</v>
      </c>
      <c r="R9" s="6">
        <f aca="true" t="shared" si="0" ref="R9:S17">G9+J9+M9+P9</f>
        <v>51.2</v>
      </c>
      <c r="S9" s="6">
        <f t="shared" si="0"/>
        <v>143686.21899999998</v>
      </c>
      <c r="T9" s="60" t="s">
        <v>21</v>
      </c>
      <c r="U9" s="10"/>
      <c r="V9" s="8">
        <f>H9+K9+N9+Q9</f>
        <v>143686.21899999998</v>
      </c>
      <c r="W9" s="9">
        <f>G9+J9+M9+P9</f>
        <v>51.2</v>
      </c>
    </row>
    <row r="10" spans="1:23" ht="30" customHeight="1" hidden="1">
      <c r="A10" s="12">
        <v>2</v>
      </c>
      <c r="B10" s="398" t="s">
        <v>41</v>
      </c>
      <c r="C10" s="399"/>
      <c r="D10" s="400"/>
      <c r="E10" s="71"/>
      <c r="F10" s="12"/>
      <c r="G10" s="51">
        <f>G11+G12+G13+G14+G15+G16</f>
        <v>3047.7000000000003</v>
      </c>
      <c r="H10" s="6">
        <f>H11+H12+H13+H14+H15+H16</f>
        <v>8161801.554</v>
      </c>
      <c r="I10" s="6"/>
      <c r="J10" s="6">
        <f>J11+J12+J13+J14+J15+J16</f>
        <v>894.2</v>
      </c>
      <c r="K10" s="6">
        <f>K11+K12+K13+K14+K15+K16</f>
        <v>2394685.484</v>
      </c>
      <c r="L10" s="6"/>
      <c r="M10" s="6">
        <f>M11+M12+M13+M14+M15+M16</f>
        <v>284.29999999999995</v>
      </c>
      <c r="N10" s="6">
        <f>N11+N12+N13+N14+N15+N16</f>
        <v>849906.321</v>
      </c>
      <c r="O10" s="6"/>
      <c r="P10" s="6">
        <f>P11+P12+P13+P14+P15+P16</f>
        <v>2169.5</v>
      </c>
      <c r="Q10" s="6">
        <f>Q11+Q12+Q13+Q14+Q15+Q16</f>
        <v>6485655.165</v>
      </c>
      <c r="R10" s="6">
        <f>R11+R12+R13+R14+R15+R16</f>
        <v>6395.7</v>
      </c>
      <c r="S10" s="6">
        <f>S11+S12+S13+S14+S15+S16</f>
        <v>17892048.524</v>
      </c>
      <c r="T10" s="60" t="s">
        <v>21</v>
      </c>
      <c r="U10" s="10"/>
      <c r="V10" s="8"/>
      <c r="W10" s="9"/>
    </row>
    <row r="11" spans="1:23" ht="33.75" customHeight="1" hidden="1">
      <c r="A11" s="12"/>
      <c r="B11" s="354" t="s">
        <v>34</v>
      </c>
      <c r="C11" s="355"/>
      <c r="D11" s="356"/>
      <c r="E11" s="72"/>
      <c r="F11" s="12">
        <v>968.6</v>
      </c>
      <c r="G11" s="52">
        <v>780</v>
      </c>
      <c r="H11" s="13">
        <f>G11*G36</f>
        <v>2088855.6</v>
      </c>
      <c r="I11" s="13">
        <v>347.1</v>
      </c>
      <c r="J11" s="13">
        <v>150</v>
      </c>
      <c r="K11" s="13">
        <f>J11*G36</f>
        <v>401703</v>
      </c>
      <c r="L11" s="13">
        <v>138.9</v>
      </c>
      <c r="M11" s="13">
        <v>50</v>
      </c>
      <c r="N11" s="13">
        <f>M11*H36</f>
        <v>149473.5</v>
      </c>
      <c r="O11" s="13">
        <v>879.1</v>
      </c>
      <c r="P11" s="13">
        <v>290</v>
      </c>
      <c r="Q11" s="13">
        <f>P11*H36</f>
        <v>866946.2999999999</v>
      </c>
      <c r="R11" s="13">
        <f t="shared" si="0"/>
        <v>1270</v>
      </c>
      <c r="S11" s="13">
        <f t="shared" si="0"/>
        <v>3506978.4</v>
      </c>
      <c r="T11" s="60" t="s">
        <v>21</v>
      </c>
      <c r="U11" s="10"/>
      <c r="V11" s="8">
        <f aca="true" t="shared" si="1" ref="V11:V28">H11+K11+N11+Q11</f>
        <v>3506978.4</v>
      </c>
      <c r="W11" s="9">
        <f aca="true" t="shared" si="2" ref="W11:W28">G11+J11+M11+P11</f>
        <v>1270</v>
      </c>
    </row>
    <row r="12" spans="1:23" ht="31.5" customHeight="1" hidden="1">
      <c r="A12" s="12"/>
      <c r="B12" s="354" t="s">
        <v>35</v>
      </c>
      <c r="C12" s="355"/>
      <c r="D12" s="356"/>
      <c r="E12" s="72"/>
      <c r="F12" s="12">
        <v>275.5</v>
      </c>
      <c r="G12" s="52">
        <v>260.8</v>
      </c>
      <c r="H12" s="13">
        <f>G12*G36</f>
        <v>698427.616</v>
      </c>
      <c r="I12" s="13">
        <v>101.3</v>
      </c>
      <c r="J12" s="13">
        <v>82.4</v>
      </c>
      <c r="K12" s="13">
        <f>J12*G36</f>
        <v>220668.84800000003</v>
      </c>
      <c r="L12" s="13">
        <v>40.3</v>
      </c>
      <c r="M12" s="13">
        <v>24.8</v>
      </c>
      <c r="N12" s="13">
        <f>M12*H36</f>
        <v>74138.856</v>
      </c>
      <c r="O12" s="13">
        <v>245.5</v>
      </c>
      <c r="P12" s="13">
        <v>214.4</v>
      </c>
      <c r="Q12" s="13">
        <f>P12*H36</f>
        <v>640942.368</v>
      </c>
      <c r="R12" s="13">
        <f t="shared" si="0"/>
        <v>582.4000000000001</v>
      </c>
      <c r="S12" s="13">
        <f t="shared" si="0"/>
        <v>1634177.688</v>
      </c>
      <c r="T12" s="60" t="s">
        <v>21</v>
      </c>
      <c r="U12" s="10"/>
      <c r="V12" s="8">
        <f t="shared" si="1"/>
        <v>1634177.688</v>
      </c>
      <c r="W12" s="9">
        <f t="shared" si="2"/>
        <v>582.4000000000001</v>
      </c>
    </row>
    <row r="13" spans="1:23" ht="29.25" customHeight="1" hidden="1">
      <c r="A13" s="12"/>
      <c r="B13" s="354" t="s">
        <v>36</v>
      </c>
      <c r="C13" s="355"/>
      <c r="D13" s="356"/>
      <c r="E13" s="72"/>
      <c r="F13" s="12">
        <v>1020.1</v>
      </c>
      <c r="G13" s="52">
        <v>993.2</v>
      </c>
      <c r="H13" s="13">
        <f>G13*G36</f>
        <v>2659809.464</v>
      </c>
      <c r="I13" s="13">
        <v>343</v>
      </c>
      <c r="J13" s="13">
        <v>313.8</v>
      </c>
      <c r="K13" s="13">
        <f>J13*G36</f>
        <v>840362.676</v>
      </c>
      <c r="L13" s="13">
        <v>122.2</v>
      </c>
      <c r="M13" s="13">
        <v>95.1</v>
      </c>
      <c r="N13" s="13">
        <f>M13*H36</f>
        <v>284298.59699999995</v>
      </c>
      <c r="O13" s="13">
        <v>920.9</v>
      </c>
      <c r="P13" s="13">
        <v>816.6</v>
      </c>
      <c r="Q13" s="13">
        <f>P13*H36</f>
        <v>2441201.202</v>
      </c>
      <c r="R13" s="13">
        <f t="shared" si="0"/>
        <v>2218.7</v>
      </c>
      <c r="S13" s="13">
        <f t="shared" si="0"/>
        <v>6225671.939</v>
      </c>
      <c r="T13" s="60" t="s">
        <v>21</v>
      </c>
      <c r="U13" s="10"/>
      <c r="V13" s="8">
        <f t="shared" si="1"/>
        <v>6225671.939</v>
      </c>
      <c r="W13" s="9">
        <f t="shared" si="2"/>
        <v>2218.7</v>
      </c>
    </row>
    <row r="14" spans="1:23" ht="35.25" customHeight="1" hidden="1">
      <c r="A14" s="5"/>
      <c r="B14" s="354" t="s">
        <v>37</v>
      </c>
      <c r="C14" s="355"/>
      <c r="D14" s="356"/>
      <c r="E14" s="72"/>
      <c r="F14" s="5">
        <v>186.3</v>
      </c>
      <c r="G14" s="52">
        <v>215.9</v>
      </c>
      <c r="H14" s="13">
        <f>G14*G36</f>
        <v>578184.518</v>
      </c>
      <c r="I14" s="13">
        <v>55.3</v>
      </c>
      <c r="J14" s="13">
        <v>74.5</v>
      </c>
      <c r="K14" s="13">
        <f>J14*G36</f>
        <v>199512.49</v>
      </c>
      <c r="L14" s="13">
        <v>2.8</v>
      </c>
      <c r="M14" s="13">
        <v>24.7</v>
      </c>
      <c r="N14" s="13">
        <f>M14*H36</f>
        <v>73839.909</v>
      </c>
      <c r="O14" s="13">
        <v>158.5</v>
      </c>
      <c r="P14" s="13">
        <v>181.1</v>
      </c>
      <c r="Q14" s="13">
        <f>P14*H36</f>
        <v>541393.017</v>
      </c>
      <c r="R14" s="13">
        <f t="shared" si="0"/>
        <v>496.19999999999993</v>
      </c>
      <c r="S14" s="13">
        <f t="shared" si="0"/>
        <v>1392929.934</v>
      </c>
      <c r="T14" s="60" t="s">
        <v>21</v>
      </c>
      <c r="U14" s="10"/>
      <c r="V14" s="8">
        <f t="shared" si="1"/>
        <v>1392929.934</v>
      </c>
      <c r="W14" s="9">
        <f t="shared" si="2"/>
        <v>496.19999999999993</v>
      </c>
    </row>
    <row r="15" spans="1:23" ht="30" customHeight="1" hidden="1">
      <c r="A15" s="5"/>
      <c r="B15" s="354" t="s">
        <v>38</v>
      </c>
      <c r="C15" s="355"/>
      <c r="D15" s="356"/>
      <c r="E15" s="72"/>
      <c r="F15" s="5">
        <v>619</v>
      </c>
      <c r="G15" s="52">
        <v>550.4</v>
      </c>
      <c r="H15" s="13">
        <f>G15*G36</f>
        <v>1473982.2079999999</v>
      </c>
      <c r="I15" s="13">
        <v>532.4</v>
      </c>
      <c r="J15" s="13">
        <v>193.1</v>
      </c>
      <c r="K15" s="13">
        <f>J15*G36</f>
        <v>517125.66199999995</v>
      </c>
      <c r="L15" s="13">
        <v>142.3</v>
      </c>
      <c r="M15" s="13">
        <v>65</v>
      </c>
      <c r="N15" s="13">
        <f>M15*H36</f>
        <v>194315.55</v>
      </c>
      <c r="O15" s="13">
        <v>646.5</v>
      </c>
      <c r="P15" s="13">
        <v>463.1</v>
      </c>
      <c r="Q15" s="13">
        <f>P15*H36</f>
        <v>1384423.557</v>
      </c>
      <c r="R15" s="13">
        <f t="shared" si="0"/>
        <v>1271.6</v>
      </c>
      <c r="S15" s="13">
        <f t="shared" si="0"/>
        <v>3569846.977</v>
      </c>
      <c r="T15" s="60" t="s">
        <v>21</v>
      </c>
      <c r="U15" s="10"/>
      <c r="V15" s="8">
        <f t="shared" si="1"/>
        <v>3569846.977</v>
      </c>
      <c r="W15" s="9">
        <f t="shared" si="2"/>
        <v>1271.6</v>
      </c>
    </row>
    <row r="16" spans="1:23" ht="52.5" customHeight="1" hidden="1">
      <c r="A16" s="5"/>
      <c r="B16" s="354" t="s">
        <v>39</v>
      </c>
      <c r="C16" s="355"/>
      <c r="D16" s="356"/>
      <c r="E16" s="72"/>
      <c r="F16" s="5">
        <v>277.52</v>
      </c>
      <c r="G16" s="52">
        <v>247.4</v>
      </c>
      <c r="H16" s="13">
        <f>G16*G36</f>
        <v>662542.148</v>
      </c>
      <c r="I16" s="13">
        <v>129</v>
      </c>
      <c r="J16" s="13">
        <v>80.4</v>
      </c>
      <c r="K16" s="13">
        <f>J16*G36</f>
        <v>215312.80800000002</v>
      </c>
      <c r="L16" s="13">
        <v>7.2</v>
      </c>
      <c r="M16" s="13">
        <v>24.7</v>
      </c>
      <c r="N16" s="13">
        <f>M16*H36</f>
        <v>73839.909</v>
      </c>
      <c r="O16" s="13">
        <v>182.6</v>
      </c>
      <c r="P16" s="13">
        <v>204.3</v>
      </c>
      <c r="Q16" s="13">
        <f>P16*H36</f>
        <v>610748.721</v>
      </c>
      <c r="R16" s="13">
        <f t="shared" si="0"/>
        <v>556.8</v>
      </c>
      <c r="S16" s="13">
        <f t="shared" si="0"/>
        <v>1562443.5860000001</v>
      </c>
      <c r="T16" s="60" t="s">
        <v>21</v>
      </c>
      <c r="U16" s="10"/>
      <c r="V16" s="8">
        <f t="shared" si="1"/>
        <v>1562443.5860000001</v>
      </c>
      <c r="W16" s="9">
        <f t="shared" si="2"/>
        <v>556.8</v>
      </c>
    </row>
    <row r="17" spans="1:23" ht="30.75" customHeight="1" hidden="1">
      <c r="A17" s="12">
        <v>3</v>
      </c>
      <c r="B17" s="398" t="s">
        <v>42</v>
      </c>
      <c r="C17" s="399"/>
      <c r="D17" s="400"/>
      <c r="E17" s="71"/>
      <c r="F17" s="5"/>
      <c r="G17" s="51">
        <v>362.4</v>
      </c>
      <c r="H17" s="6">
        <f>G17*G36</f>
        <v>970514.448</v>
      </c>
      <c r="I17" s="6"/>
      <c r="J17" s="6">
        <v>118.4</v>
      </c>
      <c r="K17" s="6">
        <f>J17*G36</f>
        <v>317077.568</v>
      </c>
      <c r="L17" s="6"/>
      <c r="M17" s="6">
        <v>36.5</v>
      </c>
      <c r="N17" s="6">
        <f>M17*H36</f>
        <v>109115.655</v>
      </c>
      <c r="O17" s="6"/>
      <c r="P17" s="6">
        <v>300</v>
      </c>
      <c r="Q17" s="6">
        <f>P17*H36</f>
        <v>896840.9999999999</v>
      </c>
      <c r="R17" s="6">
        <f t="shared" si="0"/>
        <v>817.3</v>
      </c>
      <c r="S17" s="6">
        <f t="shared" si="0"/>
        <v>2293548.671</v>
      </c>
      <c r="U17" s="10"/>
      <c r="V17" s="8"/>
      <c r="W17" s="9">
        <f t="shared" si="2"/>
        <v>817.3</v>
      </c>
    </row>
    <row r="18" spans="1:23" ht="39" customHeight="1" hidden="1">
      <c r="A18" s="12">
        <v>4</v>
      </c>
      <c r="B18" s="398" t="s">
        <v>43</v>
      </c>
      <c r="C18" s="399"/>
      <c r="D18" s="400"/>
      <c r="E18" s="71"/>
      <c r="F18" s="5"/>
      <c r="G18" s="51">
        <f>G19+G20+G21</f>
        <v>40.4</v>
      </c>
      <c r="H18" s="6">
        <f>H19+H20+H21</f>
        <v>108192.008</v>
      </c>
      <c r="I18" s="6"/>
      <c r="J18" s="6">
        <f>J19+J20+J21</f>
        <v>13.200000000000001</v>
      </c>
      <c r="K18" s="6">
        <f>K19+K20+K21</f>
        <v>35349.864</v>
      </c>
      <c r="L18" s="6"/>
      <c r="M18" s="6">
        <f>M19+M20+M21</f>
        <v>4.2</v>
      </c>
      <c r="N18" s="6">
        <f>N19+N20+N21</f>
        <v>12555.774</v>
      </c>
      <c r="O18" s="6"/>
      <c r="P18" s="6">
        <f>P19+P20+P21</f>
        <v>33.5</v>
      </c>
      <c r="Q18" s="6">
        <f>Q19+Q20+Q21</f>
        <v>100147.245</v>
      </c>
      <c r="R18" s="6">
        <f>R19+R20+R21</f>
        <v>91.30000000000001</v>
      </c>
      <c r="S18" s="6">
        <f>S19+S20+S21</f>
        <v>256244.891</v>
      </c>
      <c r="U18" s="8"/>
      <c r="V18" s="8"/>
      <c r="W18" s="9"/>
    </row>
    <row r="19" spans="1:23" ht="27" customHeight="1" hidden="1">
      <c r="A19" s="5"/>
      <c r="B19" s="354" t="s">
        <v>44</v>
      </c>
      <c r="C19" s="355"/>
      <c r="D19" s="356"/>
      <c r="E19" s="72"/>
      <c r="F19" s="5"/>
      <c r="G19" s="52">
        <v>23.3</v>
      </c>
      <c r="H19" s="13">
        <f>G19*G36</f>
        <v>62397.866</v>
      </c>
      <c r="I19" s="13"/>
      <c r="J19" s="13">
        <v>7.5</v>
      </c>
      <c r="K19" s="13">
        <f>J19*G36</f>
        <v>20085.15</v>
      </c>
      <c r="L19" s="13"/>
      <c r="M19" s="13">
        <v>2.4</v>
      </c>
      <c r="N19" s="13">
        <f>M19*H36</f>
        <v>7174.727999999999</v>
      </c>
      <c r="O19" s="13"/>
      <c r="P19" s="13">
        <v>19.3</v>
      </c>
      <c r="Q19" s="13">
        <f>P19*H36</f>
        <v>57696.771</v>
      </c>
      <c r="R19" s="13">
        <f aca="true" t="shared" si="3" ref="R19:S21">G19+J19+M19+P19</f>
        <v>52.5</v>
      </c>
      <c r="S19" s="13">
        <f t="shared" si="3"/>
        <v>147354.515</v>
      </c>
      <c r="U19" s="8"/>
      <c r="V19" s="8"/>
      <c r="W19" s="9"/>
    </row>
    <row r="20" spans="1:23" ht="25.5" customHeight="1" hidden="1">
      <c r="A20" s="5"/>
      <c r="B20" s="354" t="s">
        <v>45</v>
      </c>
      <c r="C20" s="355"/>
      <c r="D20" s="356"/>
      <c r="E20" s="72"/>
      <c r="F20" s="5"/>
      <c r="G20" s="52">
        <v>2.4</v>
      </c>
      <c r="H20" s="13">
        <f>G20*G36</f>
        <v>6427.248</v>
      </c>
      <c r="I20" s="13"/>
      <c r="J20" s="13">
        <v>0.8</v>
      </c>
      <c r="K20" s="13">
        <f>J20*G36</f>
        <v>2142.416</v>
      </c>
      <c r="L20" s="13"/>
      <c r="M20" s="13">
        <v>0.2</v>
      </c>
      <c r="N20" s="13">
        <f>M20*H36</f>
        <v>597.894</v>
      </c>
      <c r="O20" s="13"/>
      <c r="P20" s="13">
        <v>2</v>
      </c>
      <c r="Q20" s="13">
        <f>P20*H36</f>
        <v>5978.94</v>
      </c>
      <c r="R20" s="13">
        <f t="shared" si="3"/>
        <v>5.4</v>
      </c>
      <c r="S20" s="13">
        <f t="shared" si="3"/>
        <v>15146.498</v>
      </c>
      <c r="U20" s="8"/>
      <c r="V20" s="8"/>
      <c r="W20" s="9"/>
    </row>
    <row r="21" spans="1:23" ht="26.25" customHeight="1" hidden="1">
      <c r="A21" s="5"/>
      <c r="B21" s="354" t="s">
        <v>46</v>
      </c>
      <c r="C21" s="355"/>
      <c r="D21" s="356"/>
      <c r="E21" s="72"/>
      <c r="F21" s="5"/>
      <c r="G21" s="52">
        <v>14.7</v>
      </c>
      <c r="H21" s="13">
        <f>G21*G36</f>
        <v>39366.894</v>
      </c>
      <c r="I21" s="13"/>
      <c r="J21" s="13">
        <v>4.9</v>
      </c>
      <c r="K21" s="13">
        <f>J21*G36</f>
        <v>13122.298</v>
      </c>
      <c r="L21" s="13"/>
      <c r="M21" s="13">
        <v>1.6</v>
      </c>
      <c r="N21" s="13">
        <f>M21*H36</f>
        <v>4783.152</v>
      </c>
      <c r="O21" s="13"/>
      <c r="P21" s="13">
        <v>12.2</v>
      </c>
      <c r="Q21" s="13">
        <f>P21*H36</f>
        <v>36471.53399999999</v>
      </c>
      <c r="R21" s="13">
        <f t="shared" si="3"/>
        <v>33.400000000000006</v>
      </c>
      <c r="S21" s="13">
        <f t="shared" si="3"/>
        <v>93743.878</v>
      </c>
      <c r="U21" s="8"/>
      <c r="V21" s="8"/>
      <c r="W21" s="9"/>
    </row>
    <row r="22" spans="1:23" ht="29.25" customHeight="1" hidden="1">
      <c r="A22" s="12">
        <v>5</v>
      </c>
      <c r="B22" s="398" t="s">
        <v>47</v>
      </c>
      <c r="C22" s="399"/>
      <c r="D22" s="400"/>
      <c r="E22" s="71"/>
      <c r="F22" s="5"/>
      <c r="G22" s="51">
        <f>G23+G24+G25+G26+G27+G28</f>
        <v>589.7</v>
      </c>
      <c r="H22" s="6">
        <f>H23+H24+H25+H26+H27+H28</f>
        <v>1579228.3939999996</v>
      </c>
      <c r="I22" s="6"/>
      <c r="J22" s="6">
        <f>J23+J24+J25+J26+J27+J28</f>
        <v>216.9</v>
      </c>
      <c r="K22" s="6">
        <f>K23+K24+K25+K26+K27+K28</f>
        <v>580862.5380000001</v>
      </c>
      <c r="L22" s="6"/>
      <c r="M22" s="6">
        <f>M23+M24+M25+M26+M27+M28</f>
        <v>24.800000000000004</v>
      </c>
      <c r="N22" s="6">
        <f>N23+N24+N25+N26+N27+N28</f>
        <v>74138.856</v>
      </c>
      <c r="O22" s="6"/>
      <c r="P22" s="6">
        <f>P23+P24+P25+P26+P27+P28</f>
        <v>407.8999999999999</v>
      </c>
      <c r="Q22" s="6">
        <f>Q23+Q24+Q25+Q26+Q27+Q28</f>
        <v>1219404.813</v>
      </c>
      <c r="R22" s="6">
        <f>R23+R24+R25+R26+R27+R28</f>
        <v>1239.2999999999997</v>
      </c>
      <c r="S22" s="6">
        <f>S23+S24+S25+S26+S27+S28</f>
        <v>3453634.601</v>
      </c>
      <c r="U22" s="8"/>
      <c r="V22" s="8"/>
      <c r="W22" s="9"/>
    </row>
    <row r="23" spans="1:23" ht="30" customHeight="1" hidden="1">
      <c r="A23" s="5"/>
      <c r="B23" s="354" t="s">
        <v>48</v>
      </c>
      <c r="C23" s="355"/>
      <c r="D23" s="356"/>
      <c r="E23" s="72"/>
      <c r="F23" s="5"/>
      <c r="G23" s="52">
        <v>19.7</v>
      </c>
      <c r="H23" s="13">
        <f>G23*G36</f>
        <v>52756.994</v>
      </c>
      <c r="I23" s="13"/>
      <c r="J23" s="13">
        <v>6.7</v>
      </c>
      <c r="K23" s="13">
        <f>J23*G36</f>
        <v>17942.734</v>
      </c>
      <c r="L23" s="13"/>
      <c r="M23" s="13">
        <v>2.3</v>
      </c>
      <c r="N23" s="13">
        <f>M23*H36</f>
        <v>6875.780999999999</v>
      </c>
      <c r="O23" s="13"/>
      <c r="P23" s="13">
        <v>17.2</v>
      </c>
      <c r="Q23" s="13">
        <f>P23*H36</f>
        <v>51418.88399999999</v>
      </c>
      <c r="R23" s="13">
        <f aca="true" t="shared" si="4" ref="R23:S28">G23+J23+M23+P23</f>
        <v>45.9</v>
      </c>
      <c r="S23" s="13">
        <f t="shared" si="4"/>
        <v>128994.393</v>
      </c>
      <c r="U23" s="8"/>
      <c r="V23" s="8"/>
      <c r="W23" s="9"/>
    </row>
    <row r="24" spans="1:23" ht="28.5" customHeight="1" hidden="1">
      <c r="A24" s="5"/>
      <c r="B24" s="354" t="s">
        <v>49</v>
      </c>
      <c r="C24" s="355"/>
      <c r="D24" s="356"/>
      <c r="E24" s="72"/>
      <c r="F24" s="5"/>
      <c r="G24" s="52">
        <v>317.5</v>
      </c>
      <c r="H24" s="13">
        <f>G24*G36</f>
        <v>850271.35</v>
      </c>
      <c r="I24" s="13"/>
      <c r="J24" s="13">
        <v>111.7</v>
      </c>
      <c r="K24" s="13">
        <f>J24*G36</f>
        <v>299134.83400000003</v>
      </c>
      <c r="L24" s="13"/>
      <c r="M24" s="13">
        <v>5.7</v>
      </c>
      <c r="N24" s="13">
        <f>M24*H36</f>
        <v>17039.979</v>
      </c>
      <c r="O24" s="13"/>
      <c r="P24" s="13">
        <v>205.7</v>
      </c>
      <c r="Q24" s="13">
        <f>P24*H36</f>
        <v>614933.9789999999</v>
      </c>
      <c r="R24" s="13">
        <f t="shared" si="4"/>
        <v>640.5999999999999</v>
      </c>
      <c r="S24" s="13">
        <f t="shared" si="4"/>
        <v>1781380.142</v>
      </c>
      <c r="U24" s="8"/>
      <c r="V24" s="8"/>
      <c r="W24" s="9"/>
    </row>
    <row r="25" spans="1:23" ht="32.25" customHeight="1" hidden="1">
      <c r="A25" s="5"/>
      <c r="B25" s="354" t="s">
        <v>50</v>
      </c>
      <c r="C25" s="355"/>
      <c r="D25" s="356"/>
      <c r="E25" s="72"/>
      <c r="F25" s="5"/>
      <c r="G25" s="52">
        <v>88.5</v>
      </c>
      <c r="H25" s="13">
        <f>G25*G36</f>
        <v>237004.77</v>
      </c>
      <c r="I25" s="13"/>
      <c r="J25" s="13">
        <v>28.3</v>
      </c>
      <c r="K25" s="13">
        <f>J25*G36</f>
        <v>75787.966</v>
      </c>
      <c r="L25" s="13"/>
      <c r="M25" s="13">
        <v>4.8</v>
      </c>
      <c r="N25" s="13">
        <f>M25*H36</f>
        <v>14349.455999999998</v>
      </c>
      <c r="O25" s="13"/>
      <c r="P25" s="13">
        <v>76.4</v>
      </c>
      <c r="Q25" s="13">
        <f>P25*H36</f>
        <v>228395.508</v>
      </c>
      <c r="R25" s="13">
        <f t="shared" si="4"/>
        <v>198</v>
      </c>
      <c r="S25" s="13">
        <f t="shared" si="4"/>
        <v>555537.7</v>
      </c>
      <c r="U25" s="8"/>
      <c r="V25" s="8"/>
      <c r="W25" s="9"/>
    </row>
    <row r="26" spans="1:23" ht="28.5" customHeight="1" hidden="1">
      <c r="A26" s="5"/>
      <c r="B26" s="354" t="s">
        <v>40</v>
      </c>
      <c r="C26" s="355"/>
      <c r="D26" s="356"/>
      <c r="E26" s="72"/>
      <c r="F26" s="5">
        <v>112.1</v>
      </c>
      <c r="G26" s="52">
        <v>70.8</v>
      </c>
      <c r="H26" s="13">
        <f>G26*G36</f>
        <v>189603.816</v>
      </c>
      <c r="I26" s="13"/>
      <c r="J26" s="13">
        <v>33.6</v>
      </c>
      <c r="K26" s="13">
        <f>J26*G36</f>
        <v>89981.47200000001</v>
      </c>
      <c r="L26" s="13"/>
      <c r="M26" s="13">
        <v>6.8</v>
      </c>
      <c r="N26" s="13">
        <f>M26*H36</f>
        <v>20328.395999999997</v>
      </c>
      <c r="O26" s="13"/>
      <c r="P26" s="13">
        <v>40.5</v>
      </c>
      <c r="Q26" s="13">
        <f>P26*H36</f>
        <v>121073.53499999999</v>
      </c>
      <c r="R26" s="13">
        <f t="shared" si="4"/>
        <v>151.7</v>
      </c>
      <c r="S26" s="13">
        <f t="shared" si="4"/>
        <v>420987.219</v>
      </c>
      <c r="T26" s="60" t="s">
        <v>21</v>
      </c>
      <c r="U26" s="8">
        <f>4206.13*P26</f>
        <v>170348.265</v>
      </c>
      <c r="V26" s="8">
        <f t="shared" si="1"/>
        <v>420987.219</v>
      </c>
      <c r="W26" s="9">
        <f t="shared" si="2"/>
        <v>151.7</v>
      </c>
    </row>
    <row r="27" spans="1:23" ht="33" customHeight="1" hidden="1">
      <c r="A27" s="5"/>
      <c r="B27" s="354" t="s">
        <v>51</v>
      </c>
      <c r="C27" s="355"/>
      <c r="D27" s="356"/>
      <c r="E27" s="72"/>
      <c r="F27" s="5">
        <v>87.8</v>
      </c>
      <c r="G27" s="52">
        <v>30.2</v>
      </c>
      <c r="H27" s="13">
        <f>G27*G36</f>
        <v>80876.204</v>
      </c>
      <c r="I27" s="13"/>
      <c r="J27" s="13">
        <v>9.6</v>
      </c>
      <c r="K27" s="13">
        <f>J27*G36</f>
        <v>25708.992</v>
      </c>
      <c r="L27" s="13"/>
      <c r="M27" s="13">
        <v>3.1</v>
      </c>
      <c r="N27" s="13">
        <f>M27*H36</f>
        <v>9267.357</v>
      </c>
      <c r="O27" s="13"/>
      <c r="P27" s="13">
        <v>25.9</v>
      </c>
      <c r="Q27" s="13">
        <f>P27*H36</f>
        <v>77427.27299999999</v>
      </c>
      <c r="R27" s="13">
        <f t="shared" si="4"/>
        <v>68.8</v>
      </c>
      <c r="S27" s="13">
        <f t="shared" si="4"/>
        <v>193279.826</v>
      </c>
      <c r="T27" s="60" t="s">
        <v>21</v>
      </c>
      <c r="U27" s="8">
        <f>4206.13*P27</f>
        <v>108938.76699999999</v>
      </c>
      <c r="V27" s="8">
        <f t="shared" si="1"/>
        <v>193279.826</v>
      </c>
      <c r="W27" s="9">
        <f t="shared" si="2"/>
        <v>68.8</v>
      </c>
    </row>
    <row r="28" spans="1:23" ht="26.25" customHeight="1" hidden="1">
      <c r="A28" s="5"/>
      <c r="B28" s="354" t="s">
        <v>52</v>
      </c>
      <c r="C28" s="355"/>
      <c r="D28" s="356"/>
      <c r="E28" s="72"/>
      <c r="F28" s="5">
        <v>331.5</v>
      </c>
      <c r="G28" s="52">
        <v>63</v>
      </c>
      <c r="H28" s="13">
        <f>G28*G36</f>
        <v>168715.26</v>
      </c>
      <c r="I28" s="13"/>
      <c r="J28" s="13">
        <v>27</v>
      </c>
      <c r="K28" s="13">
        <f>J28*G36</f>
        <v>72306.54</v>
      </c>
      <c r="L28" s="13"/>
      <c r="M28" s="13">
        <v>2.1</v>
      </c>
      <c r="N28" s="13">
        <f>M28*H36</f>
        <v>6277.887</v>
      </c>
      <c r="O28" s="13"/>
      <c r="P28" s="13">
        <v>42.2</v>
      </c>
      <c r="Q28" s="13">
        <f>P28*H36</f>
        <v>126155.634</v>
      </c>
      <c r="R28" s="13">
        <f t="shared" si="4"/>
        <v>134.3</v>
      </c>
      <c r="S28" s="13">
        <f t="shared" si="4"/>
        <v>373455.321</v>
      </c>
      <c r="T28" s="60" t="s">
        <v>21</v>
      </c>
      <c r="U28" s="8">
        <f>4206.13*P28</f>
        <v>177498.68600000002</v>
      </c>
      <c r="V28" s="8">
        <f t="shared" si="1"/>
        <v>373455.321</v>
      </c>
      <c r="W28" s="9">
        <f t="shared" si="2"/>
        <v>134.3</v>
      </c>
    </row>
    <row r="29" spans="1:23" ht="28.5" customHeight="1" hidden="1">
      <c r="A29" s="12">
        <v>6</v>
      </c>
      <c r="B29" s="398" t="s">
        <v>53</v>
      </c>
      <c r="C29" s="399"/>
      <c r="D29" s="400"/>
      <c r="E29" s="71"/>
      <c r="F29" s="5"/>
      <c r="G29" s="51">
        <f>G30+G31</f>
        <v>224.79999999999998</v>
      </c>
      <c r="H29" s="6">
        <f>H30+H31</f>
        <v>602018.896</v>
      </c>
      <c r="I29" s="6"/>
      <c r="J29" s="6">
        <f>J30+J31</f>
        <v>73.6</v>
      </c>
      <c r="K29" s="6">
        <f>K30+K31</f>
        <v>197102.272</v>
      </c>
      <c r="L29" s="6"/>
      <c r="M29" s="6">
        <f>M30+M31</f>
        <v>23.2</v>
      </c>
      <c r="N29" s="6">
        <f>N30+N31</f>
        <v>69355.704</v>
      </c>
      <c r="O29" s="6"/>
      <c r="P29" s="6">
        <f>P30+P31</f>
        <v>186.39999999999998</v>
      </c>
      <c r="Q29" s="6">
        <f>Q30+Q31</f>
        <v>557237.2079999999</v>
      </c>
      <c r="R29" s="6">
        <f>R30+R31</f>
        <v>508</v>
      </c>
      <c r="S29" s="6">
        <f>S30+S31</f>
        <v>1425714.08</v>
      </c>
      <c r="U29" s="8"/>
      <c r="V29" s="8"/>
      <c r="W29" s="9"/>
    </row>
    <row r="30" spans="1:23" ht="28.5" customHeight="1" hidden="1">
      <c r="A30" s="5"/>
      <c r="B30" s="354" t="s">
        <v>54</v>
      </c>
      <c r="C30" s="355"/>
      <c r="D30" s="356"/>
      <c r="E30" s="72"/>
      <c r="F30" s="5"/>
      <c r="G30" s="52">
        <v>87.6</v>
      </c>
      <c r="H30" s="13">
        <f>G30*G36</f>
        <v>234594.552</v>
      </c>
      <c r="I30" s="13"/>
      <c r="J30" s="13">
        <v>30.2</v>
      </c>
      <c r="K30" s="13">
        <f>J30*G36</f>
        <v>80876.204</v>
      </c>
      <c r="L30" s="13"/>
      <c r="M30" s="13">
        <v>10.1</v>
      </c>
      <c r="N30" s="13">
        <f>M30*H36</f>
        <v>30193.646999999997</v>
      </c>
      <c r="O30" s="13"/>
      <c r="P30" s="13">
        <v>73.6</v>
      </c>
      <c r="Q30" s="13">
        <f>P30*H36</f>
        <v>220024.99199999997</v>
      </c>
      <c r="R30" s="13">
        <f aca="true" t="shared" si="5" ref="R30:S32">G30+J30+M30+P30</f>
        <v>201.5</v>
      </c>
      <c r="S30" s="13">
        <f t="shared" si="5"/>
        <v>565689.395</v>
      </c>
      <c r="U30" s="8"/>
      <c r="V30" s="8"/>
      <c r="W30" s="9"/>
    </row>
    <row r="31" spans="1:23" ht="27" customHeight="1" hidden="1">
      <c r="A31" s="5"/>
      <c r="B31" s="354" t="s">
        <v>55</v>
      </c>
      <c r="C31" s="355"/>
      <c r="D31" s="356"/>
      <c r="E31" s="72"/>
      <c r="F31" s="5"/>
      <c r="G31" s="52">
        <v>137.2</v>
      </c>
      <c r="H31" s="13">
        <f>G31*G36</f>
        <v>367424.344</v>
      </c>
      <c r="I31" s="13"/>
      <c r="J31" s="13">
        <v>43.4</v>
      </c>
      <c r="K31" s="13">
        <f>J31*G36</f>
        <v>116226.068</v>
      </c>
      <c r="L31" s="13"/>
      <c r="M31" s="13">
        <v>13.1</v>
      </c>
      <c r="N31" s="13">
        <f>M31*H36</f>
        <v>39162.05699999999</v>
      </c>
      <c r="O31" s="13"/>
      <c r="P31" s="13">
        <v>112.8</v>
      </c>
      <c r="Q31" s="13">
        <f>P31*H36</f>
        <v>337212.21599999996</v>
      </c>
      <c r="R31" s="13">
        <f t="shared" si="5"/>
        <v>306.5</v>
      </c>
      <c r="S31" s="13">
        <f t="shared" si="5"/>
        <v>860024.6849999999</v>
      </c>
      <c r="U31" s="8"/>
      <c r="V31" s="8"/>
      <c r="W31" s="9"/>
    </row>
    <row r="32" spans="1:23" ht="27" customHeight="1" hidden="1">
      <c r="A32" s="12">
        <v>7</v>
      </c>
      <c r="B32" s="398" t="s">
        <v>56</v>
      </c>
      <c r="C32" s="399"/>
      <c r="D32" s="400"/>
      <c r="E32" s="71"/>
      <c r="F32" s="5"/>
      <c r="G32" s="51">
        <v>127</v>
      </c>
      <c r="H32" s="6">
        <f>G32*G36</f>
        <v>340108.54</v>
      </c>
      <c r="I32" s="6"/>
      <c r="J32" s="6">
        <v>43.6</v>
      </c>
      <c r="K32" s="6">
        <f>J32*G36</f>
        <v>116761.672</v>
      </c>
      <c r="L32" s="6"/>
      <c r="M32" s="6">
        <v>14.4</v>
      </c>
      <c r="N32" s="6">
        <f>M32*H36</f>
        <v>43048.367999999995</v>
      </c>
      <c r="O32" s="6"/>
      <c r="P32" s="6">
        <v>106.3</v>
      </c>
      <c r="Q32" s="6">
        <f>P32*H36</f>
        <v>317780.66099999996</v>
      </c>
      <c r="R32" s="6">
        <f t="shared" si="5"/>
        <v>291.3</v>
      </c>
      <c r="S32" s="6">
        <f t="shared" si="5"/>
        <v>817699.2409999999</v>
      </c>
      <c r="U32" s="8"/>
      <c r="V32" s="8"/>
      <c r="W32" s="9"/>
    </row>
    <row r="33" spans="1:23" ht="26.25" customHeight="1" hidden="1">
      <c r="A33" s="5"/>
      <c r="B33" s="407" t="s">
        <v>19</v>
      </c>
      <c r="C33" s="408"/>
      <c r="D33" s="409"/>
      <c r="E33" s="73"/>
      <c r="F33" s="12" t="e">
        <f>F9+#REF!+#REF!+F11+F12+F13+F14+F15+F16+F26+F27+F28+#REF!</f>
        <v>#REF!</v>
      </c>
      <c r="G33" s="6">
        <f>G9+G10+G17+G18+G22+G29+G32</f>
        <v>4414.6</v>
      </c>
      <c r="H33" s="6">
        <f>H9+H10+H17+H18+H22+H29+H32</f>
        <v>11822387.091999998</v>
      </c>
      <c r="I33" s="6">
        <f aca="true" t="shared" si="6" ref="I33:O33">I9+I11+I12+I13+I14+I15+I16+I26+I27+I28</f>
        <v>1516</v>
      </c>
      <c r="J33" s="6">
        <f>J9+J10+J17+J18+J22+J29+J32</f>
        <v>1367.3999999999999</v>
      </c>
      <c r="K33" s="6">
        <f>K9+K10+K17+K18+K22+K29+K32</f>
        <v>3661924.548</v>
      </c>
      <c r="L33" s="6">
        <f t="shared" si="6"/>
        <v>456.6</v>
      </c>
      <c r="M33" s="6">
        <f>M9+M10+M17+M18+M22+M29+M32</f>
        <v>389.7999999999999</v>
      </c>
      <c r="N33" s="6">
        <f>N9+N10+N17+N18+N22+N29+N32</f>
        <v>1165295.406</v>
      </c>
      <c r="O33" s="6">
        <f t="shared" si="6"/>
        <v>3053.7</v>
      </c>
      <c r="P33" s="6">
        <f>P9+P10+P17+P18+P22+P29+P32</f>
        <v>3222.3</v>
      </c>
      <c r="Q33" s="6">
        <f>Q9+Q10+Q17+Q22+Q29+Q32+Q18</f>
        <v>9632969.181</v>
      </c>
      <c r="R33" s="6">
        <f>R9+R10+R17+R18+R22+R29+R32</f>
        <v>9394.099999999999</v>
      </c>
      <c r="S33" s="6">
        <f>S9+S10+S17+S18+S22+S29+S32</f>
        <v>26282576.227</v>
      </c>
      <c r="T33" s="62"/>
      <c r="U33" s="16"/>
      <c r="V33" s="9"/>
      <c r="W33" s="9"/>
    </row>
    <row r="34" spans="1:23" ht="25.5" customHeight="1" hidden="1">
      <c r="A34" s="53"/>
      <c r="B34" s="410" t="s">
        <v>8</v>
      </c>
      <c r="C34" s="411"/>
      <c r="D34" s="412"/>
      <c r="E34" s="74"/>
      <c r="F34" s="288" t="s">
        <v>64</v>
      </c>
      <c r="G34" s="289"/>
      <c r="H34" s="289"/>
      <c r="I34" s="289"/>
      <c r="J34" s="289"/>
      <c r="K34" s="289"/>
      <c r="L34" s="289"/>
      <c r="M34" s="289"/>
      <c r="N34" s="289"/>
      <c r="O34" s="289"/>
      <c r="P34" s="289"/>
      <c r="Q34" s="289"/>
      <c r="R34" s="289"/>
      <c r="S34" s="290"/>
      <c r="U34" s="9"/>
      <c r="V34" s="9"/>
      <c r="W34" s="9"/>
    </row>
    <row r="35" spans="1:23" ht="15.75" customHeight="1" hidden="1">
      <c r="A35" s="17"/>
      <c r="B35" s="18"/>
      <c r="C35" s="18"/>
      <c r="D35" s="18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U35" s="9"/>
      <c r="V35" s="9"/>
      <c r="W35" s="9"/>
    </row>
    <row r="36" spans="1:23" ht="28.5" customHeight="1" hidden="1">
      <c r="A36" s="20"/>
      <c r="B36" s="21"/>
      <c r="C36" s="21"/>
      <c r="D36" s="22"/>
      <c r="E36" s="22"/>
      <c r="F36" s="23" t="s">
        <v>11</v>
      </c>
      <c r="G36" s="1">
        <v>2678.02</v>
      </c>
      <c r="H36" s="2">
        <v>2989.47</v>
      </c>
      <c r="I36" s="23" t="s">
        <v>16</v>
      </c>
      <c r="J36" s="23"/>
      <c r="K36" s="23"/>
      <c r="L36" s="23"/>
      <c r="M36" s="23"/>
      <c r="N36" s="21"/>
      <c r="O36" s="24"/>
      <c r="P36" s="24"/>
      <c r="Q36" s="24"/>
      <c r="R36" s="24"/>
      <c r="S36" s="24"/>
      <c r="U36" s="9"/>
      <c r="V36" s="9"/>
      <c r="W36" s="9"/>
    </row>
    <row r="37" spans="1:23" ht="20.25" customHeight="1" hidden="1">
      <c r="A37" s="254" t="s">
        <v>67</v>
      </c>
      <c r="B37" s="254"/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U37" s="9"/>
      <c r="V37" s="9"/>
      <c r="W37" s="9"/>
    </row>
    <row r="38" spans="1:23" ht="19.5" customHeight="1" hidden="1">
      <c r="A38" s="267" t="s">
        <v>15</v>
      </c>
      <c r="B38" s="268" t="s">
        <v>0</v>
      </c>
      <c r="C38" s="269"/>
      <c r="D38" s="270"/>
      <c r="E38" s="65"/>
      <c r="F38" s="278" t="s">
        <v>1</v>
      </c>
      <c r="G38" s="278"/>
      <c r="H38" s="278"/>
      <c r="I38" s="278" t="s">
        <v>3</v>
      </c>
      <c r="J38" s="278"/>
      <c r="K38" s="278"/>
      <c r="L38" s="278" t="s">
        <v>4</v>
      </c>
      <c r="M38" s="278"/>
      <c r="N38" s="278"/>
      <c r="O38" s="278" t="s">
        <v>6</v>
      </c>
      <c r="P38" s="278"/>
      <c r="Q38" s="278"/>
      <c r="R38" s="278" t="s">
        <v>7</v>
      </c>
      <c r="S38" s="278"/>
      <c r="U38" s="9"/>
      <c r="V38" s="9"/>
      <c r="W38" s="9"/>
    </row>
    <row r="39" spans="1:23" ht="30" customHeight="1" hidden="1">
      <c r="A39" s="267"/>
      <c r="B39" s="271"/>
      <c r="C39" s="272"/>
      <c r="D39" s="273"/>
      <c r="E39" s="66"/>
      <c r="F39" s="68"/>
      <c r="G39" s="68" t="s">
        <v>9</v>
      </c>
      <c r="H39" s="68" t="s">
        <v>5</v>
      </c>
      <c r="I39" s="68" t="s">
        <v>9</v>
      </c>
      <c r="J39" s="68" t="s">
        <v>9</v>
      </c>
      <c r="K39" s="68" t="s">
        <v>5</v>
      </c>
      <c r="L39" s="68" t="s">
        <v>9</v>
      </c>
      <c r="M39" s="68" t="s">
        <v>9</v>
      </c>
      <c r="N39" s="68" t="s">
        <v>5</v>
      </c>
      <c r="O39" s="68" t="s">
        <v>9</v>
      </c>
      <c r="P39" s="68" t="s">
        <v>9</v>
      </c>
      <c r="Q39" s="68" t="s">
        <v>5</v>
      </c>
      <c r="R39" s="68" t="s">
        <v>9</v>
      </c>
      <c r="S39" s="68" t="s">
        <v>5</v>
      </c>
      <c r="U39" s="9"/>
      <c r="V39" s="9"/>
      <c r="W39" s="9"/>
    </row>
    <row r="40" spans="1:23" ht="30" customHeight="1" hidden="1">
      <c r="A40" s="26">
        <v>1</v>
      </c>
      <c r="B40" s="401" t="s">
        <v>33</v>
      </c>
      <c r="C40" s="402"/>
      <c r="D40" s="403"/>
      <c r="E40" s="75"/>
      <c r="F40" s="26">
        <v>1800</v>
      </c>
      <c r="G40" s="27">
        <v>1750</v>
      </c>
      <c r="H40" s="27">
        <f>G40*G65</f>
        <v>8792.7</v>
      </c>
      <c r="I40" s="27">
        <v>1200</v>
      </c>
      <c r="J40" s="27">
        <v>1750</v>
      </c>
      <c r="K40" s="27">
        <f>J40*G65</f>
        <v>8792.7</v>
      </c>
      <c r="L40" s="27">
        <v>1500</v>
      </c>
      <c r="M40" s="27">
        <v>1750</v>
      </c>
      <c r="N40" s="27">
        <f>M40*H65</f>
        <v>9759.75</v>
      </c>
      <c r="O40" s="27">
        <v>1500</v>
      </c>
      <c r="P40" s="27">
        <v>1751.1</v>
      </c>
      <c r="Q40" s="27">
        <f>P40*H65</f>
        <v>9765.884699999999</v>
      </c>
      <c r="R40" s="27">
        <f>G40+J40+M40+P40</f>
        <v>7001.1</v>
      </c>
      <c r="S40" s="27">
        <f>H40+K40+N40+Q40</f>
        <v>37111.034700000004</v>
      </c>
      <c r="T40" s="60" t="s">
        <v>21</v>
      </c>
      <c r="U40" s="9">
        <f>5.629*P40</f>
        <v>9856.941899999998</v>
      </c>
      <c r="V40" s="8">
        <f>H40+K40+N40+Q40</f>
        <v>37111.034700000004</v>
      </c>
      <c r="W40" s="9">
        <f>G40+J40+M40+P40</f>
        <v>7001.1</v>
      </c>
    </row>
    <row r="41" spans="1:23" ht="30" customHeight="1" hidden="1">
      <c r="A41" s="12">
        <v>2</v>
      </c>
      <c r="B41" s="398" t="s">
        <v>41</v>
      </c>
      <c r="C41" s="399"/>
      <c r="D41" s="400"/>
      <c r="E41" s="71"/>
      <c r="F41" s="26"/>
      <c r="G41" s="27">
        <f>G42+G43+G44+G45+G46+G47</f>
        <v>181078</v>
      </c>
      <c r="H41" s="27">
        <f>H42+H43+H44+H45+H46+H47</f>
        <v>909808.3032000001</v>
      </c>
      <c r="I41" s="27"/>
      <c r="J41" s="27">
        <f>J42+J43+J44+J45+J46+J47</f>
        <v>182881</v>
      </c>
      <c r="K41" s="27">
        <f>K42+K43+K44+K45+K46+K47</f>
        <v>918867.2964000001</v>
      </c>
      <c r="L41" s="27"/>
      <c r="M41" s="27">
        <f>M42+M43+M44+M45+M46+M47</f>
        <v>167091</v>
      </c>
      <c r="N41" s="27">
        <f>N42+N43+N44+N45+N46+N47</f>
        <v>931866.507</v>
      </c>
      <c r="O41" s="27"/>
      <c r="P41" s="27">
        <f>P42+P43+P44+P45+P46+P47</f>
        <v>250747</v>
      </c>
      <c r="Q41" s="27">
        <f>Q42+Q43+Q44+Q45+Q46+Q47</f>
        <v>1398416.019</v>
      </c>
      <c r="R41" s="27">
        <f>R42+R43+R44+R45+R46+R47</f>
        <v>781797</v>
      </c>
      <c r="S41" s="27">
        <f>S42+S43+S44+S45+S46+S47</f>
        <v>4158958.1255999994</v>
      </c>
      <c r="U41" s="9"/>
      <c r="V41" s="8"/>
      <c r="W41" s="9"/>
    </row>
    <row r="42" spans="1:23" ht="33" customHeight="1" hidden="1">
      <c r="A42" s="12"/>
      <c r="B42" s="354" t="s">
        <v>34</v>
      </c>
      <c r="C42" s="355"/>
      <c r="D42" s="356"/>
      <c r="E42" s="72"/>
      <c r="F42" s="12">
        <v>53000</v>
      </c>
      <c r="G42" s="13">
        <v>40000</v>
      </c>
      <c r="H42" s="13">
        <f>G42*G65</f>
        <v>200976</v>
      </c>
      <c r="I42" s="13">
        <v>36000</v>
      </c>
      <c r="J42" s="13">
        <v>43500</v>
      </c>
      <c r="K42" s="13">
        <f>J42*G65</f>
        <v>218561.4</v>
      </c>
      <c r="L42" s="13">
        <v>24000</v>
      </c>
      <c r="M42" s="13">
        <v>25200</v>
      </c>
      <c r="N42" s="13">
        <f>M42*H65</f>
        <v>140540.4</v>
      </c>
      <c r="O42" s="13">
        <v>50000</v>
      </c>
      <c r="P42" s="13">
        <v>64000</v>
      </c>
      <c r="Q42" s="13">
        <f>P42*H65</f>
        <v>356928</v>
      </c>
      <c r="R42" s="13">
        <f aca="true" t="shared" si="7" ref="R42:S48">G42+J42+M42+P42</f>
        <v>172700</v>
      </c>
      <c r="S42" s="13">
        <f t="shared" si="7"/>
        <v>917005.8</v>
      </c>
      <c r="T42" s="60" t="s">
        <v>21</v>
      </c>
      <c r="U42" s="9">
        <f aca="true" t="shared" si="8" ref="U42:U52">5.629*P42</f>
        <v>360256</v>
      </c>
      <c r="V42" s="8">
        <f aca="true" t="shared" si="9" ref="V42:V51">H42+K42+N42+Q42</f>
        <v>917005.8</v>
      </c>
      <c r="W42" s="9">
        <f>G42+J42+M42+P42</f>
        <v>172700</v>
      </c>
    </row>
    <row r="43" spans="1:23" ht="33.75" customHeight="1" hidden="1">
      <c r="A43" s="26"/>
      <c r="B43" s="404" t="s">
        <v>57</v>
      </c>
      <c r="C43" s="405"/>
      <c r="D43" s="406"/>
      <c r="E43" s="76"/>
      <c r="F43" s="26">
        <v>27000</v>
      </c>
      <c r="G43" s="29">
        <v>23250</v>
      </c>
      <c r="H43" s="29">
        <f>G43*G65</f>
        <v>116817.3</v>
      </c>
      <c r="I43" s="29">
        <v>17000</v>
      </c>
      <c r="J43" s="29">
        <v>17820</v>
      </c>
      <c r="K43" s="29">
        <f>J43*G65</f>
        <v>89534.808</v>
      </c>
      <c r="L43" s="29">
        <v>19000</v>
      </c>
      <c r="M43" s="29">
        <v>18549</v>
      </c>
      <c r="N43" s="29">
        <f>M43*H65</f>
        <v>103447.773</v>
      </c>
      <c r="O43" s="29">
        <v>41000</v>
      </c>
      <c r="P43" s="29">
        <v>35010</v>
      </c>
      <c r="Q43" s="29">
        <f>P43*H65</f>
        <v>195250.77</v>
      </c>
      <c r="R43" s="29">
        <f t="shared" si="7"/>
        <v>94629</v>
      </c>
      <c r="S43" s="29">
        <f t="shared" si="7"/>
        <v>505050.65099999995</v>
      </c>
      <c r="T43" s="60" t="s">
        <v>21</v>
      </c>
      <c r="U43" s="9">
        <f t="shared" si="8"/>
        <v>197071.28999999998</v>
      </c>
      <c r="V43" s="8">
        <f t="shared" si="9"/>
        <v>505050.65099999995</v>
      </c>
      <c r="W43" s="9">
        <f aca="true" t="shared" si="10" ref="W43:W52">G43+J43+M43+P43</f>
        <v>94629</v>
      </c>
    </row>
    <row r="44" spans="1:23" ht="35.25" customHeight="1" hidden="1">
      <c r="A44" s="12"/>
      <c r="B44" s="354" t="s">
        <v>36</v>
      </c>
      <c r="C44" s="355"/>
      <c r="D44" s="356"/>
      <c r="E44" s="72"/>
      <c r="F44" s="12">
        <v>70000</v>
      </c>
      <c r="G44" s="13">
        <v>29500</v>
      </c>
      <c r="H44" s="13">
        <f>G44*G65</f>
        <v>148219.8</v>
      </c>
      <c r="I44" s="13">
        <v>55000</v>
      </c>
      <c r="J44" s="13">
        <v>46750</v>
      </c>
      <c r="K44" s="13">
        <f>J44*G65</f>
        <v>234890.7</v>
      </c>
      <c r="L44" s="13">
        <v>45000</v>
      </c>
      <c r="M44" s="13">
        <v>38250</v>
      </c>
      <c r="N44" s="13">
        <f>M44*H65</f>
        <v>213320.25</v>
      </c>
      <c r="O44" s="13">
        <v>70000</v>
      </c>
      <c r="P44" s="13">
        <v>39500</v>
      </c>
      <c r="Q44" s="13">
        <f>P44*H65</f>
        <v>220291.5</v>
      </c>
      <c r="R44" s="13">
        <f t="shared" si="7"/>
        <v>154000</v>
      </c>
      <c r="S44" s="13">
        <f t="shared" si="7"/>
        <v>816722.25</v>
      </c>
      <c r="T44" s="60" t="s">
        <v>21</v>
      </c>
      <c r="U44" s="9">
        <f t="shared" si="8"/>
        <v>222345.49999999997</v>
      </c>
      <c r="V44" s="8">
        <f t="shared" si="9"/>
        <v>816722.25</v>
      </c>
      <c r="W44" s="9">
        <f t="shared" si="10"/>
        <v>154000</v>
      </c>
    </row>
    <row r="45" spans="1:23" ht="30.75" customHeight="1" hidden="1">
      <c r="A45" s="5"/>
      <c r="B45" s="357" t="s">
        <v>37</v>
      </c>
      <c r="C45" s="357"/>
      <c r="D45" s="357"/>
      <c r="E45" s="77"/>
      <c r="F45" s="5">
        <v>17000</v>
      </c>
      <c r="G45" s="13">
        <v>49478</v>
      </c>
      <c r="H45" s="13">
        <f>G45*G65</f>
        <v>248597.2632</v>
      </c>
      <c r="I45" s="13">
        <v>14000</v>
      </c>
      <c r="J45" s="13">
        <v>40561</v>
      </c>
      <c r="K45" s="13">
        <f>J45*G65</f>
        <v>203794.68839999998</v>
      </c>
      <c r="L45" s="13">
        <v>13000</v>
      </c>
      <c r="M45" s="13">
        <v>34292</v>
      </c>
      <c r="N45" s="13">
        <f>M45*H65</f>
        <v>191246.484</v>
      </c>
      <c r="O45" s="13">
        <v>24000</v>
      </c>
      <c r="P45" s="13">
        <v>62737</v>
      </c>
      <c r="Q45" s="13">
        <f>P45*H65</f>
        <v>349884.249</v>
      </c>
      <c r="R45" s="13">
        <f t="shared" si="7"/>
        <v>187068</v>
      </c>
      <c r="S45" s="13">
        <f t="shared" si="7"/>
        <v>993522.6846</v>
      </c>
      <c r="T45" s="60" t="s">
        <v>21</v>
      </c>
      <c r="U45" s="9">
        <f t="shared" si="8"/>
        <v>353146.573</v>
      </c>
      <c r="V45" s="8">
        <f t="shared" si="9"/>
        <v>993522.6846</v>
      </c>
      <c r="W45" s="9">
        <f t="shared" si="10"/>
        <v>187068</v>
      </c>
    </row>
    <row r="46" spans="1:23" ht="29.25" customHeight="1" hidden="1">
      <c r="A46" s="5"/>
      <c r="B46" s="357" t="s">
        <v>38</v>
      </c>
      <c r="C46" s="357"/>
      <c r="D46" s="357"/>
      <c r="E46" s="77"/>
      <c r="F46" s="5">
        <v>31000</v>
      </c>
      <c r="G46" s="13">
        <v>29350</v>
      </c>
      <c r="H46" s="13">
        <f>G46*G65</f>
        <v>147466.13999999998</v>
      </c>
      <c r="I46" s="13">
        <v>27000</v>
      </c>
      <c r="J46" s="13">
        <v>25950</v>
      </c>
      <c r="K46" s="13">
        <f>J46*G65</f>
        <v>130383.18</v>
      </c>
      <c r="L46" s="13">
        <v>58000</v>
      </c>
      <c r="M46" s="13">
        <v>43300</v>
      </c>
      <c r="N46" s="13">
        <f>M46*H65</f>
        <v>241484.1</v>
      </c>
      <c r="O46" s="13">
        <v>44000</v>
      </c>
      <c r="P46" s="13">
        <v>37400</v>
      </c>
      <c r="Q46" s="13">
        <f>P46*H65</f>
        <v>208579.8</v>
      </c>
      <c r="R46" s="13">
        <f t="shared" si="7"/>
        <v>136000</v>
      </c>
      <c r="S46" s="13">
        <f t="shared" si="7"/>
        <v>727913.22</v>
      </c>
      <c r="T46" s="60" t="s">
        <v>21</v>
      </c>
      <c r="U46" s="9">
        <f t="shared" si="8"/>
        <v>210524.59999999998</v>
      </c>
      <c r="V46" s="8">
        <f t="shared" si="9"/>
        <v>727913.22</v>
      </c>
      <c r="W46" s="9">
        <f t="shared" si="10"/>
        <v>136000</v>
      </c>
    </row>
    <row r="47" spans="1:23" ht="46.5" customHeight="1" hidden="1">
      <c r="A47" s="5"/>
      <c r="B47" s="357" t="s">
        <v>39</v>
      </c>
      <c r="C47" s="357"/>
      <c r="D47" s="357"/>
      <c r="E47" s="77"/>
      <c r="F47" s="5">
        <v>8000</v>
      </c>
      <c r="G47" s="13">
        <v>9500</v>
      </c>
      <c r="H47" s="13">
        <f>G47*G65</f>
        <v>47731.8</v>
      </c>
      <c r="I47" s="13">
        <v>12000</v>
      </c>
      <c r="J47" s="13">
        <v>8300</v>
      </c>
      <c r="K47" s="13">
        <f>J47*G65</f>
        <v>41702.52</v>
      </c>
      <c r="L47" s="13">
        <v>9000</v>
      </c>
      <c r="M47" s="13">
        <v>7500</v>
      </c>
      <c r="N47" s="13">
        <f>M47*H65</f>
        <v>41827.5</v>
      </c>
      <c r="O47" s="13">
        <v>15000</v>
      </c>
      <c r="P47" s="13">
        <v>12100</v>
      </c>
      <c r="Q47" s="13">
        <f>P47*H65</f>
        <v>67481.7</v>
      </c>
      <c r="R47" s="13">
        <f t="shared" si="7"/>
        <v>37400</v>
      </c>
      <c r="S47" s="13">
        <f t="shared" si="7"/>
        <v>198743.52000000002</v>
      </c>
      <c r="T47" s="60" t="s">
        <v>21</v>
      </c>
      <c r="U47" s="9">
        <f t="shared" si="8"/>
        <v>68110.9</v>
      </c>
      <c r="V47" s="8">
        <f t="shared" si="9"/>
        <v>198743.52000000002</v>
      </c>
      <c r="W47" s="9">
        <f t="shared" si="10"/>
        <v>37400</v>
      </c>
    </row>
    <row r="48" spans="1:23" ht="27" customHeight="1" hidden="1">
      <c r="A48" s="12">
        <v>3</v>
      </c>
      <c r="B48" s="398" t="s">
        <v>42</v>
      </c>
      <c r="C48" s="399"/>
      <c r="D48" s="400"/>
      <c r="E48" s="71"/>
      <c r="F48" s="12">
        <v>9000</v>
      </c>
      <c r="G48" s="6">
        <v>35398</v>
      </c>
      <c r="H48" s="6">
        <f>G48*G65</f>
        <v>177853.7112</v>
      </c>
      <c r="I48" s="6"/>
      <c r="J48" s="6">
        <v>25770</v>
      </c>
      <c r="K48" s="6">
        <f>J48*G65</f>
        <v>129478.788</v>
      </c>
      <c r="L48" s="6"/>
      <c r="M48" s="6">
        <v>28284</v>
      </c>
      <c r="N48" s="6">
        <f>M48*H65</f>
        <v>157739.868</v>
      </c>
      <c r="O48" s="6"/>
      <c r="P48" s="6">
        <v>35088</v>
      </c>
      <c r="Q48" s="6">
        <f>P48*H65</f>
        <v>195685.776</v>
      </c>
      <c r="R48" s="6">
        <f t="shared" si="7"/>
        <v>124540</v>
      </c>
      <c r="S48" s="6">
        <f t="shared" si="7"/>
        <v>660758.1432</v>
      </c>
      <c r="T48" s="60" t="s">
        <v>21</v>
      </c>
      <c r="U48" s="9">
        <f t="shared" si="8"/>
        <v>197510.35199999998</v>
      </c>
      <c r="V48" s="8">
        <f t="shared" si="9"/>
        <v>660758.1432</v>
      </c>
      <c r="W48" s="9">
        <f t="shared" si="10"/>
        <v>124540</v>
      </c>
    </row>
    <row r="49" spans="1:23" ht="28.5" customHeight="1" hidden="1">
      <c r="A49" s="12">
        <v>4</v>
      </c>
      <c r="B49" s="398" t="s">
        <v>43</v>
      </c>
      <c r="C49" s="399"/>
      <c r="D49" s="400"/>
      <c r="E49" s="71"/>
      <c r="F49" s="12">
        <v>20000</v>
      </c>
      <c r="G49" s="6">
        <f>G50+G51+G52</f>
        <v>33699</v>
      </c>
      <c r="H49" s="6">
        <f>H50+H51+H52</f>
        <v>169317.25559999997</v>
      </c>
      <c r="I49" s="6"/>
      <c r="J49" s="6">
        <f>J50+J51+J52</f>
        <v>22466</v>
      </c>
      <c r="K49" s="6">
        <f>K50+K51+K52</f>
        <v>112878.1704</v>
      </c>
      <c r="L49" s="6"/>
      <c r="M49" s="6">
        <f>M50+M51+M52</f>
        <v>22466</v>
      </c>
      <c r="N49" s="6">
        <f>N50+N51+N52</f>
        <v>125292.882</v>
      </c>
      <c r="O49" s="6"/>
      <c r="P49" s="6">
        <f>P50+P51+P52</f>
        <v>33699</v>
      </c>
      <c r="Q49" s="6">
        <f>Q50+Q51+Q52</f>
        <v>187939.323</v>
      </c>
      <c r="R49" s="6">
        <f>R50+R51+R52</f>
        <v>112330</v>
      </c>
      <c r="S49" s="6">
        <f>S50+S51+S52</f>
        <v>595427.6309999999</v>
      </c>
      <c r="T49" s="60" t="s">
        <v>21</v>
      </c>
      <c r="U49" s="9">
        <f t="shared" si="8"/>
        <v>189691.67099999997</v>
      </c>
      <c r="V49" s="8">
        <f t="shared" si="9"/>
        <v>595427.6309999999</v>
      </c>
      <c r="W49" s="9">
        <f t="shared" si="10"/>
        <v>112330</v>
      </c>
    </row>
    <row r="50" spans="1:23" ht="28.5" customHeight="1" hidden="1">
      <c r="A50" s="5"/>
      <c r="B50" s="354" t="s">
        <v>44</v>
      </c>
      <c r="C50" s="355"/>
      <c r="D50" s="356"/>
      <c r="E50" s="72"/>
      <c r="F50" s="5"/>
      <c r="G50" s="13">
        <v>5264</v>
      </c>
      <c r="H50" s="13">
        <f>G50*G65</f>
        <v>26448.4416</v>
      </c>
      <c r="I50" s="13"/>
      <c r="J50" s="13">
        <v>3510</v>
      </c>
      <c r="K50" s="13">
        <f>J50*G65</f>
        <v>17635.644</v>
      </c>
      <c r="L50" s="13"/>
      <c r="M50" s="13">
        <v>3510</v>
      </c>
      <c r="N50" s="13">
        <f>M50*H65</f>
        <v>19575.27</v>
      </c>
      <c r="O50" s="13"/>
      <c r="P50" s="13">
        <v>5264</v>
      </c>
      <c r="Q50" s="13">
        <f>P50*H65</f>
        <v>29357.328</v>
      </c>
      <c r="R50" s="13">
        <f aca="true" t="shared" si="11" ref="R50:S52">G50+J50+M50+P50</f>
        <v>17548</v>
      </c>
      <c r="S50" s="13">
        <f t="shared" si="11"/>
        <v>93016.68359999999</v>
      </c>
      <c r="U50" s="9"/>
      <c r="V50" s="8"/>
      <c r="W50" s="9"/>
    </row>
    <row r="51" spans="1:23" ht="27" customHeight="1" hidden="1">
      <c r="A51" s="5"/>
      <c r="B51" s="354" t="s">
        <v>58</v>
      </c>
      <c r="C51" s="355"/>
      <c r="D51" s="356"/>
      <c r="E51" s="72"/>
      <c r="F51" s="5">
        <v>29400</v>
      </c>
      <c r="G51" s="13">
        <v>23198</v>
      </c>
      <c r="H51" s="13">
        <f>G51*G65</f>
        <v>116556.0312</v>
      </c>
      <c r="I51" s="13"/>
      <c r="J51" s="13">
        <v>15465</v>
      </c>
      <c r="K51" s="13">
        <f>J51*G65</f>
        <v>77702.346</v>
      </c>
      <c r="L51" s="13"/>
      <c r="M51" s="13">
        <v>15465</v>
      </c>
      <c r="N51" s="13">
        <f>M51*H65</f>
        <v>86248.305</v>
      </c>
      <c r="O51" s="13"/>
      <c r="P51" s="13">
        <v>23198</v>
      </c>
      <c r="Q51" s="13">
        <f>P51*H65</f>
        <v>129375.246</v>
      </c>
      <c r="R51" s="13">
        <f t="shared" si="11"/>
        <v>77326</v>
      </c>
      <c r="S51" s="13">
        <f t="shared" si="11"/>
        <v>409881.92819999997</v>
      </c>
      <c r="T51" s="60" t="s">
        <v>21</v>
      </c>
      <c r="U51" s="9">
        <f t="shared" si="8"/>
        <v>130581.54199999999</v>
      </c>
      <c r="V51" s="8">
        <f t="shared" si="9"/>
        <v>409881.92819999997</v>
      </c>
      <c r="W51" s="9">
        <f t="shared" si="10"/>
        <v>77326</v>
      </c>
    </row>
    <row r="52" spans="1:23" ht="27" customHeight="1" hidden="1">
      <c r="A52" s="5"/>
      <c r="B52" s="354" t="s">
        <v>59</v>
      </c>
      <c r="C52" s="355"/>
      <c r="D52" s="356"/>
      <c r="E52" s="72"/>
      <c r="F52" s="5"/>
      <c r="G52" s="13">
        <v>5237</v>
      </c>
      <c r="H52" s="13">
        <f>G52*G65</f>
        <v>26312.7828</v>
      </c>
      <c r="I52" s="13"/>
      <c r="J52" s="13">
        <v>3491</v>
      </c>
      <c r="K52" s="13">
        <f>J52*G65</f>
        <v>17540.1804</v>
      </c>
      <c r="L52" s="13"/>
      <c r="M52" s="13">
        <v>3491</v>
      </c>
      <c r="N52" s="13">
        <f>M52*H65</f>
        <v>19469.307</v>
      </c>
      <c r="O52" s="13"/>
      <c r="P52" s="13">
        <v>5237</v>
      </c>
      <c r="Q52" s="13">
        <f>P52*H65</f>
        <v>29206.749</v>
      </c>
      <c r="R52" s="13">
        <f t="shared" si="11"/>
        <v>17456</v>
      </c>
      <c r="S52" s="13">
        <f t="shared" si="11"/>
        <v>92529.0192</v>
      </c>
      <c r="U52" s="9">
        <f t="shared" si="8"/>
        <v>29479.072999999997</v>
      </c>
      <c r="V52" s="8"/>
      <c r="W52" s="9">
        <f t="shared" si="10"/>
        <v>17456</v>
      </c>
    </row>
    <row r="53" spans="1:23" ht="27" customHeight="1" hidden="1">
      <c r="A53" s="12">
        <v>5</v>
      </c>
      <c r="B53" s="398" t="s">
        <v>47</v>
      </c>
      <c r="C53" s="399"/>
      <c r="D53" s="400"/>
      <c r="E53" s="71"/>
      <c r="F53" s="5"/>
      <c r="G53" s="6">
        <f>G54+G55+G56+G57+G58+G59</f>
        <v>22584</v>
      </c>
      <c r="H53" s="6">
        <f>H54+H55+H56+H57+H58+H59</f>
        <v>113471.0496</v>
      </c>
      <c r="I53" s="6"/>
      <c r="J53" s="6">
        <f>J54+J55+J56+J57+J58+J59</f>
        <v>19435</v>
      </c>
      <c r="K53" s="6">
        <f>K54+K55+K56+K57+K58+K59</f>
        <v>97649.21399999998</v>
      </c>
      <c r="L53" s="6"/>
      <c r="M53" s="6">
        <f>M54+M55+M56+M57+M58+M59</f>
        <v>24051</v>
      </c>
      <c r="N53" s="6">
        <f>N54+N55+N56+N57+N58+N59</f>
        <v>134132.427</v>
      </c>
      <c r="O53" s="6"/>
      <c r="P53" s="6">
        <f>P54+P55+P56+P57+P58+P59</f>
        <v>23137</v>
      </c>
      <c r="Q53" s="6">
        <f>Q54+Q55+Q56+Q57+Q58+Q59</f>
        <v>129035.049</v>
      </c>
      <c r="R53" s="6">
        <f>R54+R55+R56+R57+R58+R59</f>
        <v>89207</v>
      </c>
      <c r="S53" s="6">
        <f>S54+S55+S56++S57+S58+S59</f>
        <v>474287.7396</v>
      </c>
      <c r="U53" s="9"/>
      <c r="V53" s="8"/>
      <c r="W53" s="9"/>
    </row>
    <row r="54" spans="1:23" ht="27" customHeight="1" hidden="1">
      <c r="A54" s="5"/>
      <c r="B54" s="354" t="s">
        <v>48</v>
      </c>
      <c r="C54" s="355"/>
      <c r="D54" s="356"/>
      <c r="E54" s="72"/>
      <c r="F54" s="5"/>
      <c r="G54" s="13">
        <v>3093</v>
      </c>
      <c r="H54" s="31">
        <f>G54*G65</f>
        <v>15540.4692</v>
      </c>
      <c r="I54" s="13"/>
      <c r="J54" s="13">
        <v>2715</v>
      </c>
      <c r="K54" s="13">
        <f>J54*G65</f>
        <v>13641.246</v>
      </c>
      <c r="L54" s="13"/>
      <c r="M54" s="13">
        <v>2752</v>
      </c>
      <c r="N54" s="13">
        <f>M54*H65</f>
        <v>15347.904</v>
      </c>
      <c r="O54" s="13"/>
      <c r="P54" s="13">
        <v>2588</v>
      </c>
      <c r="Q54" s="13">
        <f>P54*H65</f>
        <v>14433.276</v>
      </c>
      <c r="R54" s="13">
        <f aca="true" t="shared" si="12" ref="R54:S59">G54+J54+M54+P54</f>
        <v>11148</v>
      </c>
      <c r="S54" s="13">
        <f t="shared" si="12"/>
        <v>58962.8952</v>
      </c>
      <c r="U54" s="9"/>
      <c r="V54" s="8"/>
      <c r="W54" s="9"/>
    </row>
    <row r="55" spans="1:23" ht="27" customHeight="1" hidden="1">
      <c r="A55" s="5"/>
      <c r="B55" s="354" t="s">
        <v>49</v>
      </c>
      <c r="C55" s="355"/>
      <c r="D55" s="356"/>
      <c r="E55" s="72"/>
      <c r="F55" s="5"/>
      <c r="G55" s="13">
        <v>5045</v>
      </c>
      <c r="H55" s="13">
        <f>G55*G65</f>
        <v>25348.097999999998</v>
      </c>
      <c r="I55" s="13"/>
      <c r="J55" s="13">
        <v>3390</v>
      </c>
      <c r="K55" s="13">
        <f>J55*G65</f>
        <v>17032.716</v>
      </c>
      <c r="L55" s="13"/>
      <c r="M55" s="13">
        <v>5675</v>
      </c>
      <c r="N55" s="13">
        <f>M55*H65</f>
        <v>31649.475</v>
      </c>
      <c r="O55" s="13"/>
      <c r="P55" s="13">
        <v>6890</v>
      </c>
      <c r="Q55" s="13">
        <f>P55*H65</f>
        <v>38425.53</v>
      </c>
      <c r="R55" s="13">
        <f t="shared" si="12"/>
        <v>21000</v>
      </c>
      <c r="S55" s="13">
        <f t="shared" si="12"/>
        <v>112455.81899999999</v>
      </c>
      <c r="U55" s="9"/>
      <c r="V55" s="8"/>
      <c r="W55" s="9"/>
    </row>
    <row r="56" spans="1:23" ht="27" customHeight="1" hidden="1">
      <c r="A56" s="5"/>
      <c r="B56" s="354" t="s">
        <v>50</v>
      </c>
      <c r="C56" s="355"/>
      <c r="D56" s="356"/>
      <c r="E56" s="72"/>
      <c r="F56" s="5"/>
      <c r="G56" s="13">
        <v>5253</v>
      </c>
      <c r="H56" s="13">
        <f>G56*G65</f>
        <v>26393.1732</v>
      </c>
      <c r="I56" s="13"/>
      <c r="J56" s="13">
        <v>5294</v>
      </c>
      <c r="K56" s="13">
        <f>J56*G65</f>
        <v>26599.1736</v>
      </c>
      <c r="L56" s="13"/>
      <c r="M56" s="13">
        <v>7570</v>
      </c>
      <c r="N56" s="13">
        <f>M56*H65</f>
        <v>42217.89</v>
      </c>
      <c r="O56" s="13"/>
      <c r="P56" s="13">
        <v>4038</v>
      </c>
      <c r="Q56" s="13">
        <f>P56*H65</f>
        <v>22519.926</v>
      </c>
      <c r="R56" s="13">
        <f t="shared" si="12"/>
        <v>22155</v>
      </c>
      <c r="S56" s="13">
        <f t="shared" si="12"/>
        <v>117730.16279999999</v>
      </c>
      <c r="U56" s="9"/>
      <c r="V56" s="8"/>
      <c r="W56" s="9"/>
    </row>
    <row r="57" spans="1:23" ht="27" customHeight="1" hidden="1">
      <c r="A57" s="5"/>
      <c r="B57" s="357" t="s">
        <v>40</v>
      </c>
      <c r="C57" s="357"/>
      <c r="D57" s="357"/>
      <c r="E57" s="77"/>
      <c r="F57" s="5"/>
      <c r="G57" s="13">
        <v>3278</v>
      </c>
      <c r="H57" s="13">
        <f>G57*G65</f>
        <v>16469.9832</v>
      </c>
      <c r="I57" s="13"/>
      <c r="J57" s="13">
        <v>2211</v>
      </c>
      <c r="K57" s="13">
        <f>J57*G65</f>
        <v>11108.9484</v>
      </c>
      <c r="L57" s="13"/>
      <c r="M57" s="13">
        <v>2959</v>
      </c>
      <c r="N57" s="13">
        <f>M57*H65</f>
        <v>16502.343</v>
      </c>
      <c r="O57" s="13"/>
      <c r="P57" s="13">
        <v>3696</v>
      </c>
      <c r="Q57" s="13">
        <f>P57*H65</f>
        <v>20612.592</v>
      </c>
      <c r="R57" s="13">
        <f t="shared" si="12"/>
        <v>12144</v>
      </c>
      <c r="S57" s="13">
        <f t="shared" si="12"/>
        <v>64693.866599999994</v>
      </c>
      <c r="U57" s="9"/>
      <c r="V57" s="8"/>
      <c r="W57" s="9"/>
    </row>
    <row r="58" spans="1:23" ht="27" customHeight="1" hidden="1">
      <c r="A58" s="5"/>
      <c r="B58" s="357" t="s">
        <v>51</v>
      </c>
      <c r="C58" s="357"/>
      <c r="D58" s="357"/>
      <c r="E58" s="77"/>
      <c r="F58" s="5"/>
      <c r="G58" s="13">
        <v>1865</v>
      </c>
      <c r="H58" s="13">
        <f>G58*G65</f>
        <v>9370.506</v>
      </c>
      <c r="I58" s="13"/>
      <c r="J58" s="13">
        <v>1775</v>
      </c>
      <c r="K58" s="13">
        <f>J58*G65</f>
        <v>8918.31</v>
      </c>
      <c r="L58" s="13"/>
      <c r="M58" s="13">
        <v>1145</v>
      </c>
      <c r="N58" s="13">
        <f>M58*H65</f>
        <v>6385.665</v>
      </c>
      <c r="O58" s="13"/>
      <c r="P58" s="13">
        <v>1875</v>
      </c>
      <c r="Q58" s="13">
        <f>P58*H65</f>
        <v>10456.875</v>
      </c>
      <c r="R58" s="13">
        <f t="shared" si="12"/>
        <v>6660</v>
      </c>
      <c r="S58" s="13">
        <f t="shared" si="12"/>
        <v>35131.356</v>
      </c>
      <c r="U58" s="9"/>
      <c r="V58" s="8"/>
      <c r="W58" s="9"/>
    </row>
    <row r="59" spans="1:23" ht="27" customHeight="1" hidden="1">
      <c r="A59" s="5"/>
      <c r="B59" s="357" t="s">
        <v>52</v>
      </c>
      <c r="C59" s="357"/>
      <c r="D59" s="357"/>
      <c r="E59" s="77"/>
      <c r="F59" s="5"/>
      <c r="G59" s="13">
        <v>4050</v>
      </c>
      <c r="H59" s="13">
        <f>G59*G65</f>
        <v>20348.82</v>
      </c>
      <c r="I59" s="13"/>
      <c r="J59" s="13">
        <v>4050</v>
      </c>
      <c r="K59" s="13">
        <f>J59*G65</f>
        <v>20348.82</v>
      </c>
      <c r="L59" s="13"/>
      <c r="M59" s="13">
        <v>3950</v>
      </c>
      <c r="N59" s="13">
        <f>M59*H65</f>
        <v>22029.15</v>
      </c>
      <c r="O59" s="13"/>
      <c r="P59" s="13">
        <v>4050</v>
      </c>
      <c r="Q59" s="13">
        <f>P59*H65</f>
        <v>22586.85</v>
      </c>
      <c r="R59" s="13">
        <f t="shared" si="12"/>
        <v>16100</v>
      </c>
      <c r="S59" s="13">
        <f t="shared" si="12"/>
        <v>85313.64</v>
      </c>
      <c r="U59" s="9"/>
      <c r="V59" s="8"/>
      <c r="W59" s="9"/>
    </row>
    <row r="60" spans="1:23" ht="27" customHeight="1" hidden="1">
      <c r="A60" s="12">
        <v>6</v>
      </c>
      <c r="B60" s="398" t="s">
        <v>53</v>
      </c>
      <c r="C60" s="399"/>
      <c r="D60" s="400"/>
      <c r="E60" s="71"/>
      <c r="F60" s="5"/>
      <c r="G60" s="6">
        <f>G61+G62</f>
        <v>60125.76</v>
      </c>
      <c r="H60" s="6">
        <f>H61+H62</f>
        <v>302095.86854399997</v>
      </c>
      <c r="I60" s="6"/>
      <c r="J60" s="6">
        <f>J61+J62</f>
        <v>33427</v>
      </c>
      <c r="K60" s="6">
        <f>K61+K62</f>
        <v>167950.6188</v>
      </c>
      <c r="L60" s="6"/>
      <c r="M60" s="6">
        <f>M61+M62</f>
        <v>27041.07</v>
      </c>
      <c r="N60" s="6">
        <f>N61+N62</f>
        <v>150808.04739000002</v>
      </c>
      <c r="O60" s="6"/>
      <c r="P60" s="6">
        <f>P61+P62</f>
        <v>74463</v>
      </c>
      <c r="Q60" s="6">
        <f>Q61+Q62</f>
        <v>415280.151</v>
      </c>
      <c r="R60" s="6">
        <f>R61+R62</f>
        <v>195056.83000000002</v>
      </c>
      <c r="S60" s="6">
        <f>S61+S62</f>
        <v>1036134.685734</v>
      </c>
      <c r="U60" s="9"/>
      <c r="V60" s="8"/>
      <c r="W60" s="9"/>
    </row>
    <row r="61" spans="1:23" ht="27" customHeight="1" hidden="1">
      <c r="A61" s="5"/>
      <c r="B61" s="354" t="s">
        <v>54</v>
      </c>
      <c r="C61" s="355"/>
      <c r="D61" s="356"/>
      <c r="E61" s="72"/>
      <c r="F61" s="5"/>
      <c r="G61" s="13">
        <v>7650</v>
      </c>
      <c r="H61" s="13">
        <f>G61*G65</f>
        <v>38436.659999999996</v>
      </c>
      <c r="I61" s="13"/>
      <c r="J61" s="13">
        <v>10200</v>
      </c>
      <c r="K61" s="13">
        <f>J61*G65</f>
        <v>51248.88</v>
      </c>
      <c r="L61" s="13"/>
      <c r="M61" s="13">
        <v>7650</v>
      </c>
      <c r="N61" s="13">
        <f>M61*H65</f>
        <v>42664.05</v>
      </c>
      <c r="O61" s="13"/>
      <c r="P61" s="13">
        <v>13600</v>
      </c>
      <c r="Q61" s="13">
        <f>P61*H65</f>
        <v>75847.2</v>
      </c>
      <c r="R61" s="13">
        <f>G61+J61+M61+P61</f>
        <v>39100</v>
      </c>
      <c r="S61" s="13">
        <f>H61+K61+N61+Q61</f>
        <v>208196.78999999998</v>
      </c>
      <c r="U61" s="9"/>
      <c r="V61" s="8"/>
      <c r="W61" s="9"/>
    </row>
    <row r="62" spans="1:23" ht="27" customHeight="1" hidden="1">
      <c r="A62" s="5"/>
      <c r="B62" s="354" t="s">
        <v>55</v>
      </c>
      <c r="C62" s="355"/>
      <c r="D62" s="356"/>
      <c r="E62" s="72"/>
      <c r="F62" s="5"/>
      <c r="G62" s="13">
        <v>52475.76</v>
      </c>
      <c r="H62" s="13">
        <f>G62*G65</f>
        <v>263659.208544</v>
      </c>
      <c r="I62" s="13"/>
      <c r="J62" s="13">
        <v>23227</v>
      </c>
      <c r="K62" s="13">
        <f>J62*G65</f>
        <v>116701.7388</v>
      </c>
      <c r="L62" s="13"/>
      <c r="M62" s="13">
        <v>19391.07</v>
      </c>
      <c r="N62" s="13">
        <f>M62*H65</f>
        <v>108143.99739</v>
      </c>
      <c r="O62" s="13"/>
      <c r="P62" s="13">
        <v>60863</v>
      </c>
      <c r="Q62" s="13">
        <f>P62*H65</f>
        <v>339432.951</v>
      </c>
      <c r="R62" s="13">
        <f>G62+J62+M62+P62</f>
        <v>155956.83000000002</v>
      </c>
      <c r="S62" s="13">
        <f>H62+K62+N62+Q62</f>
        <v>827937.895734</v>
      </c>
      <c r="U62" s="9"/>
      <c r="V62" s="8"/>
      <c r="W62" s="9"/>
    </row>
    <row r="63" spans="1:23" ht="30" customHeight="1" hidden="1">
      <c r="A63" s="5"/>
      <c r="B63" s="390" t="s">
        <v>19</v>
      </c>
      <c r="C63" s="390"/>
      <c r="D63" s="390"/>
      <c r="E63" s="78"/>
      <c r="F63" s="12">
        <f>SUM(F40:F51)</f>
        <v>266200</v>
      </c>
      <c r="G63" s="6">
        <f>G40+G41+G48+G49+G53+G60</f>
        <v>334634.76</v>
      </c>
      <c r="H63" s="6">
        <f>H40+H41+H48+H49+H53+H60</f>
        <v>1681338.888144</v>
      </c>
      <c r="I63" s="6">
        <f>SUM(I40:I51)</f>
        <v>162200</v>
      </c>
      <c r="J63" s="6">
        <f>J40+J41+J48+J49+J53+J60</f>
        <v>285729</v>
      </c>
      <c r="K63" s="6">
        <f>K40+K41+K48+K49+K53+K60</f>
        <v>1435616.7876</v>
      </c>
      <c r="L63" s="6">
        <f>SUM(L40:L51)</f>
        <v>169500</v>
      </c>
      <c r="M63" s="6">
        <f>M40+M41+M48+M49+M53+M60</f>
        <v>270683.07</v>
      </c>
      <c r="N63" s="6">
        <f>N40+N41+N48+N49+N53+N60</f>
        <v>1509599.4813899999</v>
      </c>
      <c r="O63" s="6">
        <f>SUM(O40:O51)</f>
        <v>245500</v>
      </c>
      <c r="P63" s="6">
        <f>P40+P41+P48+P49+P53+P60</f>
        <v>418885.1</v>
      </c>
      <c r="Q63" s="6">
        <f>Q40+Q41+Q48+Q49+Q53+Q60</f>
        <v>2336122.2027000003</v>
      </c>
      <c r="R63" s="6">
        <f>R40+R41+R48+R49+R53+R60</f>
        <v>1309931.9300000002</v>
      </c>
      <c r="S63" s="6">
        <f>S40+S41+S48+S49+S53+S60</f>
        <v>6962677.359834</v>
      </c>
      <c r="T63" s="62"/>
      <c r="U63" s="32"/>
      <c r="V63" s="9"/>
      <c r="W63" s="9"/>
    </row>
    <row r="64" spans="1:23" ht="50.25" customHeight="1" hidden="1">
      <c r="A64" s="48"/>
      <c r="B64" s="396" t="s">
        <v>8</v>
      </c>
      <c r="C64" s="396"/>
      <c r="D64" s="396"/>
      <c r="E64" s="81"/>
      <c r="F64" s="288" t="s">
        <v>68</v>
      </c>
      <c r="G64" s="289"/>
      <c r="H64" s="289"/>
      <c r="I64" s="289"/>
      <c r="J64" s="289"/>
      <c r="K64" s="289"/>
      <c r="L64" s="289"/>
      <c r="M64" s="289"/>
      <c r="N64" s="289"/>
      <c r="O64" s="289"/>
      <c r="P64" s="289"/>
      <c r="Q64" s="289"/>
      <c r="R64" s="289"/>
      <c r="S64" s="290"/>
      <c r="U64" s="9"/>
      <c r="V64" s="9"/>
      <c r="W64" s="9"/>
    </row>
    <row r="65" spans="1:23" ht="32.25" customHeight="1" hidden="1">
      <c r="A65" s="41"/>
      <c r="B65" s="41"/>
      <c r="C65" s="41"/>
      <c r="D65" s="3" t="s">
        <v>14</v>
      </c>
      <c r="E65" s="3"/>
      <c r="F65" s="3">
        <v>4.38</v>
      </c>
      <c r="G65" s="3">
        <v>5.0244</v>
      </c>
      <c r="H65" s="3">
        <v>5.577</v>
      </c>
      <c r="I65" s="4"/>
      <c r="J65" s="4"/>
      <c r="K65" s="37"/>
      <c r="L65" s="37"/>
      <c r="M65" s="37"/>
      <c r="N65" s="41"/>
      <c r="O65" s="41"/>
      <c r="P65" s="41"/>
      <c r="Q65" s="50"/>
      <c r="R65" s="50"/>
      <c r="S65" s="41"/>
      <c r="U65" s="9"/>
      <c r="V65" s="9"/>
      <c r="W65" s="9"/>
    </row>
    <row r="66" spans="1:23" ht="33.75" customHeight="1" hidden="1">
      <c r="A66" s="41"/>
      <c r="B66" s="41"/>
      <c r="C66" s="41"/>
      <c r="D66" s="3" t="s">
        <v>65</v>
      </c>
      <c r="E66" s="3"/>
      <c r="F66" s="3"/>
      <c r="G66" s="3"/>
      <c r="H66" s="3"/>
      <c r="I66" s="4"/>
      <c r="J66" s="4"/>
      <c r="K66" s="37"/>
      <c r="L66" s="37"/>
      <c r="M66" s="37"/>
      <c r="N66" s="41"/>
      <c r="O66" s="41"/>
      <c r="P66" s="41"/>
      <c r="Q66" s="397"/>
      <c r="R66" s="397"/>
      <c r="S66" s="397"/>
      <c r="U66" s="9"/>
      <c r="V66" s="9"/>
      <c r="W66" s="9"/>
    </row>
    <row r="67" spans="1:23" ht="47.25" customHeight="1">
      <c r="A67" s="254" t="s">
        <v>93</v>
      </c>
      <c r="B67" s="254"/>
      <c r="C67" s="254"/>
      <c r="D67" s="254"/>
      <c r="E67" s="254"/>
      <c r="F67" s="254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254"/>
      <c r="U67" s="9"/>
      <c r="V67" s="9"/>
      <c r="W67" s="9"/>
    </row>
    <row r="68" spans="1:23" ht="27.75" customHeight="1">
      <c r="A68" s="267" t="s">
        <v>15</v>
      </c>
      <c r="B68" s="268" t="s">
        <v>0</v>
      </c>
      <c r="C68" s="269"/>
      <c r="D68" s="270"/>
      <c r="E68" s="394" t="s">
        <v>69</v>
      </c>
      <c r="F68" s="278" t="s">
        <v>1</v>
      </c>
      <c r="G68" s="278"/>
      <c r="H68" s="278"/>
      <c r="I68" s="278" t="s">
        <v>3</v>
      </c>
      <c r="J68" s="278"/>
      <c r="K68" s="278"/>
      <c r="L68" s="278" t="s">
        <v>4</v>
      </c>
      <c r="M68" s="278"/>
      <c r="N68" s="278"/>
      <c r="O68" s="278" t="s">
        <v>6</v>
      </c>
      <c r="P68" s="278"/>
      <c r="Q68" s="278"/>
      <c r="R68" s="278" t="s">
        <v>7</v>
      </c>
      <c r="S68" s="278"/>
      <c r="U68" s="9"/>
      <c r="V68" s="9"/>
      <c r="W68" s="9"/>
    </row>
    <row r="69" spans="1:23" ht="47.25" customHeight="1">
      <c r="A69" s="267"/>
      <c r="B69" s="271"/>
      <c r="C69" s="272"/>
      <c r="D69" s="273"/>
      <c r="E69" s="395"/>
      <c r="F69" s="68"/>
      <c r="G69" s="68"/>
      <c r="H69" s="68" t="s">
        <v>5</v>
      </c>
      <c r="I69" s="68" t="s">
        <v>10</v>
      </c>
      <c r="J69" s="68"/>
      <c r="K69" s="68" t="s">
        <v>5</v>
      </c>
      <c r="L69" s="68" t="s">
        <v>10</v>
      </c>
      <c r="M69" s="68"/>
      <c r="N69" s="68" t="s">
        <v>5</v>
      </c>
      <c r="O69" s="68" t="s">
        <v>10</v>
      </c>
      <c r="P69" s="68"/>
      <c r="Q69" s="68" t="s">
        <v>5</v>
      </c>
      <c r="R69" s="68" t="s">
        <v>10</v>
      </c>
      <c r="S69" s="68" t="s">
        <v>5</v>
      </c>
      <c r="U69" s="9"/>
      <c r="V69" s="9"/>
      <c r="W69" s="9"/>
    </row>
    <row r="70" spans="1:23" s="89" customFormat="1" ht="48.75" customHeight="1">
      <c r="A70" s="83">
        <v>1</v>
      </c>
      <c r="B70" s="361" t="s">
        <v>33</v>
      </c>
      <c r="C70" s="362"/>
      <c r="D70" s="363"/>
      <c r="E70" s="84" t="s">
        <v>80</v>
      </c>
      <c r="F70" s="83">
        <v>0</v>
      </c>
      <c r="G70" s="85"/>
      <c r="H70" s="85">
        <f>H71+H72</f>
        <v>2447.026</v>
      </c>
      <c r="I70" s="85"/>
      <c r="J70" s="85"/>
      <c r="K70" s="85">
        <f>K71+K72</f>
        <v>2026.6557</v>
      </c>
      <c r="L70" s="85"/>
      <c r="M70" s="85"/>
      <c r="N70" s="85">
        <f>N71+N72</f>
        <v>2314.6043999999997</v>
      </c>
      <c r="O70" s="85"/>
      <c r="P70" s="85"/>
      <c r="Q70" s="85">
        <f>Q71+Q72</f>
        <v>3471.9066000000003</v>
      </c>
      <c r="R70" s="85"/>
      <c r="S70" s="85">
        <f>S71+S72</f>
        <v>10260.2</v>
      </c>
      <c r="T70" s="86"/>
      <c r="U70" s="87">
        <f>37.94*P70</f>
        <v>0</v>
      </c>
      <c r="V70" s="88">
        <f>H70+K70+N70+Q70</f>
        <v>10260.1927</v>
      </c>
      <c r="W70" s="87">
        <f>G70+J70+M70+P70</f>
        <v>0</v>
      </c>
    </row>
    <row r="71" spans="1:23" ht="29.25" customHeight="1">
      <c r="A71" s="12"/>
      <c r="B71" s="358"/>
      <c r="C71" s="359"/>
      <c r="D71" s="360"/>
      <c r="E71" s="80" t="s">
        <v>70</v>
      </c>
      <c r="F71" s="5"/>
      <c r="G71" s="175">
        <v>7</v>
      </c>
      <c r="H71" s="175">
        <f>G71*H145</f>
        <v>244.51</v>
      </c>
      <c r="I71" s="175"/>
      <c r="J71" s="175">
        <v>6</v>
      </c>
      <c r="K71" s="175">
        <f>J71*H145</f>
        <v>209.57999999999998</v>
      </c>
      <c r="L71" s="175"/>
      <c r="M71" s="175">
        <v>6</v>
      </c>
      <c r="N71" s="175">
        <f>M71*J145</f>
        <v>217.14</v>
      </c>
      <c r="O71" s="175"/>
      <c r="P71" s="175">
        <v>9</v>
      </c>
      <c r="Q71" s="175">
        <f>P71*J145</f>
        <v>325.71</v>
      </c>
      <c r="R71" s="175">
        <f>G71+J71+M71+P71</f>
        <v>28</v>
      </c>
      <c r="S71" s="175">
        <f>H71+K71+N71+Q71</f>
        <v>996.94</v>
      </c>
      <c r="U71" s="9"/>
      <c r="V71" s="8"/>
      <c r="W71" s="9"/>
    </row>
    <row r="72" spans="1:23" ht="29.25" customHeight="1">
      <c r="A72" s="12"/>
      <c r="B72" s="358"/>
      <c r="C72" s="359"/>
      <c r="D72" s="360"/>
      <c r="E72" s="80" t="s">
        <v>2</v>
      </c>
      <c r="F72" s="5"/>
      <c r="G72" s="175">
        <v>0.4</v>
      </c>
      <c r="H72" s="175">
        <f>G72*H147</f>
        <v>2202.516</v>
      </c>
      <c r="I72" s="175"/>
      <c r="J72" s="175">
        <v>0.33</v>
      </c>
      <c r="K72" s="175">
        <f>J72*H147</f>
        <v>1817.0757</v>
      </c>
      <c r="L72" s="175"/>
      <c r="M72" s="175">
        <v>0.36</v>
      </c>
      <c r="N72" s="175">
        <f>M72*J147</f>
        <v>2097.4644</v>
      </c>
      <c r="O72" s="175"/>
      <c r="P72" s="175">
        <v>0.54</v>
      </c>
      <c r="Q72" s="175">
        <f>P72*J147</f>
        <v>3146.1966</v>
      </c>
      <c r="R72" s="175">
        <f>G72+J72+M72+P72</f>
        <v>1.63</v>
      </c>
      <c r="S72" s="175">
        <v>9263.26</v>
      </c>
      <c r="U72" s="9"/>
      <c r="V72" s="8"/>
      <c r="W72" s="9"/>
    </row>
    <row r="73" spans="1:23" s="89" customFormat="1" ht="45" customHeight="1">
      <c r="A73" s="83">
        <v>2</v>
      </c>
      <c r="B73" s="361" t="s">
        <v>72</v>
      </c>
      <c r="C73" s="362"/>
      <c r="D73" s="363"/>
      <c r="E73" s="84" t="s">
        <v>80</v>
      </c>
      <c r="F73" s="90"/>
      <c r="G73" s="85"/>
      <c r="H73" s="85">
        <f>H76+H79+H82+H85+H88+H91</f>
        <v>393618.89759999997</v>
      </c>
      <c r="I73" s="85"/>
      <c r="J73" s="85"/>
      <c r="K73" s="85">
        <f>K76+K79+K82+K85+K88+K91</f>
        <v>420727.79240000003</v>
      </c>
      <c r="L73" s="85"/>
      <c r="M73" s="85"/>
      <c r="N73" s="85">
        <f>N76+N79+N82+N85+N88+N91</f>
        <v>309189.6566</v>
      </c>
      <c r="O73" s="85"/>
      <c r="P73" s="85"/>
      <c r="Q73" s="85">
        <f>Q76+Q79+Q82+Q85+Q88+Q91</f>
        <v>507224.3371</v>
      </c>
      <c r="R73" s="85"/>
      <c r="S73" s="85">
        <f>S76+S79+S82+S85+S88+S91</f>
        <v>1630760.6837</v>
      </c>
      <c r="T73" s="86"/>
      <c r="U73" s="87"/>
      <c r="V73" s="88"/>
      <c r="W73" s="87"/>
    </row>
    <row r="74" spans="1:23" ht="45" customHeight="1">
      <c r="A74" s="12"/>
      <c r="B74" s="69"/>
      <c r="C74" s="70"/>
      <c r="D74" s="71"/>
      <c r="E74" s="79" t="s">
        <v>70</v>
      </c>
      <c r="F74" s="5"/>
      <c r="G74" s="54">
        <f>G77+G80+G83+G86+G89+G92</f>
        <v>1122</v>
      </c>
      <c r="H74" s="54">
        <f>H77+H80+H83+H86+H89+H92</f>
        <v>44299.86</v>
      </c>
      <c r="I74" s="54"/>
      <c r="J74" s="54">
        <f>J77+J80+J83+J86+J89+J92</f>
        <v>1208</v>
      </c>
      <c r="K74" s="54">
        <f>K77+K80+K83+K86+K89+K92</f>
        <v>48722.83999999999</v>
      </c>
      <c r="L74" s="54"/>
      <c r="M74" s="54">
        <f>M77+M80+M83+M86+M89+M92</f>
        <v>796</v>
      </c>
      <c r="N74" s="54">
        <f>N77+N80+N83+N86+N89+N92</f>
        <v>32207.829999999998</v>
      </c>
      <c r="O74" s="54"/>
      <c r="P74" s="54">
        <f>P77+P80+P83+P86+P89+P92</f>
        <v>1293</v>
      </c>
      <c r="Q74" s="54">
        <f>Q77+Q80+Q83+Q86+Q89+Q92</f>
        <v>52831.98</v>
      </c>
      <c r="R74" s="54">
        <f>G74+J74+M74+P74</f>
        <v>4419</v>
      </c>
      <c r="S74" s="54">
        <f>H74+K74+N74+Q74</f>
        <v>178062.50999999998</v>
      </c>
      <c r="U74" s="9"/>
      <c r="V74" s="8"/>
      <c r="W74" s="9"/>
    </row>
    <row r="75" spans="1:23" ht="45" customHeight="1">
      <c r="A75" s="12"/>
      <c r="B75" s="351"/>
      <c r="C75" s="352"/>
      <c r="D75" s="353"/>
      <c r="E75" s="79" t="s">
        <v>2</v>
      </c>
      <c r="F75" s="5"/>
      <c r="G75" s="54">
        <f>G78+G81+G84+G87+G90+G93</f>
        <v>63.440000000000005</v>
      </c>
      <c r="H75" s="54">
        <f>H78+H81+H84+H87+H90+H93</f>
        <v>349319.03760000004</v>
      </c>
      <c r="I75" s="54"/>
      <c r="J75" s="54">
        <f>J78+J81+J84+J87+J90+J93</f>
        <v>67.56</v>
      </c>
      <c r="K75" s="54">
        <f>K78+K81+K84+K87+K90+K93</f>
        <v>372004.9524</v>
      </c>
      <c r="L75" s="54"/>
      <c r="M75" s="54">
        <f>M78+M81+M84+M87+M90+M93</f>
        <v>47.54</v>
      </c>
      <c r="N75" s="54">
        <f>N78+N81+N84+N87+N90+N93</f>
        <v>276981.8266</v>
      </c>
      <c r="O75" s="54"/>
      <c r="P75" s="54">
        <f>P78+P81+P84+P87+P90+P93</f>
        <v>77.99000000000001</v>
      </c>
      <c r="Q75" s="54">
        <f>Q78+Q81+Q84+Q87+Q90+Q93</f>
        <v>454392.3571</v>
      </c>
      <c r="R75" s="54">
        <f>G75+J75+M75+P75</f>
        <v>256.53</v>
      </c>
      <c r="S75" s="54">
        <f>H75+K75+N75+Q75</f>
        <v>1452698.1737000002</v>
      </c>
      <c r="U75" s="9"/>
      <c r="V75" s="8"/>
      <c r="W75" s="9"/>
    </row>
    <row r="76" spans="1:23" ht="57" customHeight="1">
      <c r="A76" s="12"/>
      <c r="B76" s="354" t="s">
        <v>34</v>
      </c>
      <c r="C76" s="355"/>
      <c r="D76" s="356"/>
      <c r="E76" s="72"/>
      <c r="F76" s="5">
        <v>420</v>
      </c>
      <c r="G76" s="175"/>
      <c r="H76" s="175">
        <f>H77+H78</f>
        <v>42456.19</v>
      </c>
      <c r="I76" s="175"/>
      <c r="J76" s="175"/>
      <c r="K76" s="175">
        <f>K77+K78</f>
        <v>60092.82</v>
      </c>
      <c r="L76" s="175"/>
      <c r="M76" s="175"/>
      <c r="N76" s="175">
        <f>N77+N78</f>
        <v>44909.69</v>
      </c>
      <c r="O76" s="175"/>
      <c r="P76" s="175"/>
      <c r="Q76" s="175">
        <f>Q77+Q78</f>
        <v>57467.020000000004</v>
      </c>
      <c r="R76" s="175"/>
      <c r="S76" s="175">
        <f>S77+S78</f>
        <v>204925.72</v>
      </c>
      <c r="U76" s="9">
        <f>37.94*P76</f>
        <v>0</v>
      </c>
      <c r="V76" s="8">
        <f>H76+K76+N76+Q76</f>
        <v>204925.72000000003</v>
      </c>
      <c r="W76" s="9">
        <f>G76+J76+M76+P76</f>
        <v>0</v>
      </c>
    </row>
    <row r="77" spans="1:23" ht="28.5" customHeight="1">
      <c r="A77" s="12"/>
      <c r="B77" s="358"/>
      <c r="C77" s="359"/>
      <c r="D77" s="360"/>
      <c r="E77" s="80" t="s">
        <v>70</v>
      </c>
      <c r="F77" s="5"/>
      <c r="G77" s="175">
        <v>112</v>
      </c>
      <c r="H77" s="175">
        <f>G77*H145</f>
        <v>3912.16</v>
      </c>
      <c r="I77" s="175"/>
      <c r="J77" s="175">
        <v>144</v>
      </c>
      <c r="K77" s="175">
        <f>J77*H145</f>
        <v>5029.92</v>
      </c>
      <c r="L77" s="175"/>
      <c r="M77" s="175">
        <v>114</v>
      </c>
      <c r="N77" s="175">
        <f>M77*J145</f>
        <v>4125.66</v>
      </c>
      <c r="O77" s="175"/>
      <c r="P77" s="175">
        <v>139</v>
      </c>
      <c r="Q77" s="175">
        <f>P77*J145</f>
        <v>5030.41</v>
      </c>
      <c r="R77" s="175">
        <f>G77+J77+M77+P77</f>
        <v>509</v>
      </c>
      <c r="S77" s="175">
        <f>H77+K77+N77+Q77</f>
        <v>18098.15</v>
      </c>
      <c r="U77" s="9"/>
      <c r="V77" s="8"/>
      <c r="W77" s="9"/>
    </row>
    <row r="78" spans="1:23" ht="28.5" customHeight="1">
      <c r="A78" s="12"/>
      <c r="B78" s="358"/>
      <c r="C78" s="359"/>
      <c r="D78" s="360"/>
      <c r="E78" s="80" t="s">
        <v>2</v>
      </c>
      <c r="F78" s="5"/>
      <c r="G78" s="175">
        <v>7</v>
      </c>
      <c r="H78" s="175">
        <f>G78*H147</f>
        <v>38544.03</v>
      </c>
      <c r="I78" s="175"/>
      <c r="J78" s="175">
        <v>10</v>
      </c>
      <c r="K78" s="175">
        <f>J78*H147</f>
        <v>55062.9</v>
      </c>
      <c r="L78" s="175"/>
      <c r="M78" s="175">
        <v>7</v>
      </c>
      <c r="N78" s="175">
        <f>M78*J147</f>
        <v>40784.03</v>
      </c>
      <c r="O78" s="175"/>
      <c r="P78" s="175">
        <v>9</v>
      </c>
      <c r="Q78" s="175">
        <f>P78*J147</f>
        <v>52436.61</v>
      </c>
      <c r="R78" s="175">
        <f>G78+J78+M78+P78</f>
        <v>33</v>
      </c>
      <c r="S78" s="175">
        <f>H78+K78+N78+Q78</f>
        <v>186827.57</v>
      </c>
      <c r="U78" s="9"/>
      <c r="V78" s="8"/>
      <c r="W78" s="9"/>
    </row>
    <row r="79" spans="1:23" ht="57" customHeight="1">
      <c r="A79" s="12"/>
      <c r="B79" s="354" t="s">
        <v>35</v>
      </c>
      <c r="C79" s="355"/>
      <c r="D79" s="356"/>
      <c r="E79" s="72"/>
      <c r="F79" s="5">
        <v>171</v>
      </c>
      <c r="G79" s="175"/>
      <c r="H79" s="175">
        <f>H80+H81</f>
        <v>34218.0982</v>
      </c>
      <c r="I79" s="175"/>
      <c r="J79" s="175"/>
      <c r="K79" s="175">
        <f>K80+K81</f>
        <v>34218.0982</v>
      </c>
      <c r="L79" s="175"/>
      <c r="M79" s="175"/>
      <c r="N79" s="175">
        <f>N80+N81</f>
        <v>19463.1587</v>
      </c>
      <c r="O79" s="175"/>
      <c r="P79" s="175"/>
      <c r="Q79" s="175">
        <f>Q80+Q81</f>
        <v>38868.0545</v>
      </c>
      <c r="R79" s="175"/>
      <c r="S79" s="175">
        <f>S80+S81</f>
        <v>126767.4096</v>
      </c>
      <c r="T79" s="60" t="s">
        <v>78</v>
      </c>
      <c r="U79" s="9">
        <f>37.94*P79</f>
        <v>0</v>
      </c>
      <c r="V79" s="8">
        <f>H79+K79+N79+Q79</f>
        <v>126767.4096</v>
      </c>
      <c r="W79" s="9">
        <f>G79+J79+M79+P79</f>
        <v>0</v>
      </c>
    </row>
    <row r="80" spans="1:23" ht="26.25" customHeight="1">
      <c r="A80" s="12"/>
      <c r="B80" s="358"/>
      <c r="C80" s="359"/>
      <c r="D80" s="360"/>
      <c r="E80" s="80" t="s">
        <v>70</v>
      </c>
      <c r="F80" s="5"/>
      <c r="G80" s="175">
        <v>100</v>
      </c>
      <c r="H80" s="175">
        <f>G80*H145</f>
        <v>3493</v>
      </c>
      <c r="I80" s="175"/>
      <c r="J80" s="175">
        <v>100</v>
      </c>
      <c r="K80" s="175">
        <f>J80*H145</f>
        <v>3493</v>
      </c>
      <c r="L80" s="175"/>
      <c r="M80" s="175">
        <v>50</v>
      </c>
      <c r="N80" s="175">
        <f>M80*J145</f>
        <v>1809.5</v>
      </c>
      <c r="O80" s="175"/>
      <c r="P80" s="175">
        <v>100</v>
      </c>
      <c r="Q80" s="175">
        <f>P80*J145</f>
        <v>3619</v>
      </c>
      <c r="R80" s="175">
        <f>G80+J80+M80+P80</f>
        <v>350</v>
      </c>
      <c r="S80" s="175">
        <f>H80+K80+N80+Q80</f>
        <v>12414.5</v>
      </c>
      <c r="U80" s="9"/>
      <c r="V80" s="8"/>
      <c r="W80" s="9"/>
    </row>
    <row r="81" spans="1:23" ht="26.25" customHeight="1">
      <c r="A81" s="12"/>
      <c r="B81" s="358"/>
      <c r="C81" s="359"/>
      <c r="D81" s="360"/>
      <c r="E81" s="80" t="s">
        <v>2</v>
      </c>
      <c r="F81" s="5"/>
      <c r="G81" s="175">
        <v>5.58</v>
      </c>
      <c r="H81" s="175">
        <f>G81*H147</f>
        <v>30725.0982</v>
      </c>
      <c r="I81" s="175"/>
      <c r="J81" s="175">
        <v>5.58</v>
      </c>
      <c r="K81" s="175">
        <f>J81*H147</f>
        <v>30725.0982</v>
      </c>
      <c r="L81" s="175"/>
      <c r="M81" s="175">
        <v>3.03</v>
      </c>
      <c r="N81" s="175">
        <f>M81*J147</f>
        <v>17653.6587</v>
      </c>
      <c r="O81" s="175"/>
      <c r="P81" s="175">
        <v>6.05</v>
      </c>
      <c r="Q81" s="175">
        <f>P81*J147</f>
        <v>35249.0545</v>
      </c>
      <c r="R81" s="175">
        <f>G81+J81+M81+P81</f>
        <v>20.24</v>
      </c>
      <c r="S81" s="175">
        <f>H81+K81+N81+Q81</f>
        <v>114352.9096</v>
      </c>
      <c r="U81" s="9"/>
      <c r="V81" s="8"/>
      <c r="W81" s="9"/>
    </row>
    <row r="82" spans="1:23" ht="51.75" customHeight="1">
      <c r="A82" s="12"/>
      <c r="B82" s="354" t="s">
        <v>36</v>
      </c>
      <c r="C82" s="355"/>
      <c r="D82" s="356"/>
      <c r="E82" s="72"/>
      <c r="F82" s="5">
        <v>213</v>
      </c>
      <c r="G82" s="175"/>
      <c r="H82" s="175">
        <f>H83+H84</f>
        <v>35637.0982</v>
      </c>
      <c r="I82" s="175"/>
      <c r="J82" s="175"/>
      <c r="K82" s="175">
        <f>K83+K84</f>
        <v>71274.1964</v>
      </c>
      <c r="L82" s="175"/>
      <c r="M82" s="175"/>
      <c r="N82" s="175">
        <f>N83+N84</f>
        <v>28441.2534</v>
      </c>
      <c r="O82" s="175"/>
      <c r="P82" s="175"/>
      <c r="Q82" s="175">
        <f>Q83+Q84</f>
        <v>72314.9949</v>
      </c>
      <c r="R82" s="175"/>
      <c r="S82" s="175">
        <f>S83+S84</f>
        <v>207667.5429</v>
      </c>
      <c r="U82" s="9">
        <f>49.34*P82</f>
        <v>0</v>
      </c>
      <c r="V82" s="8">
        <f>H82+K82+N82+Q82</f>
        <v>207667.5429</v>
      </c>
      <c r="W82" s="9">
        <f>G82+J82+M82+P82</f>
        <v>0</v>
      </c>
    </row>
    <row r="83" spans="1:23" ht="28.5" customHeight="1">
      <c r="A83" s="12"/>
      <c r="B83" s="358"/>
      <c r="C83" s="359"/>
      <c r="D83" s="360"/>
      <c r="E83" s="80" t="s">
        <v>70</v>
      </c>
      <c r="F83" s="5"/>
      <c r="G83" s="175">
        <v>100</v>
      </c>
      <c r="H83" s="175">
        <f>G83*H146</f>
        <v>4912</v>
      </c>
      <c r="I83" s="175"/>
      <c r="J83" s="175">
        <v>200</v>
      </c>
      <c r="K83" s="175">
        <f>J83*H146</f>
        <v>9824</v>
      </c>
      <c r="L83" s="175"/>
      <c r="M83" s="175">
        <v>50</v>
      </c>
      <c r="N83" s="175">
        <f>M83*J146</f>
        <v>2456</v>
      </c>
      <c r="O83" s="175"/>
      <c r="P83" s="175">
        <v>190</v>
      </c>
      <c r="Q83" s="175">
        <f>P83*J146</f>
        <v>9332.8</v>
      </c>
      <c r="R83" s="175">
        <f aca="true" t="shared" si="13" ref="R83:R93">G83+J83+M83+P83</f>
        <v>540</v>
      </c>
      <c r="S83" s="175">
        <f>H83+K83+N83+Q83</f>
        <v>26524.8</v>
      </c>
      <c r="T83" s="60" t="s">
        <v>78</v>
      </c>
      <c r="U83" s="9"/>
      <c r="V83" s="8"/>
      <c r="W83" s="9"/>
    </row>
    <row r="84" spans="1:23" ht="28.5" customHeight="1">
      <c r="A84" s="12"/>
      <c r="B84" s="358"/>
      <c r="C84" s="359"/>
      <c r="D84" s="360"/>
      <c r="E84" s="80" t="s">
        <v>2</v>
      </c>
      <c r="F84" s="5"/>
      <c r="G84" s="175">
        <v>5.58</v>
      </c>
      <c r="H84" s="175">
        <f>G84*H148</f>
        <v>30725.0982</v>
      </c>
      <c r="I84" s="175"/>
      <c r="J84" s="175">
        <v>11.16</v>
      </c>
      <c r="K84" s="175">
        <f>J84*H148</f>
        <v>61450.1964</v>
      </c>
      <c r="L84" s="175"/>
      <c r="M84" s="175">
        <v>4.46</v>
      </c>
      <c r="N84" s="175">
        <f>M84*J148</f>
        <v>25985.2534</v>
      </c>
      <c r="O84" s="175"/>
      <c r="P84" s="175">
        <v>10.81</v>
      </c>
      <c r="Q84" s="175">
        <f>P84*J148</f>
        <v>62982.1949</v>
      </c>
      <c r="R84" s="175">
        <f>G84+J84+M84+P84</f>
        <v>32.010000000000005</v>
      </c>
      <c r="S84" s="175">
        <f>H84+K84+N84+Q84</f>
        <v>181142.7429</v>
      </c>
      <c r="U84" s="9"/>
      <c r="V84" s="8"/>
      <c r="W84" s="9"/>
    </row>
    <row r="85" spans="1:23" ht="25.5" customHeight="1">
      <c r="A85" s="12"/>
      <c r="B85" s="357" t="s">
        <v>37</v>
      </c>
      <c r="C85" s="357"/>
      <c r="D85" s="357"/>
      <c r="E85" s="77"/>
      <c r="F85" s="5">
        <v>0</v>
      </c>
      <c r="G85" s="175"/>
      <c r="H85" s="175">
        <f>H86+H87</f>
        <v>92667.46789999999</v>
      </c>
      <c r="I85" s="175"/>
      <c r="J85" s="175"/>
      <c r="K85" s="175">
        <f>K86+K87</f>
        <v>92667.46789999999</v>
      </c>
      <c r="L85" s="175"/>
      <c r="M85" s="175"/>
      <c r="N85" s="175">
        <f>N86+N87</f>
        <v>81077.1948</v>
      </c>
      <c r="O85" s="175"/>
      <c r="P85" s="175"/>
      <c r="Q85" s="175">
        <f>Q86+Q87</f>
        <v>103680.68340000001</v>
      </c>
      <c r="R85" s="175"/>
      <c r="S85" s="175">
        <f>S86+S87</f>
        <v>370092.814</v>
      </c>
      <c r="U85" s="9">
        <f>49.34*P85</f>
        <v>0</v>
      </c>
      <c r="V85" s="8">
        <f>H85+K85+N85+Q85</f>
        <v>370092.814</v>
      </c>
      <c r="W85" s="9">
        <f>G85+J85+M85+P85</f>
        <v>0</v>
      </c>
    </row>
    <row r="86" spans="1:23" ht="25.5" customHeight="1">
      <c r="A86" s="12"/>
      <c r="B86" s="358"/>
      <c r="C86" s="359"/>
      <c r="D86" s="360"/>
      <c r="E86" s="80" t="s">
        <v>70</v>
      </c>
      <c r="F86" s="5"/>
      <c r="G86" s="175">
        <v>260</v>
      </c>
      <c r="H86" s="175">
        <f>G86*H146</f>
        <v>12771.199999999999</v>
      </c>
      <c r="I86" s="175"/>
      <c r="J86" s="175">
        <v>260</v>
      </c>
      <c r="K86" s="175">
        <f>J86*H146</f>
        <v>12771.199999999999</v>
      </c>
      <c r="L86" s="175"/>
      <c r="M86" s="175">
        <v>213</v>
      </c>
      <c r="N86" s="175">
        <f>M86*J146</f>
        <v>10462.56</v>
      </c>
      <c r="O86" s="175"/>
      <c r="P86" s="175">
        <v>277</v>
      </c>
      <c r="Q86" s="175">
        <f>P86*J146</f>
        <v>13606.24</v>
      </c>
      <c r="R86" s="175">
        <f t="shared" si="13"/>
        <v>1010</v>
      </c>
      <c r="S86" s="175">
        <f>H86+K86+N86+Q86</f>
        <v>49611.2</v>
      </c>
      <c r="U86" s="9"/>
      <c r="V86" s="8"/>
      <c r="W86" s="9"/>
    </row>
    <row r="87" spans="1:23" ht="25.5" customHeight="1">
      <c r="A87" s="12"/>
      <c r="B87" s="358"/>
      <c r="C87" s="359"/>
      <c r="D87" s="360"/>
      <c r="E87" s="80" t="s">
        <v>2</v>
      </c>
      <c r="F87" s="5"/>
      <c r="G87" s="175">
        <v>14.51</v>
      </c>
      <c r="H87" s="175">
        <f>G87*H148</f>
        <v>79896.26789999999</v>
      </c>
      <c r="I87" s="175"/>
      <c r="J87" s="175">
        <v>14.51</v>
      </c>
      <c r="K87" s="175">
        <f>J87*H148</f>
        <v>79896.26789999999</v>
      </c>
      <c r="L87" s="175"/>
      <c r="M87" s="175">
        <v>12.12</v>
      </c>
      <c r="N87" s="175">
        <f>M87*J148</f>
        <v>70614.6348</v>
      </c>
      <c r="O87" s="175"/>
      <c r="P87" s="175">
        <v>15.46</v>
      </c>
      <c r="Q87" s="175">
        <f>P87*J148</f>
        <v>90074.4434</v>
      </c>
      <c r="R87" s="175">
        <f t="shared" si="13"/>
        <v>56.6</v>
      </c>
      <c r="S87" s="175">
        <f>H87+K87+N87+Q87</f>
        <v>320481.614</v>
      </c>
      <c r="U87" s="9"/>
      <c r="V87" s="8"/>
      <c r="W87" s="9"/>
    </row>
    <row r="88" spans="1:23" s="111" customFormat="1" ht="25.5" customHeight="1">
      <c r="A88" s="105"/>
      <c r="B88" s="364" t="s">
        <v>38</v>
      </c>
      <c r="C88" s="364"/>
      <c r="D88" s="364"/>
      <c r="E88" s="106"/>
      <c r="F88" s="107">
        <v>651</v>
      </c>
      <c r="G88" s="190"/>
      <c r="H88" s="190">
        <f>H89+H90</f>
        <v>183490.80969999998</v>
      </c>
      <c r="I88" s="190"/>
      <c r="J88" s="190"/>
      <c r="K88" s="190">
        <f>K89+K90</f>
        <v>157691.28370000003</v>
      </c>
      <c r="L88" s="190"/>
      <c r="M88" s="190"/>
      <c r="N88" s="190">
        <f>N89+N90</f>
        <v>129839.35319999998</v>
      </c>
      <c r="O88" s="190"/>
      <c r="P88" s="190"/>
      <c r="Q88" s="190">
        <f>Q89+Q90</f>
        <v>228277.2756</v>
      </c>
      <c r="R88" s="190"/>
      <c r="S88" s="190">
        <f>S89+S90</f>
        <v>699298.7222</v>
      </c>
      <c r="T88" s="108"/>
      <c r="U88" s="109">
        <f>37.94*P88</f>
        <v>0</v>
      </c>
      <c r="V88" s="110">
        <f>H88+K88+N88+Q88</f>
        <v>699298.7222</v>
      </c>
      <c r="W88" s="109">
        <f>G88+J88+M88+P88</f>
        <v>0</v>
      </c>
    </row>
    <row r="89" spans="1:23" ht="25.5" customHeight="1">
      <c r="A89" s="12"/>
      <c r="B89" s="358"/>
      <c r="C89" s="359"/>
      <c r="D89" s="360"/>
      <c r="E89" s="80" t="s">
        <v>70</v>
      </c>
      <c r="F89" s="5"/>
      <c r="G89" s="175">
        <v>535</v>
      </c>
      <c r="H89" s="175">
        <f>G89*H145</f>
        <v>18687.55</v>
      </c>
      <c r="I89" s="175"/>
      <c r="J89" s="175">
        <v>490</v>
      </c>
      <c r="K89" s="175">
        <f>J89*H145</f>
        <v>17115.7</v>
      </c>
      <c r="L89" s="175"/>
      <c r="M89" s="175">
        <v>355</v>
      </c>
      <c r="N89" s="175">
        <f>M89*J145</f>
        <v>12847.449999999999</v>
      </c>
      <c r="O89" s="175"/>
      <c r="P89" s="175">
        <v>570</v>
      </c>
      <c r="Q89" s="175">
        <f>P89*J145</f>
        <v>20628.3</v>
      </c>
      <c r="R89" s="175">
        <f t="shared" si="13"/>
        <v>1950</v>
      </c>
      <c r="S89" s="175">
        <f>H89+K89+N89+Q89</f>
        <v>69279</v>
      </c>
      <c r="T89" s="60" t="s">
        <v>78</v>
      </c>
      <c r="U89" s="9"/>
      <c r="V89" s="8"/>
      <c r="W89" s="9"/>
    </row>
    <row r="90" spans="1:23" ht="25.5" customHeight="1">
      <c r="A90" s="12"/>
      <c r="B90" s="358"/>
      <c r="C90" s="359"/>
      <c r="D90" s="360"/>
      <c r="E90" s="80" t="s">
        <v>2</v>
      </c>
      <c r="F90" s="5"/>
      <c r="G90" s="175">
        <v>29.93</v>
      </c>
      <c r="H90" s="175">
        <f>G90*H147</f>
        <v>164803.2597</v>
      </c>
      <c r="I90" s="175"/>
      <c r="J90" s="175">
        <v>25.53</v>
      </c>
      <c r="K90" s="175">
        <f>J90*H147</f>
        <v>140575.58370000002</v>
      </c>
      <c r="L90" s="175"/>
      <c r="M90" s="175">
        <v>20.08</v>
      </c>
      <c r="N90" s="175">
        <f>M90*J147</f>
        <v>116991.90319999999</v>
      </c>
      <c r="O90" s="175"/>
      <c r="P90" s="175">
        <v>35.64</v>
      </c>
      <c r="Q90" s="175">
        <f>P90*J147</f>
        <v>207648.9756</v>
      </c>
      <c r="R90" s="175">
        <f t="shared" si="13"/>
        <v>111.17999999999999</v>
      </c>
      <c r="S90" s="175">
        <f>H90+K90+N90+Q90</f>
        <v>630019.7222</v>
      </c>
      <c r="U90" s="9"/>
      <c r="V90" s="8"/>
      <c r="W90" s="9"/>
    </row>
    <row r="91" spans="1:23" ht="60" customHeight="1">
      <c r="A91" s="12"/>
      <c r="B91" s="357" t="s">
        <v>39</v>
      </c>
      <c r="C91" s="357"/>
      <c r="D91" s="357"/>
      <c r="E91" s="77"/>
      <c r="F91" s="5">
        <v>15.1</v>
      </c>
      <c r="G91" s="175"/>
      <c r="H91" s="175">
        <f>H92+H93</f>
        <v>5149.2336</v>
      </c>
      <c r="I91" s="175"/>
      <c r="J91" s="175"/>
      <c r="K91" s="175">
        <f>K92+K93</f>
        <v>4783.9262</v>
      </c>
      <c r="L91" s="175"/>
      <c r="M91" s="175"/>
      <c r="N91" s="175">
        <f>N92+N93</f>
        <v>5459.0064999999995</v>
      </c>
      <c r="O91" s="175"/>
      <c r="P91" s="175"/>
      <c r="Q91" s="175">
        <f>Q92+Q93</f>
        <v>6616.3087</v>
      </c>
      <c r="R91" s="175"/>
      <c r="S91" s="175">
        <f>S92+S93</f>
        <v>22008.475</v>
      </c>
      <c r="U91" s="9">
        <f>37.94*P91</f>
        <v>0</v>
      </c>
      <c r="V91" s="8">
        <f>H91+K91+N91+Q91</f>
        <v>22008.475</v>
      </c>
      <c r="W91" s="9">
        <f>G91+J91+M91+P91</f>
        <v>0</v>
      </c>
    </row>
    <row r="92" spans="1:23" ht="32.25" customHeight="1">
      <c r="A92" s="12"/>
      <c r="B92" s="358"/>
      <c r="C92" s="359"/>
      <c r="D92" s="360"/>
      <c r="E92" s="80" t="s">
        <v>70</v>
      </c>
      <c r="F92" s="5"/>
      <c r="G92" s="175">
        <v>15</v>
      </c>
      <c r="H92" s="175">
        <f>G92*H145</f>
        <v>523.95</v>
      </c>
      <c r="I92" s="175"/>
      <c r="J92" s="175">
        <v>14</v>
      </c>
      <c r="K92" s="175">
        <f>J92*H145</f>
        <v>489.02</v>
      </c>
      <c r="L92" s="175"/>
      <c r="M92" s="175">
        <v>14</v>
      </c>
      <c r="N92" s="175">
        <f>M92*J145</f>
        <v>506.65999999999997</v>
      </c>
      <c r="O92" s="175"/>
      <c r="P92" s="175">
        <v>17</v>
      </c>
      <c r="Q92" s="175">
        <f>P92*J145</f>
        <v>615.23</v>
      </c>
      <c r="R92" s="175">
        <f t="shared" si="13"/>
        <v>60</v>
      </c>
      <c r="S92" s="175">
        <f>H92+K92+N92+Q92</f>
        <v>2134.86</v>
      </c>
      <c r="T92" s="60" t="s">
        <v>78</v>
      </c>
      <c r="U92" s="9"/>
      <c r="V92" s="8"/>
      <c r="W92" s="9"/>
    </row>
    <row r="93" spans="1:23" ht="33.75" customHeight="1">
      <c r="A93" s="12"/>
      <c r="B93" s="358"/>
      <c r="C93" s="359"/>
      <c r="D93" s="360"/>
      <c r="E93" s="80" t="s">
        <v>2</v>
      </c>
      <c r="F93" s="5"/>
      <c r="G93" s="175">
        <v>0.84</v>
      </c>
      <c r="H93" s="175">
        <f>G93*H147</f>
        <v>4625.2836</v>
      </c>
      <c r="I93" s="175"/>
      <c r="J93" s="175">
        <v>0.78</v>
      </c>
      <c r="K93" s="175">
        <f>J93*H147</f>
        <v>4294.9062</v>
      </c>
      <c r="L93" s="175"/>
      <c r="M93" s="175">
        <v>0.85</v>
      </c>
      <c r="N93" s="175">
        <f>M93*J147</f>
        <v>4952.3465</v>
      </c>
      <c r="O93" s="175"/>
      <c r="P93" s="175">
        <v>1.03</v>
      </c>
      <c r="Q93" s="175">
        <f>P93*J147</f>
        <v>6001.0787</v>
      </c>
      <c r="R93" s="175">
        <f t="shared" si="13"/>
        <v>3.5</v>
      </c>
      <c r="S93" s="175">
        <f>H93+K93+N93+Q93</f>
        <v>19873.614999999998</v>
      </c>
      <c r="U93" s="9"/>
      <c r="V93" s="8"/>
      <c r="W93" s="9"/>
    </row>
    <row r="94" spans="1:23" s="89" customFormat="1" ht="54.75" customHeight="1">
      <c r="A94" s="83">
        <v>3</v>
      </c>
      <c r="B94" s="361" t="s">
        <v>42</v>
      </c>
      <c r="C94" s="362"/>
      <c r="D94" s="363"/>
      <c r="E94" s="84" t="s">
        <v>80</v>
      </c>
      <c r="F94" s="90"/>
      <c r="G94" s="85"/>
      <c r="H94" s="85">
        <f>H97+H100</f>
        <v>16969.75708</v>
      </c>
      <c r="I94" s="85"/>
      <c r="J94" s="85"/>
      <c r="K94" s="85">
        <f>K97+K100</f>
        <v>14429.041210000001</v>
      </c>
      <c r="L94" s="85"/>
      <c r="M94" s="85"/>
      <c r="N94" s="85">
        <f>N97+N100</f>
        <v>12347.40639</v>
      </c>
      <c r="O94" s="85"/>
      <c r="P94" s="85"/>
      <c r="Q94" s="85">
        <f>Q97+Q100</f>
        <v>16795.82631</v>
      </c>
      <c r="R94" s="85"/>
      <c r="S94" s="85">
        <f>S97+S100</f>
        <v>60542.03099</v>
      </c>
      <c r="T94" s="86"/>
      <c r="U94" s="87"/>
      <c r="V94" s="88"/>
      <c r="W94" s="87">
        <f>G94+J94+M94+P94</f>
        <v>0</v>
      </c>
    </row>
    <row r="95" spans="1:23" ht="54.75" customHeight="1">
      <c r="A95" s="12"/>
      <c r="B95" s="351"/>
      <c r="C95" s="352"/>
      <c r="D95" s="353"/>
      <c r="E95" s="79" t="s">
        <v>70</v>
      </c>
      <c r="F95" s="5"/>
      <c r="G95" s="238">
        <f>G98+G101</f>
        <v>18.067</v>
      </c>
      <c r="H95" s="54">
        <f>H98+H101</f>
        <v>671.1386799999999</v>
      </c>
      <c r="I95" s="54"/>
      <c r="J95" s="238">
        <f>J98+J101</f>
        <v>18.214</v>
      </c>
      <c r="K95" s="54">
        <f>K98+K101</f>
        <v>679.83508</v>
      </c>
      <c r="L95" s="54"/>
      <c r="M95" s="238">
        <f>M98+M101</f>
        <v>17.063000000000002</v>
      </c>
      <c r="N95" s="54">
        <f>N98+N101</f>
        <v>659.86865</v>
      </c>
      <c r="O95" s="54"/>
      <c r="P95" s="238">
        <f>P98+P101</f>
        <v>20.365</v>
      </c>
      <c r="Q95" s="54">
        <f>Q98+Q101</f>
        <v>779.3551</v>
      </c>
      <c r="R95" s="238">
        <f>G95+J95+M95+P95</f>
        <v>73.709</v>
      </c>
      <c r="S95" s="54">
        <f>H95+K95+N95+Q95</f>
        <v>2790.19751</v>
      </c>
      <c r="U95" s="9"/>
      <c r="V95" s="8"/>
      <c r="W95" s="9"/>
    </row>
    <row r="96" spans="1:23" ht="54.75" customHeight="1">
      <c r="A96" s="12"/>
      <c r="B96" s="351"/>
      <c r="C96" s="352"/>
      <c r="D96" s="353"/>
      <c r="E96" s="79" t="s">
        <v>2</v>
      </c>
      <c r="F96" s="5"/>
      <c r="G96" s="238">
        <f>G99+G102</f>
        <v>2.96</v>
      </c>
      <c r="H96" s="54">
        <f>H99+H102</f>
        <v>16298.6184</v>
      </c>
      <c r="I96" s="54"/>
      <c r="J96" s="238">
        <f>J99+J102</f>
        <v>2.497</v>
      </c>
      <c r="K96" s="54">
        <f>K99+K102</f>
        <v>13749.20613</v>
      </c>
      <c r="L96" s="54"/>
      <c r="M96" s="238">
        <f>M99+M102</f>
        <v>2.0060000000000002</v>
      </c>
      <c r="N96" s="54">
        <f>N99+N102</f>
        <v>11687.53774</v>
      </c>
      <c r="O96" s="54"/>
      <c r="P96" s="238">
        <f>P99+P102</f>
        <v>2.749</v>
      </c>
      <c r="Q96" s="54">
        <f>Q99+Q102</f>
        <v>16016.471210000002</v>
      </c>
      <c r="R96" s="241">
        <f>G96+J96+M96+P96</f>
        <v>10.212</v>
      </c>
      <c r="S96" s="54">
        <f>H96+K96+N96+Q96</f>
        <v>57751.83348</v>
      </c>
      <c r="U96" s="9"/>
      <c r="V96" s="8"/>
      <c r="W96" s="9"/>
    </row>
    <row r="97" spans="1:23" ht="47.25" customHeight="1">
      <c r="A97" s="12"/>
      <c r="B97" s="282" t="s">
        <v>98</v>
      </c>
      <c r="C97" s="283"/>
      <c r="D97" s="284"/>
      <c r="E97" s="80"/>
      <c r="F97" s="5"/>
      <c r="G97" s="239"/>
      <c r="H97" s="175">
        <f>H98+H99</f>
        <v>15950.08492</v>
      </c>
      <c r="I97" s="175"/>
      <c r="J97" s="239"/>
      <c r="K97" s="175">
        <f>K98+K99</f>
        <v>13319.95187</v>
      </c>
      <c r="L97" s="175"/>
      <c r="M97" s="239"/>
      <c r="N97" s="175">
        <f>N98+N99</f>
        <v>11102.79933</v>
      </c>
      <c r="O97" s="175"/>
      <c r="P97" s="239"/>
      <c r="Q97" s="175">
        <f>Q98+Q99</f>
        <v>15551.268370000002</v>
      </c>
      <c r="R97" s="239"/>
      <c r="S97" s="175">
        <f>S98+S99</f>
        <v>55924.10449</v>
      </c>
      <c r="U97" s="9"/>
      <c r="V97" s="8"/>
      <c r="W97" s="9"/>
    </row>
    <row r="98" spans="1:23" ht="39.75" customHeight="1">
      <c r="A98" s="12"/>
      <c r="B98" s="358"/>
      <c r="C98" s="359"/>
      <c r="D98" s="360"/>
      <c r="E98" s="80" t="s">
        <v>70</v>
      </c>
      <c r="F98" s="5"/>
      <c r="G98" s="240">
        <v>15.244</v>
      </c>
      <c r="H98" s="175">
        <f>G98*H145</f>
        <v>532.4729199999999</v>
      </c>
      <c r="I98" s="175"/>
      <c r="J98" s="239">
        <v>15.14</v>
      </c>
      <c r="K98" s="175">
        <f>J98*H145</f>
        <v>528.8402</v>
      </c>
      <c r="L98" s="175"/>
      <c r="M98" s="240">
        <v>13.787</v>
      </c>
      <c r="N98" s="175">
        <f>M98*J145</f>
        <v>498.95153</v>
      </c>
      <c r="O98" s="175"/>
      <c r="P98" s="240">
        <v>17.09</v>
      </c>
      <c r="Q98" s="175">
        <f>P98*J145</f>
        <v>618.4870999999999</v>
      </c>
      <c r="R98" s="240">
        <f>G98+J98+M98+P98</f>
        <v>61.260999999999996</v>
      </c>
      <c r="S98" s="175">
        <f>H98+K98+N98+Q98</f>
        <v>2178.75175</v>
      </c>
      <c r="U98" s="9"/>
      <c r="V98" s="8"/>
      <c r="W98" s="9"/>
    </row>
    <row r="99" spans="1:23" ht="34.5" customHeight="1">
      <c r="A99" s="12"/>
      <c r="B99" s="358"/>
      <c r="C99" s="359"/>
      <c r="D99" s="360"/>
      <c r="E99" s="80" t="s">
        <v>2</v>
      </c>
      <c r="F99" s="5"/>
      <c r="G99" s="240">
        <v>2.8</v>
      </c>
      <c r="H99" s="175">
        <f>G99*H147</f>
        <v>15417.612</v>
      </c>
      <c r="I99" s="175"/>
      <c r="J99" s="240">
        <v>2.323</v>
      </c>
      <c r="K99" s="175">
        <f>J99*H147</f>
        <v>12791.11167</v>
      </c>
      <c r="L99" s="175"/>
      <c r="M99" s="240">
        <v>1.82</v>
      </c>
      <c r="N99" s="175">
        <f>M99*J147</f>
        <v>10603.8478</v>
      </c>
      <c r="O99" s="175"/>
      <c r="P99" s="240">
        <v>2.563</v>
      </c>
      <c r="Q99" s="175">
        <f>P99*J147</f>
        <v>14932.781270000001</v>
      </c>
      <c r="R99" s="240">
        <f>G99+J99+M99+P99</f>
        <v>9.506</v>
      </c>
      <c r="S99" s="175">
        <f>H99+K99+N99+Q99</f>
        <v>53745.352739999995</v>
      </c>
      <c r="U99" s="9"/>
      <c r="V99" s="8"/>
      <c r="W99" s="9"/>
    </row>
    <row r="100" spans="1:23" ht="36.75" customHeight="1">
      <c r="A100" s="12"/>
      <c r="B100" s="282" t="s">
        <v>99</v>
      </c>
      <c r="C100" s="283"/>
      <c r="D100" s="284"/>
      <c r="E100" s="80"/>
      <c r="F100" s="5"/>
      <c r="G100" s="239"/>
      <c r="H100" s="175">
        <f>H101+H102</f>
        <v>1019.67216</v>
      </c>
      <c r="I100" s="175"/>
      <c r="J100" s="239"/>
      <c r="K100" s="175">
        <f>K101+K102</f>
        <v>1109.08934</v>
      </c>
      <c r="L100" s="175"/>
      <c r="M100" s="239"/>
      <c r="N100" s="175">
        <f>N101+N102</f>
        <v>1244.60706</v>
      </c>
      <c r="O100" s="175"/>
      <c r="P100" s="239"/>
      <c r="Q100" s="175">
        <f>Q101+Q102</f>
        <v>1244.55794</v>
      </c>
      <c r="R100" s="239"/>
      <c r="S100" s="175">
        <f>S101+S102</f>
        <v>4617.9265</v>
      </c>
      <c r="U100" s="9"/>
      <c r="V100" s="8"/>
      <c r="W100" s="9"/>
    </row>
    <row r="101" spans="1:23" ht="33" customHeight="1">
      <c r="A101" s="12"/>
      <c r="B101" s="358"/>
      <c r="C101" s="359"/>
      <c r="D101" s="360"/>
      <c r="E101" s="80" t="s">
        <v>70</v>
      </c>
      <c r="F101" s="5"/>
      <c r="G101" s="240">
        <v>2.823</v>
      </c>
      <c r="H101" s="175">
        <f>G101*H146</f>
        <v>138.66575999999998</v>
      </c>
      <c r="I101" s="175"/>
      <c r="J101" s="240">
        <v>3.074</v>
      </c>
      <c r="K101" s="175">
        <f>J101*H146</f>
        <v>150.99488</v>
      </c>
      <c r="L101" s="175"/>
      <c r="M101" s="240">
        <v>3.276</v>
      </c>
      <c r="N101" s="175">
        <f>M101*J146</f>
        <v>160.91711999999998</v>
      </c>
      <c r="O101" s="175"/>
      <c r="P101" s="240">
        <v>3.275</v>
      </c>
      <c r="Q101" s="175">
        <f>P101*J146</f>
        <v>160.868</v>
      </c>
      <c r="R101" s="240">
        <f>G101+J101+M101+P101</f>
        <v>12.448</v>
      </c>
      <c r="S101" s="175">
        <f>H101+K101+N101+Q101</f>
        <v>611.4457599999998</v>
      </c>
      <c r="U101" s="9"/>
      <c r="V101" s="8"/>
      <c r="W101" s="9"/>
    </row>
    <row r="102" spans="1:23" ht="36.75" customHeight="1">
      <c r="A102" s="12"/>
      <c r="B102" s="358"/>
      <c r="C102" s="359"/>
      <c r="D102" s="360"/>
      <c r="E102" s="80" t="s">
        <v>2</v>
      </c>
      <c r="F102" s="5"/>
      <c r="G102" s="240">
        <v>0.16</v>
      </c>
      <c r="H102" s="175">
        <f>G102*H148</f>
        <v>881.0064</v>
      </c>
      <c r="I102" s="175"/>
      <c r="J102" s="240">
        <v>0.174</v>
      </c>
      <c r="K102" s="175">
        <f>J102*H148</f>
        <v>958.0944599999999</v>
      </c>
      <c r="L102" s="175"/>
      <c r="M102" s="240">
        <v>0.186</v>
      </c>
      <c r="N102" s="175">
        <f>M102*J148</f>
        <v>1083.68994</v>
      </c>
      <c r="O102" s="175"/>
      <c r="P102" s="240">
        <v>0.186</v>
      </c>
      <c r="Q102" s="175">
        <f>P102*J148</f>
        <v>1083.68994</v>
      </c>
      <c r="R102" s="240">
        <f>G102+J102+M102+P102</f>
        <v>0.706</v>
      </c>
      <c r="S102" s="175">
        <f>H102+K102+N102+Q102</f>
        <v>4006.48074</v>
      </c>
      <c r="U102" s="9"/>
      <c r="V102" s="8"/>
      <c r="W102" s="9"/>
    </row>
    <row r="103" spans="1:23" s="89" customFormat="1" ht="45.75" customHeight="1">
      <c r="A103" s="83">
        <v>4</v>
      </c>
      <c r="B103" s="361" t="s">
        <v>43</v>
      </c>
      <c r="C103" s="362"/>
      <c r="D103" s="363"/>
      <c r="E103" s="91"/>
      <c r="F103" s="90">
        <v>31</v>
      </c>
      <c r="G103" s="85"/>
      <c r="H103" s="85">
        <f>H104</f>
        <v>0</v>
      </c>
      <c r="I103" s="85"/>
      <c r="J103" s="85"/>
      <c r="K103" s="85">
        <f>K104</f>
        <v>0</v>
      </c>
      <c r="L103" s="85"/>
      <c r="M103" s="85"/>
      <c r="N103" s="85">
        <f>N104</f>
        <v>0</v>
      </c>
      <c r="O103" s="85"/>
      <c r="P103" s="85"/>
      <c r="Q103" s="85">
        <f>Q104</f>
        <v>0</v>
      </c>
      <c r="R103" s="85"/>
      <c r="S103" s="85">
        <f>S104</f>
        <v>0</v>
      </c>
      <c r="T103" s="86"/>
      <c r="U103" s="87">
        <f>37.94*P103</f>
        <v>0</v>
      </c>
      <c r="V103" s="88">
        <f>H103+K103+N103+Q103</f>
        <v>0</v>
      </c>
      <c r="W103" s="87">
        <f>G103+J103+M103+P103</f>
        <v>0</v>
      </c>
    </row>
    <row r="104" spans="1:23" ht="41.25" customHeight="1" hidden="1">
      <c r="A104" s="12"/>
      <c r="B104" s="354" t="s">
        <v>45</v>
      </c>
      <c r="C104" s="355"/>
      <c r="D104" s="356"/>
      <c r="E104" s="71"/>
      <c r="F104" s="12">
        <v>51</v>
      </c>
      <c r="G104" s="54"/>
      <c r="H104" s="175">
        <f>H105+H106</f>
        <v>0</v>
      </c>
      <c r="I104" s="175"/>
      <c r="J104" s="175"/>
      <c r="K104" s="175">
        <f>K105+K106</f>
        <v>0</v>
      </c>
      <c r="L104" s="175"/>
      <c r="M104" s="175"/>
      <c r="N104" s="175">
        <f>N105+N106</f>
        <v>0</v>
      </c>
      <c r="O104" s="175"/>
      <c r="P104" s="175"/>
      <c r="Q104" s="175">
        <f>Q105+Q106</f>
        <v>0</v>
      </c>
      <c r="R104" s="175"/>
      <c r="S104" s="175">
        <f>S105+S106</f>
        <v>0</v>
      </c>
      <c r="U104" s="9">
        <f>37.94*P104</f>
        <v>0</v>
      </c>
      <c r="V104" s="8">
        <f>H104+K104+N104+Q104</f>
        <v>0</v>
      </c>
      <c r="W104" s="9">
        <f>G104+J104+M104+P104</f>
        <v>0</v>
      </c>
    </row>
    <row r="105" spans="1:23" ht="25.5" customHeight="1" hidden="1">
      <c r="A105" s="12"/>
      <c r="B105" s="358"/>
      <c r="C105" s="359"/>
      <c r="D105" s="360"/>
      <c r="E105" s="80" t="s">
        <v>70</v>
      </c>
      <c r="F105" s="5"/>
      <c r="G105" s="175"/>
      <c r="H105" s="175">
        <f>G105*H145</f>
        <v>0</v>
      </c>
      <c r="I105" s="175"/>
      <c r="J105" s="175"/>
      <c r="K105" s="175">
        <f>J105*H145</f>
        <v>0</v>
      </c>
      <c r="L105" s="175"/>
      <c r="M105" s="175"/>
      <c r="N105" s="175">
        <f>M105*J145</f>
        <v>0</v>
      </c>
      <c r="O105" s="175"/>
      <c r="P105" s="175"/>
      <c r="Q105" s="175">
        <f>P105*J145</f>
        <v>0</v>
      </c>
      <c r="R105" s="175">
        <f>G105+J105+M105+P105</f>
        <v>0</v>
      </c>
      <c r="S105" s="175">
        <f>H105+K105+N105+Q105</f>
        <v>0</v>
      </c>
      <c r="U105" s="9"/>
      <c r="V105" s="8"/>
      <c r="W105" s="9"/>
    </row>
    <row r="106" spans="1:23" ht="25.5" customHeight="1" hidden="1">
      <c r="A106" s="12"/>
      <c r="B106" s="358"/>
      <c r="C106" s="359"/>
      <c r="D106" s="360"/>
      <c r="E106" s="80" t="s">
        <v>2</v>
      </c>
      <c r="F106" s="5"/>
      <c r="G106" s="175"/>
      <c r="H106" s="175">
        <f>G106*H147</f>
        <v>0</v>
      </c>
      <c r="I106" s="175"/>
      <c r="J106" s="175"/>
      <c r="K106" s="175">
        <f>J106*H147</f>
        <v>0</v>
      </c>
      <c r="L106" s="175"/>
      <c r="M106" s="175"/>
      <c r="N106" s="175">
        <f>M106*J147</f>
        <v>0</v>
      </c>
      <c r="O106" s="175"/>
      <c r="P106" s="175"/>
      <c r="Q106" s="175">
        <f>P106*J147</f>
        <v>0</v>
      </c>
      <c r="R106" s="175">
        <f>G106+J106+M106+P106</f>
        <v>0</v>
      </c>
      <c r="S106" s="175">
        <f>H106+K106+N106+Q106</f>
        <v>0</v>
      </c>
      <c r="U106" s="9"/>
      <c r="V106" s="8"/>
      <c r="W106" s="9"/>
    </row>
    <row r="107" spans="1:23" s="89" customFormat="1" ht="57.75" customHeight="1">
      <c r="A107" s="83">
        <v>5</v>
      </c>
      <c r="B107" s="361" t="s">
        <v>47</v>
      </c>
      <c r="C107" s="362"/>
      <c r="D107" s="363"/>
      <c r="E107" s="84" t="s">
        <v>80</v>
      </c>
      <c r="F107" s="90"/>
      <c r="G107" s="85"/>
      <c r="H107" s="85">
        <f>H110+H113+H116+H119</f>
        <v>26933.511599999998</v>
      </c>
      <c r="I107" s="85"/>
      <c r="J107" s="85"/>
      <c r="K107" s="85">
        <v>21781.28</v>
      </c>
      <c r="L107" s="85"/>
      <c r="M107" s="85"/>
      <c r="N107" s="85">
        <v>18336.08</v>
      </c>
      <c r="O107" s="85"/>
      <c r="P107" s="85"/>
      <c r="Q107" s="85">
        <v>29144.32</v>
      </c>
      <c r="R107" s="85"/>
      <c r="S107" s="85">
        <f>H107+K107+N107+Q107</f>
        <v>96195.19159999999</v>
      </c>
      <c r="T107" s="86"/>
      <c r="U107" s="87"/>
      <c r="V107" s="88"/>
      <c r="W107" s="87"/>
    </row>
    <row r="108" spans="1:23" ht="38.25" customHeight="1">
      <c r="A108" s="12"/>
      <c r="B108" s="351"/>
      <c r="C108" s="352"/>
      <c r="D108" s="353"/>
      <c r="E108" s="118" t="s">
        <v>70</v>
      </c>
      <c r="F108" s="5"/>
      <c r="G108" s="54">
        <f>G111+G114+G117+G120</f>
        <v>76.1</v>
      </c>
      <c r="H108" s="54">
        <f>H111+H114+H117+H120</f>
        <v>2871.023</v>
      </c>
      <c r="I108" s="54"/>
      <c r="J108" s="54">
        <f>J111+J114+J117+J120</f>
        <v>60.25</v>
      </c>
      <c r="K108" s="54">
        <v>2289.01</v>
      </c>
      <c r="L108" s="54"/>
      <c r="M108" s="54">
        <f>M111+M114+M117+M120</f>
        <v>48.019999999999996</v>
      </c>
      <c r="N108" s="54">
        <v>1905.94</v>
      </c>
      <c r="O108" s="54"/>
      <c r="P108" s="54">
        <f>P111+P114+P117+P120</f>
        <v>77.64</v>
      </c>
      <c r="Q108" s="54">
        <v>3042.54</v>
      </c>
      <c r="R108" s="54">
        <f>G108+J108+M108+P108</f>
        <v>262.01</v>
      </c>
      <c r="S108" s="54">
        <f>H108+K108+N108+Q108</f>
        <v>10108.512999999999</v>
      </c>
      <c r="U108" s="9"/>
      <c r="V108" s="8"/>
      <c r="W108" s="9"/>
    </row>
    <row r="109" spans="1:23" ht="38.25" customHeight="1">
      <c r="A109" s="12"/>
      <c r="B109" s="351"/>
      <c r="C109" s="352"/>
      <c r="D109" s="353"/>
      <c r="E109" s="118" t="s">
        <v>2</v>
      </c>
      <c r="F109" s="5"/>
      <c r="G109" s="54">
        <f>G112+G115+G118+G121</f>
        <v>4.369999999999999</v>
      </c>
      <c r="H109" s="54">
        <f>H112+H115+H118+H121</f>
        <v>24062.4873</v>
      </c>
      <c r="I109" s="54"/>
      <c r="J109" s="54">
        <f>J112+J115+J118+J121</f>
        <v>3.54</v>
      </c>
      <c r="K109" s="54">
        <f>K112+K115+K118+K121</f>
        <v>19492.266600000003</v>
      </c>
      <c r="L109" s="54"/>
      <c r="M109" s="54">
        <f>M112+M115+M118+M121</f>
        <v>2.82</v>
      </c>
      <c r="N109" s="54">
        <f>N112+N115+N118+N121</f>
        <v>16430.137799999997</v>
      </c>
      <c r="O109" s="54"/>
      <c r="P109" s="54">
        <f>P112+P115+P118+P121</f>
        <v>4.4799999999999995</v>
      </c>
      <c r="Q109" s="54">
        <f>Q112+Q115+Q118+Q121</f>
        <v>26101.779199999997</v>
      </c>
      <c r="R109" s="54">
        <f>G109+J109+M109+P109</f>
        <v>15.209999999999997</v>
      </c>
      <c r="S109" s="54">
        <v>86086.68</v>
      </c>
      <c r="U109" s="9"/>
      <c r="V109" s="8"/>
      <c r="W109" s="9"/>
    </row>
    <row r="110" spans="1:23" ht="35.25" customHeight="1">
      <c r="A110" s="12"/>
      <c r="B110" s="354" t="s">
        <v>48</v>
      </c>
      <c r="C110" s="355"/>
      <c r="D110" s="356"/>
      <c r="E110" s="72"/>
      <c r="F110" s="5"/>
      <c r="G110" s="175"/>
      <c r="H110" s="175">
        <v>1274.03</v>
      </c>
      <c r="I110" s="175"/>
      <c r="J110" s="175"/>
      <c r="K110" s="175">
        <f>K111+K112</f>
        <v>976.016</v>
      </c>
      <c r="L110" s="175"/>
      <c r="M110" s="175"/>
      <c r="N110" s="175">
        <f>N111+N112</f>
        <v>1737.4009</v>
      </c>
      <c r="O110" s="175"/>
      <c r="P110" s="175"/>
      <c r="Q110" s="175">
        <f>Q111+Q112</f>
        <v>3660.0856</v>
      </c>
      <c r="R110" s="175"/>
      <c r="S110" s="175">
        <f>S111+S112</f>
        <v>7647.54</v>
      </c>
      <c r="U110" s="9"/>
      <c r="V110" s="8"/>
      <c r="W110" s="9"/>
    </row>
    <row r="111" spans="1:23" ht="28.5" customHeight="1">
      <c r="A111" s="12"/>
      <c r="B111" s="358"/>
      <c r="C111" s="359"/>
      <c r="D111" s="360"/>
      <c r="E111" s="80" t="s">
        <v>70</v>
      </c>
      <c r="F111" s="5"/>
      <c r="G111" s="175">
        <v>3.37</v>
      </c>
      <c r="H111" s="175">
        <f>G111*H145</f>
        <v>117.7141</v>
      </c>
      <c r="I111" s="175"/>
      <c r="J111" s="175">
        <v>2.72</v>
      </c>
      <c r="K111" s="175">
        <f>J111*H145</f>
        <v>95.0096</v>
      </c>
      <c r="L111" s="175"/>
      <c r="M111" s="175">
        <v>4.54</v>
      </c>
      <c r="N111" s="175">
        <f>M111*J145</f>
        <v>164.30259999999998</v>
      </c>
      <c r="O111" s="175"/>
      <c r="P111" s="175">
        <v>9.37</v>
      </c>
      <c r="Q111" s="175">
        <f>P111*J145</f>
        <v>339.10029999999995</v>
      </c>
      <c r="R111" s="175">
        <f>G111+J111+M111+P111</f>
        <v>20</v>
      </c>
      <c r="S111" s="175">
        <v>716.12</v>
      </c>
      <c r="U111" s="9"/>
      <c r="V111" s="8"/>
      <c r="W111" s="9"/>
    </row>
    <row r="112" spans="1:23" ht="25.5" customHeight="1">
      <c r="A112" s="12"/>
      <c r="B112" s="358"/>
      <c r="C112" s="359"/>
      <c r="D112" s="360"/>
      <c r="E112" s="80" t="s">
        <v>2</v>
      </c>
      <c r="F112" s="5"/>
      <c r="G112" s="175">
        <v>0.21</v>
      </c>
      <c r="H112" s="175">
        <f>G112*H147</f>
        <v>1156.3209</v>
      </c>
      <c r="I112" s="175"/>
      <c r="J112" s="175">
        <v>0.16</v>
      </c>
      <c r="K112" s="175">
        <f>J112*H147</f>
        <v>881.0064</v>
      </c>
      <c r="L112" s="175"/>
      <c r="M112" s="175">
        <v>0.27</v>
      </c>
      <c r="N112" s="175">
        <f>M112*J147</f>
        <v>1573.0983</v>
      </c>
      <c r="O112" s="175"/>
      <c r="P112" s="175">
        <v>0.57</v>
      </c>
      <c r="Q112" s="175">
        <f>P112*J147</f>
        <v>3320.9853</v>
      </c>
      <c r="R112" s="175">
        <f>G112+J112+M112+P112</f>
        <v>1.21</v>
      </c>
      <c r="S112" s="175">
        <v>6931.42</v>
      </c>
      <c r="U112" s="9"/>
      <c r="V112" s="8"/>
      <c r="W112" s="9"/>
    </row>
    <row r="113" spans="1:23" ht="25.5" customHeight="1">
      <c r="A113" s="12"/>
      <c r="B113" s="354" t="s">
        <v>49</v>
      </c>
      <c r="C113" s="355"/>
      <c r="D113" s="356"/>
      <c r="E113" s="72"/>
      <c r="F113" s="5"/>
      <c r="G113" s="175"/>
      <c r="H113" s="175">
        <f>H114+H115</f>
        <v>12075.0326</v>
      </c>
      <c r="I113" s="175"/>
      <c r="J113" s="175"/>
      <c r="K113" s="175">
        <f>K114+K115</f>
        <v>12370.48</v>
      </c>
      <c r="L113" s="175"/>
      <c r="M113" s="175"/>
      <c r="N113" s="175">
        <v>9431.68</v>
      </c>
      <c r="O113" s="175"/>
      <c r="P113" s="175"/>
      <c r="Q113" s="175">
        <f>Q114+Q115</f>
        <v>13387.5866</v>
      </c>
      <c r="R113" s="175"/>
      <c r="S113" s="175">
        <f>S114+S115</f>
        <v>47264.781800000004</v>
      </c>
      <c r="U113" s="9"/>
      <c r="V113" s="8"/>
      <c r="W113" s="9"/>
    </row>
    <row r="114" spans="1:23" ht="25.5" customHeight="1">
      <c r="A114" s="12"/>
      <c r="B114" s="358"/>
      <c r="C114" s="359"/>
      <c r="D114" s="360"/>
      <c r="E114" s="80" t="s">
        <v>70</v>
      </c>
      <c r="F114" s="5"/>
      <c r="G114" s="175">
        <v>35</v>
      </c>
      <c r="H114" s="175">
        <f>23*H145+12*H146</f>
        <v>1392.83</v>
      </c>
      <c r="I114" s="175"/>
      <c r="J114" s="175">
        <v>34</v>
      </c>
      <c r="K114" s="175">
        <f>22*H145+12*H146</f>
        <v>1357.9</v>
      </c>
      <c r="L114" s="175"/>
      <c r="M114" s="175">
        <v>24.5</v>
      </c>
      <c r="N114" s="175">
        <f>12.5*J145+12*J146</f>
        <v>1041.815</v>
      </c>
      <c r="O114" s="175"/>
      <c r="P114" s="175">
        <v>36.5</v>
      </c>
      <c r="Q114" s="175">
        <f>22.5*J145+14*J146</f>
        <v>1501.955</v>
      </c>
      <c r="R114" s="175">
        <f>G114+J114+M114+P114</f>
        <v>130</v>
      </c>
      <c r="S114" s="175">
        <v>5294.51</v>
      </c>
      <c r="U114" s="9"/>
      <c r="V114" s="8"/>
      <c r="W114" s="9"/>
    </row>
    <row r="115" spans="1:23" ht="25.5" customHeight="1">
      <c r="A115" s="12"/>
      <c r="B115" s="358"/>
      <c r="C115" s="359"/>
      <c r="D115" s="360"/>
      <c r="E115" s="80" t="s">
        <v>2</v>
      </c>
      <c r="F115" s="5"/>
      <c r="G115" s="175">
        <v>1.94</v>
      </c>
      <c r="H115" s="175">
        <f>G115*H147</f>
        <v>10682.2026</v>
      </c>
      <c r="I115" s="175"/>
      <c r="J115" s="175">
        <v>2</v>
      </c>
      <c r="K115" s="175">
        <f>J115*H147</f>
        <v>11012.58</v>
      </c>
      <c r="L115" s="175"/>
      <c r="M115" s="175">
        <v>1.44</v>
      </c>
      <c r="N115" s="175">
        <f>M115*J147</f>
        <v>8389.8576</v>
      </c>
      <c r="O115" s="175"/>
      <c r="P115" s="175">
        <v>2.04</v>
      </c>
      <c r="Q115" s="175">
        <f>P115*J147</f>
        <v>11885.6316</v>
      </c>
      <c r="R115" s="175">
        <f>G115+J115+M115+P115</f>
        <v>7.42</v>
      </c>
      <c r="S115" s="175">
        <f>H115+K115+N115+Q115</f>
        <v>41970.2718</v>
      </c>
      <c r="U115" s="9"/>
      <c r="V115" s="8"/>
      <c r="W115" s="9"/>
    </row>
    <row r="116" spans="1:23" ht="25.5" customHeight="1">
      <c r="A116" s="12"/>
      <c r="B116" s="354" t="s">
        <v>50</v>
      </c>
      <c r="C116" s="355"/>
      <c r="D116" s="356"/>
      <c r="E116" s="72"/>
      <c r="F116" s="5"/>
      <c r="G116" s="175"/>
      <c r="H116" s="175">
        <v>6325.33</v>
      </c>
      <c r="I116" s="175"/>
      <c r="J116" s="175"/>
      <c r="K116" s="175">
        <f>K117+K118</f>
        <v>5566.3289</v>
      </c>
      <c r="L116" s="175"/>
      <c r="M116" s="175"/>
      <c r="N116" s="175">
        <v>5104.27</v>
      </c>
      <c r="O116" s="175"/>
      <c r="P116" s="175"/>
      <c r="Q116" s="175">
        <v>6686.13</v>
      </c>
      <c r="R116" s="175"/>
      <c r="S116" s="175">
        <f>S117+S118</f>
        <v>23682.060400000002</v>
      </c>
      <c r="U116" s="9"/>
      <c r="V116" s="8"/>
      <c r="W116" s="9"/>
    </row>
    <row r="117" spans="1:23" ht="25.5" customHeight="1">
      <c r="A117" s="12"/>
      <c r="B117" s="358"/>
      <c r="C117" s="359"/>
      <c r="D117" s="360"/>
      <c r="E117" s="80" t="s">
        <v>70</v>
      </c>
      <c r="F117" s="5"/>
      <c r="G117" s="175">
        <v>17.5</v>
      </c>
      <c r="H117" s="175">
        <f>14.5*H145+3*H146</f>
        <v>653.845</v>
      </c>
      <c r="I117" s="175"/>
      <c r="J117" s="175">
        <v>15.5</v>
      </c>
      <c r="K117" s="175">
        <f>14.5*H145+1*H146</f>
        <v>555.605</v>
      </c>
      <c r="L117" s="175"/>
      <c r="M117" s="175">
        <v>13.5</v>
      </c>
      <c r="N117" s="175">
        <f>12.5*J145+1*J146</f>
        <v>501.495</v>
      </c>
      <c r="O117" s="175"/>
      <c r="P117" s="175">
        <v>17.5</v>
      </c>
      <c r="Q117" s="175">
        <f>13.5*J145+4*J146</f>
        <v>685.045</v>
      </c>
      <c r="R117" s="175">
        <f>G117+J117+M117+P117</f>
        <v>64</v>
      </c>
      <c r="S117" s="175">
        <v>2396.01</v>
      </c>
      <c r="U117" s="9"/>
      <c r="V117" s="8"/>
      <c r="W117" s="9"/>
    </row>
    <row r="118" spans="1:23" ht="25.5" customHeight="1">
      <c r="A118" s="12"/>
      <c r="B118" s="358"/>
      <c r="C118" s="359"/>
      <c r="D118" s="360"/>
      <c r="E118" s="80" t="s">
        <v>2</v>
      </c>
      <c r="F118" s="5"/>
      <c r="G118" s="175">
        <v>1.03</v>
      </c>
      <c r="H118" s="175">
        <f>G118*H147</f>
        <v>5671.4787</v>
      </c>
      <c r="I118" s="175"/>
      <c r="J118" s="175">
        <v>0.91</v>
      </c>
      <c r="K118" s="175">
        <f>J118*H147</f>
        <v>5010.7239</v>
      </c>
      <c r="L118" s="175"/>
      <c r="M118" s="175">
        <v>0.79</v>
      </c>
      <c r="N118" s="175">
        <f>M118*J147</f>
        <v>4602.7691</v>
      </c>
      <c r="O118" s="175"/>
      <c r="P118" s="175">
        <v>1.03</v>
      </c>
      <c r="Q118" s="175">
        <f>P118*J147</f>
        <v>6001.0787</v>
      </c>
      <c r="R118" s="175">
        <f>G118+J118+M118+P118</f>
        <v>3.76</v>
      </c>
      <c r="S118" s="175">
        <f>H118+K118+N118+Q118</f>
        <v>21286.0504</v>
      </c>
      <c r="U118" s="9"/>
      <c r="V118" s="8"/>
      <c r="W118" s="9"/>
    </row>
    <row r="119" spans="1:23" ht="54" customHeight="1">
      <c r="A119" s="12"/>
      <c r="B119" s="357" t="s">
        <v>40</v>
      </c>
      <c r="C119" s="357"/>
      <c r="D119" s="357"/>
      <c r="E119" s="77"/>
      <c r="F119" s="5"/>
      <c r="G119" s="175"/>
      <c r="H119" s="175">
        <f>H120+H121</f>
        <v>7259.119</v>
      </c>
      <c r="I119" s="175"/>
      <c r="J119" s="175"/>
      <c r="K119" s="175">
        <v>2868.45</v>
      </c>
      <c r="L119" s="175"/>
      <c r="M119" s="175"/>
      <c r="N119" s="175">
        <f>N120+N121</f>
        <v>2062.734</v>
      </c>
      <c r="O119" s="175"/>
      <c r="P119" s="175"/>
      <c r="Q119" s="175">
        <f>Q120+Q121</f>
        <v>5410.5149</v>
      </c>
      <c r="R119" s="175"/>
      <c r="S119" s="175">
        <f>S120+S121</f>
        <v>17600.8121</v>
      </c>
      <c r="U119" s="9"/>
      <c r="V119" s="8"/>
      <c r="W119" s="9"/>
    </row>
    <row r="120" spans="1:23" ht="25.5" customHeight="1">
      <c r="A120" s="12"/>
      <c r="B120" s="358"/>
      <c r="C120" s="359"/>
      <c r="D120" s="360"/>
      <c r="E120" s="80" t="s">
        <v>70</v>
      </c>
      <c r="F120" s="5"/>
      <c r="G120" s="175">
        <v>20.23</v>
      </c>
      <c r="H120" s="175">
        <f>G120*H145</f>
        <v>706.6339</v>
      </c>
      <c r="I120" s="175"/>
      <c r="J120" s="199">
        <v>8.03</v>
      </c>
      <c r="K120" s="175">
        <f>J120*H145</f>
        <v>280.48789999999997</v>
      </c>
      <c r="L120" s="175"/>
      <c r="M120" s="175">
        <v>5.48</v>
      </c>
      <c r="N120" s="175">
        <f>M120*J145</f>
        <v>198.3212</v>
      </c>
      <c r="O120" s="175"/>
      <c r="P120" s="175">
        <v>14.27</v>
      </c>
      <c r="Q120" s="175">
        <f>P120*J145</f>
        <v>516.4313</v>
      </c>
      <c r="R120" s="175">
        <f>G120+J120+M120+P120</f>
        <v>48.00999999999999</v>
      </c>
      <c r="S120" s="175">
        <f>H120+K120+N120+Q120</f>
        <v>1701.8743</v>
      </c>
      <c r="T120" s="60" t="s">
        <v>79</v>
      </c>
      <c r="U120" s="9"/>
      <c r="V120" s="8"/>
      <c r="W120" s="9"/>
    </row>
    <row r="121" spans="1:23" ht="25.5" customHeight="1">
      <c r="A121" s="12"/>
      <c r="B121" s="358"/>
      <c r="C121" s="359"/>
      <c r="D121" s="360"/>
      <c r="E121" s="80" t="s">
        <v>2</v>
      </c>
      <c r="F121" s="5"/>
      <c r="G121" s="175">
        <v>1.19</v>
      </c>
      <c r="H121" s="175">
        <f>G121*H147</f>
        <v>6552.4851</v>
      </c>
      <c r="I121" s="175"/>
      <c r="J121" s="175">
        <v>0.47</v>
      </c>
      <c r="K121" s="175">
        <f>J121*H147</f>
        <v>2587.9563</v>
      </c>
      <c r="L121" s="175"/>
      <c r="M121" s="175">
        <v>0.32</v>
      </c>
      <c r="N121" s="175">
        <f>M121*J147</f>
        <v>1864.4128</v>
      </c>
      <c r="O121" s="175"/>
      <c r="P121" s="175">
        <v>0.84</v>
      </c>
      <c r="Q121" s="175">
        <f>P121*J147</f>
        <v>4894.0836</v>
      </c>
      <c r="R121" s="175">
        <f>G121+J121+M121+P121</f>
        <v>2.82</v>
      </c>
      <c r="S121" s="175">
        <f>H121+K121+N121+Q121</f>
        <v>15898.9378</v>
      </c>
      <c r="U121" s="9"/>
      <c r="V121" s="8"/>
      <c r="W121" s="9"/>
    </row>
    <row r="122" spans="1:23" s="89" customFormat="1" ht="43.5" customHeight="1">
      <c r="A122" s="83">
        <v>6</v>
      </c>
      <c r="B122" s="361" t="s">
        <v>53</v>
      </c>
      <c r="C122" s="362"/>
      <c r="D122" s="363"/>
      <c r="E122" s="84" t="s">
        <v>80</v>
      </c>
      <c r="F122" s="90"/>
      <c r="G122" s="85"/>
      <c r="H122" s="85">
        <f>H125+H128+H131</f>
        <v>1104357.5779000001</v>
      </c>
      <c r="I122" s="85"/>
      <c r="J122" s="85"/>
      <c r="K122" s="85">
        <f>K125+K128+K131</f>
        <v>1117046.7979000001</v>
      </c>
      <c r="L122" s="85"/>
      <c r="M122" s="85"/>
      <c r="N122" s="85">
        <f>N125+N128+N131</f>
        <v>1145209.7577</v>
      </c>
      <c r="O122" s="85"/>
      <c r="P122" s="85"/>
      <c r="Q122" s="85">
        <f>Q125+Q128+Q131</f>
        <v>1173689.7877</v>
      </c>
      <c r="R122" s="85"/>
      <c r="S122" s="85">
        <f>S125+S128+S131</f>
        <v>4540303.9212</v>
      </c>
      <c r="T122" s="86"/>
      <c r="U122" s="87"/>
      <c r="V122" s="88"/>
      <c r="W122" s="87"/>
    </row>
    <row r="123" spans="1:23" ht="43.5" customHeight="1">
      <c r="A123" s="12"/>
      <c r="B123" s="351"/>
      <c r="C123" s="352"/>
      <c r="D123" s="353"/>
      <c r="E123" s="79" t="s">
        <v>70</v>
      </c>
      <c r="F123" s="5"/>
      <c r="G123" s="54">
        <f>G126+G129+G132</f>
        <v>3225.73</v>
      </c>
      <c r="H123" s="54">
        <f>H126+H129+H132</f>
        <v>112674.7489</v>
      </c>
      <c r="I123" s="54"/>
      <c r="J123" s="54">
        <f>J126+J129+J132</f>
        <v>3273.73</v>
      </c>
      <c r="K123" s="54">
        <f>K126+K129+K132</f>
        <v>114351.3889</v>
      </c>
      <c r="L123" s="54"/>
      <c r="M123" s="54">
        <f>M126+M129+M132</f>
        <v>3293.73</v>
      </c>
      <c r="N123" s="54">
        <f>N126+N129+N132</f>
        <v>119200.0887</v>
      </c>
      <c r="O123" s="54"/>
      <c r="P123" s="54">
        <f>P126+P129+P132</f>
        <v>3275.73</v>
      </c>
      <c r="Q123" s="54">
        <f>Q126+Q129+Q132</f>
        <v>118548.6687</v>
      </c>
      <c r="R123" s="54">
        <f>G123+J123+M123+P123</f>
        <v>13068.92</v>
      </c>
      <c r="S123" s="54">
        <f>H123+K123+N123+Q123</f>
        <v>464774.89519999997</v>
      </c>
      <c r="U123" s="9"/>
      <c r="V123" s="8"/>
      <c r="W123" s="9"/>
    </row>
    <row r="124" spans="1:23" ht="43.5" customHeight="1">
      <c r="A124" s="12"/>
      <c r="B124" s="351"/>
      <c r="C124" s="352"/>
      <c r="D124" s="353"/>
      <c r="E124" s="79" t="s">
        <v>73</v>
      </c>
      <c r="F124" s="5"/>
      <c r="G124" s="54">
        <f>G127+G130+G133</f>
        <v>180.1</v>
      </c>
      <c r="H124" s="54">
        <f>H127+H130+H133</f>
        <v>991682.829</v>
      </c>
      <c r="I124" s="54"/>
      <c r="J124" s="54">
        <f>J127+J130+J133</f>
        <v>182.1</v>
      </c>
      <c r="K124" s="54">
        <f>K127+K130+K133</f>
        <v>1002695.409</v>
      </c>
      <c r="L124" s="54"/>
      <c r="M124" s="54">
        <f>M127+M130+M133</f>
        <v>176.1</v>
      </c>
      <c r="N124" s="54">
        <f>N127+N130+N133</f>
        <v>1026009.669</v>
      </c>
      <c r="O124" s="54"/>
      <c r="P124" s="54">
        <f>P127+P130+P133</f>
        <v>181.1</v>
      </c>
      <c r="Q124" s="54">
        <f>Q127+Q130+Q133</f>
        <v>1055141.119</v>
      </c>
      <c r="R124" s="54">
        <f>G124+J124+M124+P124</f>
        <v>719.4</v>
      </c>
      <c r="S124" s="54">
        <f>H124+K124+N124+Q124</f>
        <v>4075529.0259999996</v>
      </c>
      <c r="U124" s="9"/>
      <c r="V124" s="8"/>
      <c r="W124" s="9"/>
    </row>
    <row r="125" spans="1:23" ht="31.5" customHeight="1">
      <c r="A125" s="12"/>
      <c r="B125" s="354" t="s">
        <v>71</v>
      </c>
      <c r="C125" s="355"/>
      <c r="D125" s="356"/>
      <c r="E125" s="72"/>
      <c r="F125" s="5"/>
      <c r="G125" s="175"/>
      <c r="H125" s="175">
        <f>H126+H127</f>
        <v>17671.559999999998</v>
      </c>
      <c r="I125" s="175"/>
      <c r="J125" s="175"/>
      <c r="K125" s="175">
        <f>K126+K127</f>
        <v>12095.41</v>
      </c>
      <c r="L125" s="175"/>
      <c r="M125" s="175"/>
      <c r="N125" s="175">
        <f>N126+N127</f>
        <v>6948.18</v>
      </c>
      <c r="O125" s="175"/>
      <c r="P125" s="175"/>
      <c r="Q125" s="175">
        <f>Q126+Q127</f>
        <v>18673.14</v>
      </c>
      <c r="R125" s="175"/>
      <c r="S125" s="175">
        <f>S126+S127</f>
        <v>55388.29</v>
      </c>
      <c r="U125" s="9"/>
      <c r="V125" s="8"/>
      <c r="W125" s="9"/>
    </row>
    <row r="126" spans="1:23" ht="25.5" customHeight="1">
      <c r="A126" s="12"/>
      <c r="B126" s="358"/>
      <c r="C126" s="359"/>
      <c r="D126" s="360"/>
      <c r="E126" s="80" t="s">
        <v>70</v>
      </c>
      <c r="F126" s="5"/>
      <c r="G126" s="175">
        <v>33</v>
      </c>
      <c r="H126" s="175">
        <f>G126*H145</f>
        <v>1152.69</v>
      </c>
      <c r="I126" s="175"/>
      <c r="J126" s="175">
        <v>31</v>
      </c>
      <c r="K126" s="175">
        <f>J126*H145</f>
        <v>1082.83</v>
      </c>
      <c r="L126" s="175"/>
      <c r="M126" s="175">
        <v>31</v>
      </c>
      <c r="N126" s="175">
        <f>M126*J145</f>
        <v>1121.8899999999999</v>
      </c>
      <c r="O126" s="175"/>
      <c r="P126" s="175">
        <v>33</v>
      </c>
      <c r="Q126" s="175">
        <f>P126*J145</f>
        <v>1194.27</v>
      </c>
      <c r="R126" s="175">
        <f>G126+J126+M126+P126</f>
        <v>128</v>
      </c>
      <c r="S126" s="175">
        <f>H126+K126+N126+Q126</f>
        <v>4551.68</v>
      </c>
      <c r="U126" s="9"/>
      <c r="V126" s="8"/>
      <c r="W126" s="9"/>
    </row>
    <row r="127" spans="1:23" ht="25.5" customHeight="1">
      <c r="A127" s="12"/>
      <c r="B127" s="358"/>
      <c r="C127" s="359"/>
      <c r="D127" s="360"/>
      <c r="E127" s="80" t="s">
        <v>2</v>
      </c>
      <c r="F127" s="5"/>
      <c r="G127" s="175">
        <v>3</v>
      </c>
      <c r="H127" s="175">
        <f>G127*H147</f>
        <v>16518.87</v>
      </c>
      <c r="I127" s="175"/>
      <c r="J127" s="175">
        <v>2</v>
      </c>
      <c r="K127" s="175">
        <f>J127*H147</f>
        <v>11012.58</v>
      </c>
      <c r="L127" s="175"/>
      <c r="M127" s="175">
        <v>1</v>
      </c>
      <c r="N127" s="175">
        <f>M127*J147</f>
        <v>5826.29</v>
      </c>
      <c r="O127" s="175"/>
      <c r="P127" s="175">
        <v>3</v>
      </c>
      <c r="Q127" s="175">
        <f>P127*J147</f>
        <v>17478.87</v>
      </c>
      <c r="R127" s="175">
        <f>G127+J127+M127+P127</f>
        <v>9</v>
      </c>
      <c r="S127" s="175">
        <f>H127+K127+N127+Q127</f>
        <v>50836.61</v>
      </c>
      <c r="U127" s="9"/>
      <c r="V127" s="8"/>
      <c r="W127" s="9"/>
    </row>
    <row r="128" spans="1:23" ht="33" customHeight="1">
      <c r="A128" s="12"/>
      <c r="B128" s="354" t="s">
        <v>55</v>
      </c>
      <c r="C128" s="355"/>
      <c r="D128" s="356"/>
      <c r="E128" s="72"/>
      <c r="F128" s="5"/>
      <c r="G128" s="175"/>
      <c r="H128" s="175">
        <f>H129+H130</f>
        <v>42037.03</v>
      </c>
      <c r="I128" s="175"/>
      <c r="J128" s="175"/>
      <c r="K128" s="175">
        <f>K129+K130</f>
        <v>60302.4</v>
      </c>
      <c r="L128" s="175"/>
      <c r="M128" s="175"/>
      <c r="N128" s="175">
        <f>N129+N130</f>
        <v>35283.75</v>
      </c>
      <c r="O128" s="175"/>
      <c r="P128" s="175"/>
      <c r="Q128" s="175">
        <f>Q129+Q130</f>
        <v>52038.82</v>
      </c>
      <c r="R128" s="175"/>
      <c r="S128" s="175">
        <f>S129+S130</f>
        <v>189661.99999999997</v>
      </c>
      <c r="U128" s="9"/>
      <c r="V128" s="8"/>
      <c r="W128" s="9"/>
    </row>
    <row r="129" spans="1:23" ht="25.5" customHeight="1">
      <c r="A129" s="12"/>
      <c r="B129" s="358"/>
      <c r="C129" s="359"/>
      <c r="D129" s="360"/>
      <c r="E129" s="80" t="s">
        <v>70</v>
      </c>
      <c r="F129" s="5"/>
      <c r="G129" s="175">
        <v>100</v>
      </c>
      <c r="H129" s="175">
        <f>G129*H145</f>
        <v>3493</v>
      </c>
      <c r="I129" s="175"/>
      <c r="J129" s="175">
        <v>150</v>
      </c>
      <c r="K129" s="175">
        <f>J129*H145</f>
        <v>5239.5</v>
      </c>
      <c r="L129" s="175"/>
      <c r="M129" s="175">
        <v>170</v>
      </c>
      <c r="N129" s="175">
        <f>M129*J145</f>
        <v>6152.299999999999</v>
      </c>
      <c r="O129" s="175"/>
      <c r="P129" s="175">
        <v>150</v>
      </c>
      <c r="Q129" s="175">
        <f>P129*J145</f>
        <v>5428.5</v>
      </c>
      <c r="R129" s="175">
        <f>G129+J129+M129+P129</f>
        <v>570</v>
      </c>
      <c r="S129" s="175">
        <f>H129+K129+N129+Q129</f>
        <v>20313.3</v>
      </c>
      <c r="T129" s="60" t="s">
        <v>78</v>
      </c>
      <c r="U129" s="9"/>
      <c r="V129" s="8"/>
      <c r="W129" s="9"/>
    </row>
    <row r="130" spans="1:23" ht="25.5" customHeight="1">
      <c r="A130" s="12"/>
      <c r="B130" s="358"/>
      <c r="C130" s="359"/>
      <c r="D130" s="360"/>
      <c r="E130" s="80" t="s">
        <v>2</v>
      </c>
      <c r="F130" s="5"/>
      <c r="G130" s="175">
        <v>7</v>
      </c>
      <c r="H130" s="175">
        <f>G130*H148</f>
        <v>38544.03</v>
      </c>
      <c r="I130" s="175"/>
      <c r="J130" s="175">
        <v>10</v>
      </c>
      <c r="K130" s="175">
        <f>J130*H148</f>
        <v>55062.9</v>
      </c>
      <c r="L130" s="175"/>
      <c r="M130" s="175">
        <v>5</v>
      </c>
      <c r="N130" s="175">
        <f>M130*J148</f>
        <v>29131.45</v>
      </c>
      <c r="O130" s="175"/>
      <c r="P130" s="175">
        <v>8</v>
      </c>
      <c r="Q130" s="175">
        <f>P130*J148</f>
        <v>46610.32</v>
      </c>
      <c r="R130" s="175">
        <f>G130+J130+M130+P130</f>
        <v>30</v>
      </c>
      <c r="S130" s="175">
        <f>H130+K130+N130+Q130</f>
        <v>169348.69999999998</v>
      </c>
      <c r="U130" s="9"/>
      <c r="V130" s="8"/>
      <c r="W130" s="9"/>
    </row>
    <row r="131" spans="1:23" ht="33" customHeight="1">
      <c r="A131" s="12"/>
      <c r="B131" s="258" t="s">
        <v>82</v>
      </c>
      <c r="C131" s="259"/>
      <c r="D131" s="260"/>
      <c r="E131" s="115"/>
      <c r="F131" s="5"/>
      <c r="G131" s="175"/>
      <c r="H131" s="175">
        <f>SUM(H132:H133)</f>
        <v>1044648.9879000001</v>
      </c>
      <c r="I131" s="175"/>
      <c r="J131" s="175"/>
      <c r="K131" s="175">
        <f>SUM(K132:K133)</f>
        <v>1044648.9879000001</v>
      </c>
      <c r="L131" s="175"/>
      <c r="M131" s="175"/>
      <c r="N131" s="175">
        <f>SUM(N132:N133)</f>
        <v>1102977.8277</v>
      </c>
      <c r="O131" s="175"/>
      <c r="P131" s="175"/>
      <c r="Q131" s="175">
        <f>SUM(Q132:Q133)</f>
        <v>1102977.8277</v>
      </c>
      <c r="R131" s="175"/>
      <c r="S131" s="175">
        <f>SUM(S132:S133)</f>
        <v>4295253.6312</v>
      </c>
      <c r="U131" s="9"/>
      <c r="V131" s="8"/>
      <c r="W131" s="9"/>
    </row>
    <row r="132" spans="1:23" ht="25.5" customHeight="1">
      <c r="A132" s="12"/>
      <c r="B132" s="358"/>
      <c r="C132" s="359"/>
      <c r="D132" s="360"/>
      <c r="E132" s="116" t="s">
        <v>70</v>
      </c>
      <c r="F132" s="5"/>
      <c r="G132" s="175">
        <v>3092.73</v>
      </c>
      <c r="H132" s="175">
        <f>SUM(G132)*H145</f>
        <v>108029.0589</v>
      </c>
      <c r="I132" s="175"/>
      <c r="J132" s="175">
        <v>3092.73</v>
      </c>
      <c r="K132" s="175">
        <f>SUM(J132)*H145</f>
        <v>108029.0589</v>
      </c>
      <c r="L132" s="175"/>
      <c r="M132" s="175">
        <v>3092.73</v>
      </c>
      <c r="N132" s="175">
        <f>SUM(M132)*J145</f>
        <v>111925.89869999999</v>
      </c>
      <c r="O132" s="175"/>
      <c r="P132" s="175">
        <v>3092.73</v>
      </c>
      <c r="Q132" s="175">
        <f>SUM(P132)*J145</f>
        <v>111925.89869999999</v>
      </c>
      <c r="R132" s="175">
        <f>SUM(G132)+J132+M132+P132</f>
        <v>12370.92</v>
      </c>
      <c r="S132" s="175">
        <f>SUM(H132)+K132+N132+Q132</f>
        <v>439909.91520000005</v>
      </c>
      <c r="U132" s="9"/>
      <c r="V132" s="8"/>
      <c r="W132" s="9"/>
    </row>
    <row r="133" spans="1:23" ht="25.5" customHeight="1">
      <c r="A133" s="12"/>
      <c r="B133" s="358"/>
      <c r="C133" s="359"/>
      <c r="D133" s="360"/>
      <c r="E133" s="116" t="s">
        <v>2</v>
      </c>
      <c r="F133" s="5"/>
      <c r="G133" s="175">
        <v>170.1</v>
      </c>
      <c r="H133" s="175">
        <f>SUM(G133)*H147</f>
        <v>936619.929</v>
      </c>
      <c r="I133" s="175"/>
      <c r="J133" s="175">
        <v>170.1</v>
      </c>
      <c r="K133" s="175">
        <f>SUM(J133)*H147</f>
        <v>936619.929</v>
      </c>
      <c r="L133" s="175"/>
      <c r="M133" s="175">
        <v>170.1</v>
      </c>
      <c r="N133" s="175">
        <f>SUM(M133)*J147</f>
        <v>991051.929</v>
      </c>
      <c r="O133" s="175"/>
      <c r="P133" s="175">
        <v>170.1</v>
      </c>
      <c r="Q133" s="175">
        <f>SUM(P133)*J147</f>
        <v>991051.929</v>
      </c>
      <c r="R133" s="175">
        <f>SUM(G133)+J133+M133+P133</f>
        <v>680.4</v>
      </c>
      <c r="S133" s="175">
        <f>SUM(H133)+K133+N133+Q133</f>
        <v>3855343.716</v>
      </c>
      <c r="U133" s="9"/>
      <c r="V133" s="8"/>
      <c r="W133" s="9"/>
    </row>
    <row r="134" spans="1:23" ht="25.5" customHeight="1">
      <c r="A134" s="92">
        <v>7</v>
      </c>
      <c r="B134" s="255" t="s">
        <v>83</v>
      </c>
      <c r="C134" s="256"/>
      <c r="D134" s="257"/>
      <c r="E134" s="84" t="s">
        <v>80</v>
      </c>
      <c r="F134" s="5"/>
      <c r="G134" s="230"/>
      <c r="H134" s="230">
        <f>H137+H140</f>
        <v>5015.578200000001</v>
      </c>
      <c r="I134" s="230"/>
      <c r="J134" s="230"/>
      <c r="K134" s="230">
        <f>K137+K140</f>
        <v>4464.124100000001</v>
      </c>
      <c r="L134" s="230"/>
      <c r="M134" s="230"/>
      <c r="N134" s="230">
        <f>N137+N140</f>
        <v>4969.738699999999</v>
      </c>
      <c r="O134" s="230"/>
      <c r="P134" s="230"/>
      <c r="Q134" s="230">
        <f>Q137+Q140</f>
        <v>5355.5061</v>
      </c>
      <c r="R134" s="230"/>
      <c r="S134" s="230">
        <f>S137+S140</f>
        <v>19804.947099999998</v>
      </c>
      <c r="U134" s="9"/>
      <c r="V134" s="8"/>
      <c r="W134" s="9"/>
    </row>
    <row r="135" spans="1:23" ht="25.5" customHeight="1">
      <c r="A135" s="92"/>
      <c r="B135" s="164"/>
      <c r="C135" s="165"/>
      <c r="D135" s="166"/>
      <c r="E135" s="170" t="s">
        <v>70</v>
      </c>
      <c r="F135" s="5"/>
      <c r="G135" s="54">
        <f>G138+G141</f>
        <v>12.75</v>
      </c>
      <c r="H135" s="54">
        <f aca="true" t="shared" si="14" ref="H135:Q136">H138+H141</f>
        <v>445.3575</v>
      </c>
      <c r="I135" s="54">
        <f t="shared" si="14"/>
        <v>0</v>
      </c>
      <c r="J135" s="54">
        <f t="shared" si="14"/>
        <v>11.15</v>
      </c>
      <c r="K135" s="54">
        <f t="shared" si="14"/>
        <v>389.4695</v>
      </c>
      <c r="L135" s="54">
        <f t="shared" si="14"/>
        <v>0</v>
      </c>
      <c r="M135" s="54">
        <f t="shared" si="14"/>
        <v>11.75</v>
      </c>
      <c r="N135" s="54">
        <f t="shared" si="14"/>
        <v>425.23249999999996</v>
      </c>
      <c r="O135" s="54">
        <f t="shared" si="14"/>
        <v>0</v>
      </c>
      <c r="P135" s="54">
        <f t="shared" si="14"/>
        <v>12.75</v>
      </c>
      <c r="Q135" s="54">
        <f t="shared" si="14"/>
        <v>461.42249999999996</v>
      </c>
      <c r="R135" s="54">
        <f>SUM(G135)+J135+M135+P135</f>
        <v>48.4</v>
      </c>
      <c r="S135" s="54">
        <f aca="true" t="shared" si="15" ref="S135:S142">SUM(H135)+K135+N135+Q135</f>
        <v>1721.4819999999997</v>
      </c>
      <c r="U135" s="9"/>
      <c r="V135" s="8"/>
      <c r="W135" s="9"/>
    </row>
    <row r="136" spans="1:23" ht="25.5" customHeight="1">
      <c r="A136" s="92"/>
      <c r="B136" s="164"/>
      <c r="C136" s="165"/>
      <c r="D136" s="166"/>
      <c r="E136" s="170" t="s">
        <v>73</v>
      </c>
      <c r="F136" s="5"/>
      <c r="G136" s="54">
        <f>G139+G142</f>
        <v>0.83</v>
      </c>
      <c r="H136" s="54">
        <f t="shared" si="14"/>
        <v>4570.2207</v>
      </c>
      <c r="I136" s="54">
        <f aca="true" t="shared" si="16" ref="I136:Q136">I139+I142</f>
        <v>0</v>
      </c>
      <c r="J136" s="54">
        <f t="shared" si="16"/>
        <v>0.74</v>
      </c>
      <c r="K136" s="54">
        <v>4074.66</v>
      </c>
      <c r="L136" s="54">
        <f t="shared" si="16"/>
        <v>0</v>
      </c>
      <c r="M136" s="54">
        <f t="shared" si="16"/>
        <v>0.78</v>
      </c>
      <c r="N136" s="54">
        <f t="shared" si="16"/>
        <v>4544.5062</v>
      </c>
      <c r="O136" s="54">
        <f t="shared" si="16"/>
        <v>0</v>
      </c>
      <c r="P136" s="54">
        <f t="shared" si="16"/>
        <v>0.84</v>
      </c>
      <c r="Q136" s="54">
        <f t="shared" si="16"/>
        <v>4894.0836</v>
      </c>
      <c r="R136" s="54">
        <f>SUM(G136)+J136+M136+P136</f>
        <v>3.1899999999999995</v>
      </c>
      <c r="S136" s="54">
        <f t="shared" si="15"/>
        <v>18083.4705</v>
      </c>
      <c r="U136" s="9"/>
      <c r="V136" s="8"/>
      <c r="W136" s="9"/>
    </row>
    <row r="137" spans="1:23" ht="25.5" customHeight="1">
      <c r="A137" s="92"/>
      <c r="B137" s="285" t="s">
        <v>84</v>
      </c>
      <c r="C137" s="286"/>
      <c r="D137" s="287"/>
      <c r="E137" s="171"/>
      <c r="F137" s="5"/>
      <c r="G137" s="175"/>
      <c r="H137" s="175">
        <f>SUM(H138:H139)</f>
        <v>675.5519</v>
      </c>
      <c r="I137" s="175"/>
      <c r="J137" s="175"/>
      <c r="K137" s="175">
        <f>SUM(K138:K139)</f>
        <v>124.0978</v>
      </c>
      <c r="L137" s="175"/>
      <c r="M137" s="175"/>
      <c r="N137" s="175">
        <f>SUM(N138:N139)</f>
        <v>385.7674</v>
      </c>
      <c r="O137" s="175"/>
      <c r="P137" s="175"/>
      <c r="Q137" s="175">
        <f>SUM(Q138:Q139)</f>
        <v>771.5348</v>
      </c>
      <c r="R137" s="175"/>
      <c r="S137" s="175">
        <f t="shared" si="15"/>
        <v>1956.9519</v>
      </c>
      <c r="U137" s="9"/>
      <c r="V137" s="8"/>
      <c r="W137" s="9"/>
    </row>
    <row r="138" spans="1:23" ht="25.5" customHeight="1">
      <c r="A138" s="92"/>
      <c r="B138" s="167"/>
      <c r="C138" s="168"/>
      <c r="D138" s="169"/>
      <c r="E138" s="171" t="s">
        <v>70</v>
      </c>
      <c r="F138" s="5"/>
      <c r="G138" s="175">
        <v>2</v>
      </c>
      <c r="H138" s="175">
        <f>SUM(G138)*H145</f>
        <v>69.86</v>
      </c>
      <c r="I138" s="175"/>
      <c r="J138" s="175">
        <v>0.4</v>
      </c>
      <c r="K138" s="175">
        <f>SUM(J138)*H145</f>
        <v>13.972000000000001</v>
      </c>
      <c r="L138" s="175"/>
      <c r="M138" s="175">
        <v>1</v>
      </c>
      <c r="N138" s="175">
        <f>SUM(M138)*J145</f>
        <v>36.19</v>
      </c>
      <c r="O138" s="175"/>
      <c r="P138" s="175">
        <v>2</v>
      </c>
      <c r="Q138" s="175">
        <f>SUM(P138)*J145</f>
        <v>72.38</v>
      </c>
      <c r="R138" s="175">
        <f>SUM(G138)+J138+M138+P138</f>
        <v>5.4</v>
      </c>
      <c r="S138" s="175">
        <f t="shared" si="15"/>
        <v>192.402</v>
      </c>
      <c r="U138" s="9"/>
      <c r="V138" s="8"/>
      <c r="W138" s="9"/>
    </row>
    <row r="139" spans="1:23" ht="25.5" customHeight="1">
      <c r="A139" s="92"/>
      <c r="B139" s="167"/>
      <c r="C139" s="168"/>
      <c r="D139" s="169"/>
      <c r="E139" s="171" t="s">
        <v>2</v>
      </c>
      <c r="F139" s="5"/>
      <c r="G139" s="175">
        <v>0.11</v>
      </c>
      <c r="H139" s="175">
        <f>SUM(G139)*H147</f>
        <v>605.6919</v>
      </c>
      <c r="I139" s="175"/>
      <c r="J139" s="175">
        <v>0.02</v>
      </c>
      <c r="K139" s="175">
        <f>SUM(J139)*H147</f>
        <v>110.1258</v>
      </c>
      <c r="L139" s="175"/>
      <c r="M139" s="175">
        <v>0.06</v>
      </c>
      <c r="N139" s="175">
        <f>SUM(M139)*J147</f>
        <v>349.5774</v>
      </c>
      <c r="O139" s="175"/>
      <c r="P139" s="175">
        <v>0.12</v>
      </c>
      <c r="Q139" s="175">
        <f>SUM(P139)*J147</f>
        <v>699.1548</v>
      </c>
      <c r="R139" s="175">
        <f>SUM(G139)+J139+M139+P139</f>
        <v>0.31</v>
      </c>
      <c r="S139" s="175">
        <f t="shared" si="15"/>
        <v>1764.5499000000002</v>
      </c>
      <c r="U139" s="9"/>
      <c r="V139" s="8"/>
      <c r="W139" s="9"/>
    </row>
    <row r="140" spans="1:23" ht="25.5" customHeight="1">
      <c r="A140" s="92"/>
      <c r="B140" s="285" t="s">
        <v>85</v>
      </c>
      <c r="C140" s="286"/>
      <c r="D140" s="287"/>
      <c r="E140" s="171"/>
      <c r="F140" s="5"/>
      <c r="G140" s="175"/>
      <c r="H140" s="175">
        <f>SUM(H141:H142)</f>
        <v>4340.0263</v>
      </c>
      <c r="I140" s="175"/>
      <c r="J140" s="175"/>
      <c r="K140" s="175">
        <f>SUM(K141:K142)</f>
        <v>4340.0263</v>
      </c>
      <c r="L140" s="175"/>
      <c r="M140" s="175"/>
      <c r="N140" s="175">
        <f>SUM(N141:N142)</f>
        <v>4583.971299999999</v>
      </c>
      <c r="O140" s="175"/>
      <c r="P140" s="175"/>
      <c r="Q140" s="175">
        <f>SUM(Q141:Q142)</f>
        <v>4583.971299999999</v>
      </c>
      <c r="R140" s="175"/>
      <c r="S140" s="175">
        <f t="shared" si="15"/>
        <v>17847.995199999998</v>
      </c>
      <c r="U140" s="9"/>
      <c r="V140" s="8"/>
      <c r="W140" s="9"/>
    </row>
    <row r="141" spans="1:23" ht="25.5" customHeight="1">
      <c r="A141" s="92"/>
      <c r="B141" s="167"/>
      <c r="C141" s="168"/>
      <c r="D141" s="169"/>
      <c r="E141" s="171" t="s">
        <v>70</v>
      </c>
      <c r="F141" s="5"/>
      <c r="G141" s="175">
        <v>10.75</v>
      </c>
      <c r="H141" s="175">
        <f>SUM(G141)*H145</f>
        <v>375.4975</v>
      </c>
      <c r="I141" s="175"/>
      <c r="J141" s="175">
        <v>10.75</v>
      </c>
      <c r="K141" s="175">
        <f>SUM(J141)*H145</f>
        <v>375.4975</v>
      </c>
      <c r="L141" s="175"/>
      <c r="M141" s="175">
        <v>10.75</v>
      </c>
      <c r="N141" s="175">
        <f>SUM(M141)*J145</f>
        <v>389.04249999999996</v>
      </c>
      <c r="O141" s="175"/>
      <c r="P141" s="175">
        <v>10.75</v>
      </c>
      <c r="Q141" s="175">
        <f>SUM(P141)*J145</f>
        <v>389.04249999999996</v>
      </c>
      <c r="R141" s="175">
        <f>SUM(G141)+J141+M141+P141</f>
        <v>43</v>
      </c>
      <c r="S141" s="175">
        <f t="shared" si="15"/>
        <v>1529.08</v>
      </c>
      <c r="U141" s="9"/>
      <c r="V141" s="8"/>
      <c r="W141" s="9"/>
    </row>
    <row r="142" spans="1:23" ht="25.5" customHeight="1">
      <c r="A142" s="92"/>
      <c r="B142" s="167"/>
      <c r="C142" s="168"/>
      <c r="D142" s="169"/>
      <c r="E142" s="171" t="s">
        <v>2</v>
      </c>
      <c r="F142" s="5"/>
      <c r="G142" s="175">
        <v>0.72</v>
      </c>
      <c r="H142" s="175">
        <f>SUM(G142)*H147</f>
        <v>3964.5288</v>
      </c>
      <c r="I142" s="175"/>
      <c r="J142" s="175">
        <v>0.72</v>
      </c>
      <c r="K142" s="175">
        <f>SUM(J142)*H147</f>
        <v>3964.5288</v>
      </c>
      <c r="L142" s="175"/>
      <c r="M142" s="175">
        <v>0.72</v>
      </c>
      <c r="N142" s="175">
        <f>SUM(M142)*J147</f>
        <v>4194.9288</v>
      </c>
      <c r="O142" s="175"/>
      <c r="P142" s="175">
        <v>0.72</v>
      </c>
      <c r="Q142" s="175">
        <f>SUM(P142)*J147</f>
        <v>4194.9288</v>
      </c>
      <c r="R142" s="175">
        <f>SUM(G142)+J142+M142+P142</f>
        <v>2.88</v>
      </c>
      <c r="S142" s="175">
        <f t="shared" si="15"/>
        <v>16318.9152</v>
      </c>
      <c r="U142" s="9"/>
      <c r="V142" s="8"/>
      <c r="W142" s="9"/>
    </row>
    <row r="143" spans="1:23" ht="38.25" customHeight="1">
      <c r="A143" s="55"/>
      <c r="B143" s="390" t="s">
        <v>19</v>
      </c>
      <c r="C143" s="390"/>
      <c r="D143" s="390"/>
      <c r="E143" s="78"/>
      <c r="F143" s="12">
        <f>SUM(F70:F104)</f>
        <v>1552.1</v>
      </c>
      <c r="G143" s="54"/>
      <c r="H143" s="56">
        <f>H70+H73+H94+H103+H107+H122+H134</f>
        <v>1549342.34838</v>
      </c>
      <c r="I143" s="54">
        <f>SUM(I70:I104)</f>
        <v>0</v>
      </c>
      <c r="J143" s="54">
        <f>J70+J73+J94+J103+J107+J122</f>
        <v>0</v>
      </c>
      <c r="K143" s="54">
        <f>K70+K73+K94+K103+K107+K122+K134</f>
        <v>1580475.69131</v>
      </c>
      <c r="L143" s="54">
        <f>SUM(L70:L104)</f>
        <v>0</v>
      </c>
      <c r="M143" s="54">
        <f>M70+M73+M94+M103+M107+M122</f>
        <v>0</v>
      </c>
      <c r="N143" s="54">
        <f>N70+N73+N94+N103+N107+N122+N134</f>
        <v>1492367.2437900002</v>
      </c>
      <c r="O143" s="54">
        <f>SUM(O70:O104)</f>
        <v>0</v>
      </c>
      <c r="P143" s="54">
        <f>P70+P73+P94+P103+P107+P122</f>
        <v>0</v>
      </c>
      <c r="Q143" s="54">
        <f>Q70+Q73+Q94+Q103+Q107+Q122+Q134</f>
        <v>1735681.68381</v>
      </c>
      <c r="R143" s="54">
        <f>R70+R73+R94+R103+R107+R122</f>
        <v>0</v>
      </c>
      <c r="S143" s="54">
        <f>S70+S73+S94+S103+S107+S122+S134</f>
        <v>6357866.97459</v>
      </c>
      <c r="U143" s="9"/>
      <c r="V143" s="9"/>
      <c r="W143" s="9"/>
    </row>
    <row r="144" spans="1:23" ht="49.5" customHeight="1">
      <c r="A144" s="48"/>
      <c r="B144" s="391" t="s">
        <v>8</v>
      </c>
      <c r="C144" s="392"/>
      <c r="D144" s="393"/>
      <c r="E144" s="82"/>
      <c r="F144" s="267" t="s">
        <v>95</v>
      </c>
      <c r="G144" s="267"/>
      <c r="H144" s="267"/>
      <c r="I144" s="267"/>
      <c r="J144" s="267"/>
      <c r="K144" s="267"/>
      <c r="L144" s="267"/>
      <c r="M144" s="267"/>
      <c r="N144" s="267"/>
      <c r="O144" s="267"/>
      <c r="P144" s="267"/>
      <c r="Q144" s="267"/>
      <c r="R144" s="267"/>
      <c r="S144" s="267"/>
      <c r="U144" s="9"/>
      <c r="V144" s="9"/>
      <c r="W144" s="9"/>
    </row>
    <row r="145" spans="1:20" s="9" customFormat="1" ht="24.75" customHeight="1">
      <c r="A145" s="138"/>
      <c r="B145" s="139"/>
      <c r="C145" s="139"/>
      <c r="D145" s="139"/>
      <c r="E145" s="139"/>
      <c r="F145" s="129" t="s">
        <v>18</v>
      </c>
      <c r="G145" s="129" t="s">
        <v>18</v>
      </c>
      <c r="H145" s="140">
        <v>34.93</v>
      </c>
      <c r="I145" s="140" t="s">
        <v>16</v>
      </c>
      <c r="J145" s="140">
        <v>36.19</v>
      </c>
      <c r="K145" s="141"/>
      <c r="L145" s="141"/>
      <c r="M145" s="141"/>
      <c r="N145" s="141"/>
      <c r="O145" s="141"/>
      <c r="P145" s="141"/>
      <c r="Q145" s="141"/>
      <c r="R145" s="141"/>
      <c r="S145" s="141"/>
      <c r="T145" s="117"/>
    </row>
    <row r="146" spans="1:20" s="9" customFormat="1" ht="55.5" customHeight="1">
      <c r="A146" s="138"/>
      <c r="B146" s="139"/>
      <c r="C146" s="139"/>
      <c r="D146" s="139"/>
      <c r="E146" s="139"/>
      <c r="F146" s="129" t="s">
        <v>13</v>
      </c>
      <c r="G146" s="129" t="s">
        <v>32</v>
      </c>
      <c r="H146" s="140">
        <v>49.12</v>
      </c>
      <c r="I146" s="140"/>
      <c r="J146" s="140">
        <v>49.12</v>
      </c>
      <c r="K146" s="141"/>
      <c r="L146" s="141"/>
      <c r="M146" s="142" t="s">
        <v>74</v>
      </c>
      <c r="N146" s="141" t="s">
        <v>75</v>
      </c>
      <c r="O146" s="141"/>
      <c r="P146" s="141" t="s">
        <v>13</v>
      </c>
      <c r="Q146" s="141"/>
      <c r="R146" s="141"/>
      <c r="S146" s="141"/>
      <c r="T146" s="117"/>
    </row>
    <row r="147" spans="1:20" s="9" customFormat="1" ht="24" customHeight="1">
      <c r="A147" s="138"/>
      <c r="B147" s="139"/>
      <c r="C147" s="139"/>
      <c r="D147" s="139"/>
      <c r="E147" s="139"/>
      <c r="F147" s="129"/>
      <c r="G147" s="129"/>
      <c r="H147" s="143">
        <v>5506.29</v>
      </c>
      <c r="I147" s="143"/>
      <c r="J147" s="143">
        <v>5826.29</v>
      </c>
      <c r="K147" s="141"/>
      <c r="L147" s="141"/>
      <c r="M147" s="141" t="s">
        <v>76</v>
      </c>
      <c r="N147" s="141">
        <v>0.06054</v>
      </c>
      <c r="O147" s="141"/>
      <c r="P147" s="141">
        <v>0.05688</v>
      </c>
      <c r="Q147" s="144"/>
      <c r="R147" s="144"/>
      <c r="S147" s="145"/>
      <c r="T147" s="117"/>
    </row>
    <row r="148" spans="1:20" s="9" customFormat="1" ht="21" customHeight="1">
      <c r="A148" s="138"/>
      <c r="B148" s="139"/>
      <c r="C148" s="139"/>
      <c r="D148" s="139"/>
      <c r="E148" s="139"/>
      <c r="F148" s="129"/>
      <c r="G148" s="129"/>
      <c r="H148" s="143">
        <v>5506.29</v>
      </c>
      <c r="I148" s="143"/>
      <c r="J148" s="143">
        <v>5826.29</v>
      </c>
      <c r="K148" s="141"/>
      <c r="L148" s="141"/>
      <c r="M148" s="141" t="s">
        <v>77</v>
      </c>
      <c r="N148" s="141">
        <v>0.06054</v>
      </c>
      <c r="O148" s="141"/>
      <c r="P148" s="141">
        <v>0.05688</v>
      </c>
      <c r="Q148" s="389"/>
      <c r="R148" s="389"/>
      <c r="S148" s="389"/>
      <c r="T148" s="117"/>
    </row>
    <row r="149" spans="1:20" s="9" customFormat="1" ht="15" customHeight="1">
      <c r="A149" s="138"/>
      <c r="B149" s="139"/>
      <c r="C149" s="139"/>
      <c r="D149" s="139"/>
      <c r="E149" s="139"/>
      <c r="F149" s="129"/>
      <c r="G149" s="129"/>
      <c r="H149" s="143"/>
      <c r="I149" s="143"/>
      <c r="J149" s="143"/>
      <c r="K149" s="141"/>
      <c r="L149" s="141"/>
      <c r="M149" s="141"/>
      <c r="N149" s="141"/>
      <c r="O149" s="141"/>
      <c r="P149" s="141"/>
      <c r="Q149" s="389"/>
      <c r="R149" s="389"/>
      <c r="S149" s="389"/>
      <c r="T149" s="117"/>
    </row>
    <row r="150" spans="1:20" s="9" customFormat="1" ht="13.5" customHeight="1">
      <c r="A150" s="138"/>
      <c r="B150" s="139"/>
      <c r="C150" s="139"/>
      <c r="D150" s="139"/>
      <c r="E150" s="139"/>
      <c r="F150" s="129"/>
      <c r="G150" s="129"/>
      <c r="H150" s="129"/>
      <c r="I150" s="129"/>
      <c r="J150" s="129"/>
      <c r="K150" s="141"/>
      <c r="L150" s="141"/>
      <c r="M150" s="141"/>
      <c r="N150" s="141"/>
      <c r="O150" s="141"/>
      <c r="P150" s="141"/>
      <c r="Q150" s="389"/>
      <c r="R150" s="389"/>
      <c r="S150" s="389"/>
      <c r="T150" s="117"/>
    </row>
    <row r="151" spans="1:20" s="9" customFormat="1" ht="15.75" customHeight="1">
      <c r="A151" s="138"/>
      <c r="B151" s="139"/>
      <c r="C151" s="139"/>
      <c r="D151" s="139"/>
      <c r="E151" s="139"/>
      <c r="F151" s="129"/>
      <c r="G151" s="129"/>
      <c r="H151" s="129"/>
      <c r="I151" s="129"/>
      <c r="J151" s="129"/>
      <c r="K151" s="141"/>
      <c r="L151" s="141"/>
      <c r="M151" s="141"/>
      <c r="N151" s="141"/>
      <c r="O151" s="141"/>
      <c r="P151" s="141"/>
      <c r="Q151" s="141"/>
      <c r="R151" s="141"/>
      <c r="S151" s="141"/>
      <c r="T151" s="117"/>
    </row>
    <row r="152" spans="1:20" s="9" customFormat="1" ht="26.25" customHeight="1" hidden="1">
      <c r="A152" s="379" t="s">
        <v>62</v>
      </c>
      <c r="B152" s="379"/>
      <c r="C152" s="379"/>
      <c r="D152" s="379"/>
      <c r="E152" s="379"/>
      <c r="F152" s="379"/>
      <c r="G152" s="379"/>
      <c r="H152" s="379"/>
      <c r="I152" s="379"/>
      <c r="J152" s="379"/>
      <c r="K152" s="379"/>
      <c r="L152" s="379"/>
      <c r="M152" s="379"/>
      <c r="N152" s="379"/>
      <c r="O152" s="379"/>
      <c r="P152" s="379"/>
      <c r="Q152" s="379"/>
      <c r="R152" s="379"/>
      <c r="S152" s="379"/>
      <c r="T152" s="117"/>
    </row>
    <row r="153" spans="1:20" s="9" customFormat="1" ht="35.25" hidden="1">
      <c r="A153" s="378" t="s">
        <v>15</v>
      </c>
      <c r="B153" s="380" t="s">
        <v>0</v>
      </c>
      <c r="C153" s="381"/>
      <c r="D153" s="382"/>
      <c r="E153" s="146"/>
      <c r="F153" s="376" t="s">
        <v>1</v>
      </c>
      <c r="G153" s="376"/>
      <c r="H153" s="376"/>
      <c r="I153" s="376" t="s">
        <v>3</v>
      </c>
      <c r="J153" s="376"/>
      <c r="K153" s="376"/>
      <c r="L153" s="376" t="s">
        <v>4</v>
      </c>
      <c r="M153" s="376"/>
      <c r="N153" s="376"/>
      <c r="O153" s="376" t="s">
        <v>6</v>
      </c>
      <c r="P153" s="376"/>
      <c r="Q153" s="376"/>
      <c r="R153" s="376" t="s">
        <v>7</v>
      </c>
      <c r="S153" s="376"/>
      <c r="T153" s="117"/>
    </row>
    <row r="154" spans="1:20" s="9" customFormat="1" ht="35.25" hidden="1">
      <c r="A154" s="378"/>
      <c r="B154" s="383"/>
      <c r="C154" s="384"/>
      <c r="D154" s="385"/>
      <c r="E154" s="147"/>
      <c r="F154" s="109"/>
      <c r="G154" s="148" t="s">
        <v>10</v>
      </c>
      <c r="H154" s="148" t="s">
        <v>5</v>
      </c>
      <c r="I154" s="148" t="s">
        <v>10</v>
      </c>
      <c r="J154" s="148" t="s">
        <v>10</v>
      </c>
      <c r="K154" s="148" t="s">
        <v>5</v>
      </c>
      <c r="L154" s="148" t="s">
        <v>10</v>
      </c>
      <c r="M154" s="148" t="s">
        <v>10</v>
      </c>
      <c r="N154" s="148" t="s">
        <v>5</v>
      </c>
      <c r="O154" s="148" t="s">
        <v>10</v>
      </c>
      <c r="P154" s="148" t="s">
        <v>10</v>
      </c>
      <c r="Q154" s="148" t="s">
        <v>5</v>
      </c>
      <c r="R154" s="148" t="s">
        <v>10</v>
      </c>
      <c r="S154" s="148" t="s">
        <v>5</v>
      </c>
      <c r="T154" s="117"/>
    </row>
    <row r="155" spans="1:22" s="9" customFormat="1" ht="32.25" customHeight="1" hidden="1">
      <c r="A155" s="149">
        <v>1</v>
      </c>
      <c r="B155" s="369" t="s">
        <v>33</v>
      </c>
      <c r="C155" s="370"/>
      <c r="D155" s="371"/>
      <c r="E155" s="150"/>
      <c r="F155" s="149">
        <v>14.8</v>
      </c>
      <c r="G155" s="151">
        <v>3.3</v>
      </c>
      <c r="H155" s="151">
        <f>G155*J178</f>
        <v>97.152</v>
      </c>
      <c r="I155" s="151">
        <v>14.8</v>
      </c>
      <c r="J155" s="151">
        <v>3.3</v>
      </c>
      <c r="K155" s="151">
        <f>J155*J178</f>
        <v>97.152</v>
      </c>
      <c r="L155" s="151">
        <v>15</v>
      </c>
      <c r="M155" s="151">
        <v>3.4</v>
      </c>
      <c r="N155" s="151">
        <f>M155*J178</f>
        <v>100.096</v>
      </c>
      <c r="O155" s="151">
        <v>15</v>
      </c>
      <c r="P155" s="151">
        <v>3.3</v>
      </c>
      <c r="Q155" s="151">
        <f>P155*J178</f>
        <v>97.152</v>
      </c>
      <c r="R155" s="151">
        <f>G155+J155+M155+P155</f>
        <v>13.3</v>
      </c>
      <c r="S155" s="151">
        <f>H155+K155+N155+Q155</f>
        <v>391.55199999999996</v>
      </c>
      <c r="T155" s="117" t="s">
        <v>21</v>
      </c>
      <c r="U155" s="8"/>
      <c r="V155" s="8"/>
    </row>
    <row r="156" spans="1:22" s="9" customFormat="1" ht="32.25" customHeight="1" hidden="1">
      <c r="A156" s="149">
        <v>2</v>
      </c>
      <c r="B156" s="369" t="s">
        <v>41</v>
      </c>
      <c r="C156" s="370"/>
      <c r="D156" s="371"/>
      <c r="E156" s="150"/>
      <c r="F156" s="152"/>
      <c r="G156" s="151">
        <f>G157+G158+G159+G160+G161+G162</f>
        <v>4062.7</v>
      </c>
      <c r="H156" s="151">
        <f>H157+H158+H159+H160+H161+H162</f>
        <v>130684.578</v>
      </c>
      <c r="I156" s="151"/>
      <c r="J156" s="151">
        <f>J157+J158+J159+J160+J161+J162</f>
        <v>3746</v>
      </c>
      <c r="K156" s="151">
        <f>K157+K158+K159+K160+K161+K162</f>
        <v>121933.6</v>
      </c>
      <c r="L156" s="151"/>
      <c r="M156" s="151">
        <f>M157+M158+M159+M160+M161+M162</f>
        <v>3920.1</v>
      </c>
      <c r="N156" s="151">
        <f>N157+N158+N159+N160+N161+N162</f>
        <v>126797.51400000001</v>
      </c>
      <c r="O156" s="151"/>
      <c r="P156" s="151">
        <f>P157+P158+P159+P160+P161+P162</f>
        <v>3955.8</v>
      </c>
      <c r="Q156" s="151">
        <f>Q157+Q158+Q159+Q160+Q161+Q162</f>
        <v>128166.672</v>
      </c>
      <c r="R156" s="151">
        <f>R157+R158+R159+R160+R161+R162</f>
        <v>15684.6</v>
      </c>
      <c r="S156" s="151">
        <f>S157+S158+S159+S160+S161+S162</f>
        <v>507582.364</v>
      </c>
      <c r="T156" s="117"/>
      <c r="U156" s="8"/>
      <c r="V156" s="8"/>
    </row>
    <row r="157" spans="1:22" s="9" customFormat="1" ht="25.5" customHeight="1" hidden="1">
      <c r="A157" s="149"/>
      <c r="B157" s="365" t="s">
        <v>34</v>
      </c>
      <c r="C157" s="366"/>
      <c r="D157" s="367"/>
      <c r="E157" s="153"/>
      <c r="F157" s="152">
        <v>3068.8</v>
      </c>
      <c r="G157" s="154">
        <v>520</v>
      </c>
      <c r="H157" s="154">
        <f>G157*J178</f>
        <v>15308.800000000001</v>
      </c>
      <c r="I157" s="154">
        <v>2511</v>
      </c>
      <c r="J157" s="154">
        <v>185</v>
      </c>
      <c r="K157" s="154">
        <f>J157*J178</f>
        <v>5446.400000000001</v>
      </c>
      <c r="L157" s="154">
        <v>2511</v>
      </c>
      <c r="M157" s="154">
        <v>590</v>
      </c>
      <c r="N157" s="154">
        <f>M157*J178</f>
        <v>17369.600000000002</v>
      </c>
      <c r="O157" s="154">
        <v>2511</v>
      </c>
      <c r="P157" s="154">
        <v>342</v>
      </c>
      <c r="Q157" s="154">
        <f>P157*J178</f>
        <v>10068.48</v>
      </c>
      <c r="R157" s="154">
        <f aca="true" t="shared" si="17" ref="R157:S163">G157+J157+M157+P157</f>
        <v>1637</v>
      </c>
      <c r="S157" s="154">
        <f t="shared" si="17"/>
        <v>48193.28</v>
      </c>
      <c r="T157" s="117" t="s">
        <v>21</v>
      </c>
      <c r="U157" s="8"/>
      <c r="V157" s="8"/>
    </row>
    <row r="158" spans="1:22" s="9" customFormat="1" ht="27.75" customHeight="1" hidden="1">
      <c r="A158" s="149"/>
      <c r="B158" s="365" t="s">
        <v>35</v>
      </c>
      <c r="C158" s="366"/>
      <c r="D158" s="367"/>
      <c r="E158" s="153"/>
      <c r="F158" s="152">
        <v>609</v>
      </c>
      <c r="G158" s="154">
        <v>516</v>
      </c>
      <c r="H158" s="154">
        <f>G158*J178</f>
        <v>15191.04</v>
      </c>
      <c r="I158" s="154">
        <v>609</v>
      </c>
      <c r="J158" s="154">
        <v>516</v>
      </c>
      <c r="K158" s="154">
        <f>J158*J178</f>
        <v>15191.04</v>
      </c>
      <c r="L158" s="154">
        <v>609</v>
      </c>
      <c r="M158" s="154">
        <v>516</v>
      </c>
      <c r="N158" s="154">
        <f>M158*J178</f>
        <v>15191.04</v>
      </c>
      <c r="O158" s="154">
        <v>609</v>
      </c>
      <c r="P158" s="154">
        <v>516</v>
      </c>
      <c r="Q158" s="154">
        <f>P158*J178</f>
        <v>15191.04</v>
      </c>
      <c r="R158" s="154">
        <f t="shared" si="17"/>
        <v>2064</v>
      </c>
      <c r="S158" s="154">
        <f t="shared" si="17"/>
        <v>60764.16</v>
      </c>
      <c r="T158" s="117" t="s">
        <v>21</v>
      </c>
      <c r="U158" s="8"/>
      <c r="V158" s="8"/>
    </row>
    <row r="159" spans="1:22" s="9" customFormat="1" ht="26.25" customHeight="1" hidden="1">
      <c r="A159" s="149"/>
      <c r="B159" s="365" t="s">
        <v>36</v>
      </c>
      <c r="C159" s="366"/>
      <c r="D159" s="367"/>
      <c r="E159" s="153"/>
      <c r="F159" s="152">
        <v>725.1</v>
      </c>
      <c r="G159" s="154">
        <v>616</v>
      </c>
      <c r="H159" s="154">
        <f>G159*J179</f>
        <v>22490.16</v>
      </c>
      <c r="I159" s="154">
        <v>885.2</v>
      </c>
      <c r="J159" s="154">
        <v>752</v>
      </c>
      <c r="K159" s="154">
        <f>J159*J179</f>
        <v>27455.519999999997</v>
      </c>
      <c r="L159" s="154">
        <v>727.3</v>
      </c>
      <c r="M159" s="154">
        <v>618</v>
      </c>
      <c r="N159" s="154">
        <f>M159*J179</f>
        <v>22563.18</v>
      </c>
      <c r="O159" s="154">
        <v>892.61</v>
      </c>
      <c r="P159" s="154">
        <v>759</v>
      </c>
      <c r="Q159" s="154">
        <f>P159*J179</f>
        <v>27711.09</v>
      </c>
      <c r="R159" s="154">
        <f t="shared" si="17"/>
        <v>2745</v>
      </c>
      <c r="S159" s="154">
        <f t="shared" si="17"/>
        <v>100219.94999999998</v>
      </c>
      <c r="T159" s="117" t="s">
        <v>21</v>
      </c>
      <c r="U159" s="8"/>
      <c r="V159" s="8"/>
    </row>
    <row r="160" spans="1:22" s="9" customFormat="1" ht="24" customHeight="1" hidden="1">
      <c r="A160" s="149"/>
      <c r="B160" s="368" t="s">
        <v>37</v>
      </c>
      <c r="C160" s="368"/>
      <c r="D160" s="368"/>
      <c r="E160" s="155"/>
      <c r="F160" s="152">
        <v>1639</v>
      </c>
      <c r="G160" s="154">
        <v>951</v>
      </c>
      <c r="H160" s="154">
        <f>G160*J179</f>
        <v>34721.009999999995</v>
      </c>
      <c r="I160" s="154">
        <v>1584</v>
      </c>
      <c r="J160" s="154">
        <v>896</v>
      </c>
      <c r="K160" s="154">
        <f>J160*J179</f>
        <v>32712.96</v>
      </c>
      <c r="L160" s="154">
        <v>1344</v>
      </c>
      <c r="M160" s="154">
        <v>993</v>
      </c>
      <c r="N160" s="154">
        <f>M160*J179</f>
        <v>36254.43</v>
      </c>
      <c r="O160" s="154">
        <v>1639</v>
      </c>
      <c r="P160" s="154">
        <v>897</v>
      </c>
      <c r="Q160" s="154">
        <f>P160*J179</f>
        <v>32749.469999999998</v>
      </c>
      <c r="R160" s="154">
        <f t="shared" si="17"/>
        <v>3737</v>
      </c>
      <c r="S160" s="154">
        <f t="shared" si="17"/>
        <v>136437.87</v>
      </c>
      <c r="T160" s="117" t="s">
        <v>21</v>
      </c>
      <c r="U160" s="8"/>
      <c r="V160" s="8"/>
    </row>
    <row r="161" spans="1:22" s="9" customFormat="1" ht="24.75" customHeight="1" hidden="1">
      <c r="A161" s="149"/>
      <c r="B161" s="368" t="s">
        <v>38</v>
      </c>
      <c r="C161" s="368"/>
      <c r="D161" s="368"/>
      <c r="E161" s="155"/>
      <c r="F161" s="152">
        <v>53.7</v>
      </c>
      <c r="G161" s="154">
        <v>1393</v>
      </c>
      <c r="H161" s="154">
        <f>G161*J178</f>
        <v>41009.92</v>
      </c>
      <c r="I161" s="154">
        <v>43.6</v>
      </c>
      <c r="J161" s="154">
        <v>1346</v>
      </c>
      <c r="K161" s="154">
        <f>J161*J178</f>
        <v>39626.240000000005</v>
      </c>
      <c r="L161" s="154">
        <v>43.8</v>
      </c>
      <c r="M161" s="154">
        <v>1142</v>
      </c>
      <c r="N161" s="154">
        <f>M161*J178</f>
        <v>33620.48</v>
      </c>
      <c r="O161" s="154">
        <v>43.8</v>
      </c>
      <c r="P161" s="154">
        <v>1393</v>
      </c>
      <c r="Q161" s="154">
        <f>P161*J178</f>
        <v>41009.92</v>
      </c>
      <c r="R161" s="154">
        <f t="shared" si="17"/>
        <v>5274</v>
      </c>
      <c r="S161" s="154">
        <f t="shared" si="17"/>
        <v>155266.56</v>
      </c>
      <c r="T161" s="117" t="s">
        <v>21</v>
      </c>
      <c r="U161" s="8"/>
      <c r="V161" s="8"/>
    </row>
    <row r="162" spans="1:22" s="9" customFormat="1" ht="54.75" customHeight="1" hidden="1">
      <c r="A162" s="149"/>
      <c r="B162" s="368" t="s">
        <v>39</v>
      </c>
      <c r="C162" s="368"/>
      <c r="D162" s="368"/>
      <c r="E162" s="155"/>
      <c r="F162" s="152">
        <v>51</v>
      </c>
      <c r="G162" s="154">
        <v>66.7</v>
      </c>
      <c r="H162" s="154">
        <f>G162*J178</f>
        <v>1963.6480000000001</v>
      </c>
      <c r="I162" s="154">
        <v>48</v>
      </c>
      <c r="J162" s="154">
        <v>51</v>
      </c>
      <c r="K162" s="154">
        <f>J162*J178</f>
        <v>1501.44</v>
      </c>
      <c r="L162" s="154">
        <v>48</v>
      </c>
      <c r="M162" s="154">
        <v>61.1</v>
      </c>
      <c r="N162" s="154">
        <f>M162*J178</f>
        <v>1798.784</v>
      </c>
      <c r="O162" s="154">
        <v>51</v>
      </c>
      <c r="P162" s="154">
        <v>48.8</v>
      </c>
      <c r="Q162" s="154">
        <f>P162*J178</f>
        <v>1436.672</v>
      </c>
      <c r="R162" s="154">
        <f t="shared" si="17"/>
        <v>227.60000000000002</v>
      </c>
      <c r="S162" s="154">
        <f t="shared" si="17"/>
        <v>6700.544</v>
      </c>
      <c r="T162" s="117" t="s">
        <v>21</v>
      </c>
      <c r="U162" s="8"/>
      <c r="V162" s="8"/>
    </row>
    <row r="163" spans="1:22" s="9" customFormat="1" ht="24" customHeight="1" hidden="1">
      <c r="A163" s="149">
        <v>3</v>
      </c>
      <c r="B163" s="369" t="s">
        <v>42</v>
      </c>
      <c r="C163" s="370"/>
      <c r="D163" s="371"/>
      <c r="E163" s="150"/>
      <c r="F163" s="152">
        <v>76.86</v>
      </c>
      <c r="G163" s="151">
        <v>201</v>
      </c>
      <c r="H163" s="151">
        <f>G163*J178</f>
        <v>5917.4400000000005</v>
      </c>
      <c r="I163" s="151">
        <v>76.86</v>
      </c>
      <c r="J163" s="151">
        <v>201</v>
      </c>
      <c r="K163" s="151">
        <f>J163*J178</f>
        <v>5917.4400000000005</v>
      </c>
      <c r="L163" s="151">
        <v>76.86</v>
      </c>
      <c r="M163" s="151">
        <v>201</v>
      </c>
      <c r="N163" s="151">
        <f>M163*J178</f>
        <v>5917.4400000000005</v>
      </c>
      <c r="O163" s="151">
        <v>76.86</v>
      </c>
      <c r="P163" s="151">
        <v>201</v>
      </c>
      <c r="Q163" s="151">
        <f>P163*J178</f>
        <v>5917.4400000000005</v>
      </c>
      <c r="R163" s="151">
        <f t="shared" si="17"/>
        <v>804</v>
      </c>
      <c r="S163" s="151">
        <f t="shared" si="17"/>
        <v>23669.760000000002</v>
      </c>
      <c r="T163" s="117" t="s">
        <v>21</v>
      </c>
      <c r="U163" s="8"/>
      <c r="V163" s="8"/>
    </row>
    <row r="164" spans="1:22" s="9" customFormat="1" ht="30.75" customHeight="1" hidden="1">
      <c r="A164" s="149">
        <v>4</v>
      </c>
      <c r="B164" s="369" t="s">
        <v>43</v>
      </c>
      <c r="C164" s="370"/>
      <c r="D164" s="371"/>
      <c r="E164" s="150"/>
      <c r="F164" s="152">
        <v>172</v>
      </c>
      <c r="G164" s="151">
        <f>G165</f>
        <v>23.4</v>
      </c>
      <c r="H164" s="151">
        <f>H165</f>
        <v>688.896</v>
      </c>
      <c r="I164" s="151"/>
      <c r="J164" s="151">
        <f>J165</f>
        <v>23.4</v>
      </c>
      <c r="K164" s="151">
        <f>K165</f>
        <v>688.896</v>
      </c>
      <c r="L164" s="151"/>
      <c r="M164" s="151">
        <f>M165</f>
        <v>23.4</v>
      </c>
      <c r="N164" s="151">
        <f>N165</f>
        <v>688.896</v>
      </c>
      <c r="O164" s="151"/>
      <c r="P164" s="151">
        <f>P165</f>
        <v>23.1</v>
      </c>
      <c r="Q164" s="151">
        <f>Q165</f>
        <v>680.0640000000001</v>
      </c>
      <c r="R164" s="151">
        <f>R165</f>
        <v>93.29999999999998</v>
      </c>
      <c r="S164" s="151">
        <f>S165</f>
        <v>2746.7520000000004</v>
      </c>
      <c r="T164" s="117" t="s">
        <v>21</v>
      </c>
      <c r="U164" s="8"/>
      <c r="V164" s="8"/>
    </row>
    <row r="165" spans="1:22" s="9" customFormat="1" ht="30.75" customHeight="1" hidden="1">
      <c r="A165" s="149"/>
      <c r="B165" s="365" t="s">
        <v>44</v>
      </c>
      <c r="C165" s="366"/>
      <c r="D165" s="367"/>
      <c r="E165" s="153"/>
      <c r="F165" s="152"/>
      <c r="G165" s="154">
        <v>23.4</v>
      </c>
      <c r="H165" s="154">
        <f>G165*J178</f>
        <v>688.896</v>
      </c>
      <c r="I165" s="154"/>
      <c r="J165" s="154">
        <v>23.4</v>
      </c>
      <c r="K165" s="154">
        <f>J165*J178</f>
        <v>688.896</v>
      </c>
      <c r="L165" s="154"/>
      <c r="M165" s="154">
        <v>23.4</v>
      </c>
      <c r="N165" s="154">
        <f>M165*J178</f>
        <v>688.896</v>
      </c>
      <c r="O165" s="154"/>
      <c r="P165" s="154">
        <v>23.1</v>
      </c>
      <c r="Q165" s="154">
        <f>P165*J178</f>
        <v>680.0640000000001</v>
      </c>
      <c r="R165" s="154">
        <f>G165+J165+M165+P165</f>
        <v>93.29999999999998</v>
      </c>
      <c r="S165" s="154">
        <f>H165+K165+N165+Q165</f>
        <v>2746.7520000000004</v>
      </c>
      <c r="T165" s="117"/>
      <c r="U165" s="8"/>
      <c r="V165" s="8"/>
    </row>
    <row r="166" spans="1:22" s="9" customFormat="1" ht="30.75" customHeight="1" hidden="1">
      <c r="A166" s="149">
        <v>5</v>
      </c>
      <c r="B166" s="369" t="s">
        <v>47</v>
      </c>
      <c r="C166" s="370"/>
      <c r="D166" s="371"/>
      <c r="E166" s="150"/>
      <c r="F166" s="152"/>
      <c r="G166" s="151">
        <f>G167+G168+G169+G170+G171+G172</f>
        <v>127.91</v>
      </c>
      <c r="H166" s="151">
        <f>H167+H168+H169+H170+H171+H172</f>
        <v>3854.7524000000003</v>
      </c>
      <c r="I166" s="151"/>
      <c r="J166" s="151">
        <f>J167+J168+J169+J171+J172+J170</f>
        <v>122.46000000000001</v>
      </c>
      <c r="K166" s="151">
        <f>K167+K168+K169+K170+K171+K172</f>
        <v>3672.3874</v>
      </c>
      <c r="L166" s="151"/>
      <c r="M166" s="151">
        <f>M167+M168+M169+M170+M171+M172</f>
        <v>110.28999999999999</v>
      </c>
      <c r="N166" s="151">
        <f>N167+N168+N169+N170+N171+N172</f>
        <v>3314.1026</v>
      </c>
      <c r="O166" s="151"/>
      <c r="P166" s="151">
        <f>P167+P168+P169+P170+P171+P172</f>
        <v>122.81</v>
      </c>
      <c r="Q166" s="151">
        <f>Q167+Q168+Q169+Q170+Q171+Q172</f>
        <v>3701.0734</v>
      </c>
      <c r="R166" s="151">
        <f>R167+R168+R169+R170+R171+R172</f>
        <v>483.46999999999997</v>
      </c>
      <c r="S166" s="151">
        <f>S167+S168+S169+S170+S171+S172</f>
        <v>14542.3158</v>
      </c>
      <c r="T166" s="117"/>
      <c r="U166" s="8"/>
      <c r="V166" s="8"/>
    </row>
    <row r="167" spans="1:22" s="9" customFormat="1" ht="30.75" customHeight="1" hidden="1">
      <c r="A167" s="149"/>
      <c r="B167" s="365" t="s">
        <v>48</v>
      </c>
      <c r="C167" s="366"/>
      <c r="D167" s="367"/>
      <c r="E167" s="153"/>
      <c r="F167" s="152"/>
      <c r="G167" s="154">
        <v>7.71</v>
      </c>
      <c r="H167" s="154">
        <f>G167*J178</f>
        <v>226.9824</v>
      </c>
      <c r="I167" s="154"/>
      <c r="J167" s="154">
        <v>6.36</v>
      </c>
      <c r="K167" s="154">
        <f>J167*J178</f>
        <v>187.2384</v>
      </c>
      <c r="L167" s="154"/>
      <c r="M167" s="154">
        <v>3.69</v>
      </c>
      <c r="N167" s="154">
        <f>M167*J178</f>
        <v>108.6336</v>
      </c>
      <c r="O167" s="154"/>
      <c r="P167" s="154">
        <v>6.11</v>
      </c>
      <c r="Q167" s="154">
        <f>P167*J178</f>
        <v>179.87840000000003</v>
      </c>
      <c r="R167" s="154">
        <f aca="true" t="shared" si="18" ref="R167:S172">G167+J167+M167+P167</f>
        <v>23.87</v>
      </c>
      <c r="S167" s="154">
        <f t="shared" si="18"/>
        <v>702.7328000000001</v>
      </c>
      <c r="T167" s="117"/>
      <c r="U167" s="8"/>
      <c r="V167" s="8"/>
    </row>
    <row r="168" spans="1:22" s="9" customFormat="1" ht="30.75" customHeight="1" hidden="1">
      <c r="A168" s="149"/>
      <c r="B168" s="365" t="s">
        <v>49</v>
      </c>
      <c r="C168" s="366"/>
      <c r="D168" s="367"/>
      <c r="E168" s="153"/>
      <c r="F168" s="152"/>
      <c r="G168" s="154">
        <v>40</v>
      </c>
      <c r="H168" s="154">
        <f>G168*J178</f>
        <v>1177.6000000000001</v>
      </c>
      <c r="I168" s="154"/>
      <c r="J168" s="154">
        <v>40</v>
      </c>
      <c r="K168" s="154">
        <f>J168*J178</f>
        <v>1177.6000000000001</v>
      </c>
      <c r="L168" s="154"/>
      <c r="M168" s="154">
        <v>40</v>
      </c>
      <c r="N168" s="154">
        <f>M168*J178</f>
        <v>1177.6000000000001</v>
      </c>
      <c r="O168" s="154"/>
      <c r="P168" s="154">
        <v>40</v>
      </c>
      <c r="Q168" s="154">
        <f>P168*J178</f>
        <v>1177.6000000000001</v>
      </c>
      <c r="R168" s="154">
        <f t="shared" si="18"/>
        <v>160</v>
      </c>
      <c r="S168" s="154">
        <f t="shared" si="18"/>
        <v>4710.400000000001</v>
      </c>
      <c r="T168" s="117"/>
      <c r="U168" s="8"/>
      <c r="V168" s="8"/>
    </row>
    <row r="169" spans="1:22" s="9" customFormat="1" ht="30.75" customHeight="1" hidden="1">
      <c r="A169" s="149"/>
      <c r="B169" s="365" t="s">
        <v>50</v>
      </c>
      <c r="C169" s="366"/>
      <c r="D169" s="367"/>
      <c r="E169" s="153"/>
      <c r="F169" s="152"/>
      <c r="G169" s="154">
        <v>27.6</v>
      </c>
      <c r="H169" s="156">
        <f>G169*J178</f>
        <v>812.5440000000001</v>
      </c>
      <c r="I169" s="154"/>
      <c r="J169" s="154">
        <v>27.6</v>
      </c>
      <c r="K169" s="154">
        <f>J169*J178</f>
        <v>812.5440000000001</v>
      </c>
      <c r="L169" s="154"/>
      <c r="M169" s="154">
        <v>27.6</v>
      </c>
      <c r="N169" s="154">
        <f>M169*J178</f>
        <v>812.5440000000001</v>
      </c>
      <c r="O169" s="154"/>
      <c r="P169" s="154">
        <v>27.6</v>
      </c>
      <c r="Q169" s="154">
        <f>P169*J178</f>
        <v>812.5440000000001</v>
      </c>
      <c r="R169" s="154">
        <f t="shared" si="18"/>
        <v>110.4</v>
      </c>
      <c r="S169" s="154">
        <f t="shared" si="18"/>
        <v>3250.1760000000004</v>
      </c>
      <c r="T169" s="117"/>
      <c r="U169" s="8"/>
      <c r="V169" s="8"/>
    </row>
    <row r="170" spans="1:22" s="9" customFormat="1" ht="30.75" customHeight="1" hidden="1">
      <c r="A170" s="149"/>
      <c r="B170" s="368" t="s">
        <v>40</v>
      </c>
      <c r="C170" s="368"/>
      <c r="D170" s="368"/>
      <c r="E170" s="155"/>
      <c r="F170" s="152"/>
      <c r="G170" s="154">
        <v>40</v>
      </c>
      <c r="H170" s="154">
        <f>G170*J178</f>
        <v>1177.6000000000001</v>
      </c>
      <c r="I170" s="154"/>
      <c r="J170" s="154">
        <v>39</v>
      </c>
      <c r="K170" s="154">
        <f>J170*J178</f>
        <v>1148.16</v>
      </c>
      <c r="L170" s="154"/>
      <c r="M170" s="154">
        <v>29.5</v>
      </c>
      <c r="N170" s="154">
        <f>M170*J178</f>
        <v>868.48</v>
      </c>
      <c r="O170" s="154"/>
      <c r="P170" s="154">
        <v>37</v>
      </c>
      <c r="Q170" s="154">
        <f>P170*J178</f>
        <v>1089.28</v>
      </c>
      <c r="R170" s="154">
        <f t="shared" si="18"/>
        <v>145.5</v>
      </c>
      <c r="S170" s="154">
        <f t="shared" si="18"/>
        <v>4283.52</v>
      </c>
      <c r="T170" s="117"/>
      <c r="U170" s="8"/>
      <c r="V170" s="8"/>
    </row>
    <row r="171" spans="1:22" s="9" customFormat="1" ht="30.75" customHeight="1" hidden="1">
      <c r="A171" s="149"/>
      <c r="B171" s="368" t="s">
        <v>51</v>
      </c>
      <c r="C171" s="368"/>
      <c r="D171" s="368"/>
      <c r="E171" s="155"/>
      <c r="F171" s="152"/>
      <c r="G171" s="154">
        <v>4.6</v>
      </c>
      <c r="H171" s="154">
        <f>G171*J179</f>
        <v>167.94599999999997</v>
      </c>
      <c r="I171" s="154"/>
      <c r="J171" s="154">
        <v>1.5</v>
      </c>
      <c r="K171" s="154">
        <f>J171*J179</f>
        <v>54.765</v>
      </c>
      <c r="L171" s="154"/>
      <c r="M171" s="154">
        <v>1.5</v>
      </c>
      <c r="N171" s="154">
        <f>M171*J179</f>
        <v>54.765</v>
      </c>
      <c r="O171" s="154"/>
      <c r="P171" s="154">
        <v>4.1</v>
      </c>
      <c r="Q171" s="154">
        <f>P171*J179</f>
        <v>149.69099999999997</v>
      </c>
      <c r="R171" s="154">
        <f t="shared" si="18"/>
        <v>11.7</v>
      </c>
      <c r="S171" s="154">
        <f t="shared" si="18"/>
        <v>427.1669999999999</v>
      </c>
      <c r="T171" s="117"/>
      <c r="U171" s="8"/>
      <c r="V171" s="8"/>
    </row>
    <row r="172" spans="1:22" s="9" customFormat="1" ht="30.75" customHeight="1" hidden="1">
      <c r="A172" s="149"/>
      <c r="B172" s="368" t="s">
        <v>52</v>
      </c>
      <c r="C172" s="368"/>
      <c r="D172" s="368"/>
      <c r="E172" s="155"/>
      <c r="F172" s="152"/>
      <c r="G172" s="154">
        <v>8</v>
      </c>
      <c r="H172" s="154">
        <f>G172*J179</f>
        <v>292.08</v>
      </c>
      <c r="I172" s="154"/>
      <c r="J172" s="154">
        <v>8</v>
      </c>
      <c r="K172" s="154">
        <f>J172*J179</f>
        <v>292.08</v>
      </c>
      <c r="L172" s="154"/>
      <c r="M172" s="154">
        <v>8</v>
      </c>
      <c r="N172" s="154">
        <f>M172*J179</f>
        <v>292.08</v>
      </c>
      <c r="O172" s="154"/>
      <c r="P172" s="154">
        <v>8</v>
      </c>
      <c r="Q172" s="154">
        <f>P172*J179</f>
        <v>292.08</v>
      </c>
      <c r="R172" s="154">
        <f t="shared" si="18"/>
        <v>32</v>
      </c>
      <c r="S172" s="154">
        <f t="shared" si="18"/>
        <v>1168.32</v>
      </c>
      <c r="T172" s="117"/>
      <c r="U172" s="8"/>
      <c r="V172" s="8"/>
    </row>
    <row r="173" spans="1:22" s="9" customFormat="1" ht="30.75" customHeight="1" hidden="1">
      <c r="A173" s="149">
        <v>6</v>
      </c>
      <c r="B173" s="369" t="s">
        <v>53</v>
      </c>
      <c r="C173" s="370"/>
      <c r="D173" s="371"/>
      <c r="E173" s="150"/>
      <c r="F173" s="152"/>
      <c r="G173" s="151">
        <f>G174+G175</f>
        <v>428.14000000000004</v>
      </c>
      <c r="H173" s="151">
        <f>H174+H175</f>
        <v>12604.4416</v>
      </c>
      <c r="I173" s="151"/>
      <c r="J173" s="151">
        <f>J174+J175</f>
        <v>444.5</v>
      </c>
      <c r="K173" s="151">
        <f>K174+K175</f>
        <v>13086.08</v>
      </c>
      <c r="L173" s="151"/>
      <c r="M173" s="151">
        <f>M174+M175</f>
        <v>216.12</v>
      </c>
      <c r="N173" s="151">
        <f>N174+N175</f>
        <v>6362.5728</v>
      </c>
      <c r="O173" s="151"/>
      <c r="P173" s="151">
        <f>P174+P175</f>
        <v>423.71000000000004</v>
      </c>
      <c r="Q173" s="151">
        <f>Q174+Q175</f>
        <v>12474.022400000002</v>
      </c>
      <c r="R173" s="151">
        <f>R174+R175</f>
        <v>1512.47</v>
      </c>
      <c r="S173" s="151">
        <f>S174+S175</f>
        <v>44527.1168</v>
      </c>
      <c r="T173" s="117"/>
      <c r="U173" s="8"/>
      <c r="V173" s="8"/>
    </row>
    <row r="174" spans="1:22" s="9" customFormat="1" ht="30.75" customHeight="1" hidden="1">
      <c r="A174" s="152"/>
      <c r="B174" s="365" t="s">
        <v>54</v>
      </c>
      <c r="C174" s="366"/>
      <c r="D174" s="367"/>
      <c r="E174" s="153"/>
      <c r="F174" s="152"/>
      <c r="G174" s="154">
        <v>27.6</v>
      </c>
      <c r="H174" s="154">
        <f>G174*J178</f>
        <v>812.5440000000001</v>
      </c>
      <c r="I174" s="154"/>
      <c r="J174" s="154">
        <v>44.5</v>
      </c>
      <c r="K174" s="154">
        <f>J174*J178</f>
        <v>1310.0800000000002</v>
      </c>
      <c r="L174" s="154"/>
      <c r="M174" s="154">
        <v>74.6</v>
      </c>
      <c r="N174" s="154">
        <f>M174*J178</f>
        <v>2196.2239999999997</v>
      </c>
      <c r="O174" s="154"/>
      <c r="P174" s="154">
        <v>23.1</v>
      </c>
      <c r="Q174" s="154">
        <f>P174*J178</f>
        <v>680.0640000000001</v>
      </c>
      <c r="R174" s="154">
        <f>G174+J174+M174+P174</f>
        <v>169.79999999999998</v>
      </c>
      <c r="S174" s="154">
        <f>H174+K174+N174+Q174</f>
        <v>4998.912</v>
      </c>
      <c r="T174" s="117"/>
      <c r="U174" s="8"/>
      <c r="V174" s="8"/>
    </row>
    <row r="175" spans="1:22" s="9" customFormat="1" ht="30.75" customHeight="1" hidden="1">
      <c r="A175" s="152"/>
      <c r="B175" s="365" t="s">
        <v>55</v>
      </c>
      <c r="C175" s="366"/>
      <c r="D175" s="367"/>
      <c r="E175" s="153"/>
      <c r="F175" s="152"/>
      <c r="G175" s="154">
        <v>400.54</v>
      </c>
      <c r="H175" s="154">
        <f>G175*J178</f>
        <v>11791.8976</v>
      </c>
      <c r="I175" s="154"/>
      <c r="J175" s="154">
        <v>400</v>
      </c>
      <c r="K175" s="154">
        <f>J175*J178</f>
        <v>11776</v>
      </c>
      <c r="L175" s="154"/>
      <c r="M175" s="154">
        <v>141.52</v>
      </c>
      <c r="N175" s="154">
        <f>M175*J178</f>
        <v>4166.348800000001</v>
      </c>
      <c r="O175" s="154"/>
      <c r="P175" s="154">
        <v>400.61</v>
      </c>
      <c r="Q175" s="154">
        <f>P175*J178</f>
        <v>11793.958400000001</v>
      </c>
      <c r="R175" s="154">
        <f>G175+J175+M175+P175</f>
        <v>1342.67</v>
      </c>
      <c r="S175" s="154">
        <f>H175+K175+N175+Q175</f>
        <v>39528.2048</v>
      </c>
      <c r="T175" s="117"/>
      <c r="U175" s="8"/>
      <c r="V175" s="8"/>
    </row>
    <row r="176" spans="1:20" s="9" customFormat="1" ht="35.25" hidden="1">
      <c r="A176" s="157"/>
      <c r="B176" s="386" t="s">
        <v>19</v>
      </c>
      <c r="C176" s="387"/>
      <c r="D176" s="388"/>
      <c r="E176" s="158"/>
      <c r="F176" s="149" t="e">
        <f>F155+#REF!+#REF!+F157+F158+F159+#REF!+F160+F161+F162+F163+F164+#REF!</f>
        <v>#REF!</v>
      </c>
      <c r="G176" s="151">
        <f>G155+G156+G163+G164+G166+G173</f>
        <v>4846.45</v>
      </c>
      <c r="H176" s="151">
        <f>H155+H156+H163+H164+H166+H173</f>
        <v>153847.25999999998</v>
      </c>
      <c r="I176" s="151" t="e">
        <f>I155+I157+I158+I159+#REF!+I160+I161+I162+I163+I164</f>
        <v>#REF!</v>
      </c>
      <c r="J176" s="151">
        <f>J155+J156+J163+J164+J166+J173</f>
        <v>4540.66</v>
      </c>
      <c r="K176" s="151">
        <f>K155+K156+K163+K164+K166+K173</f>
        <v>145395.55539999998</v>
      </c>
      <c r="L176" s="151" t="e">
        <f>L155+L157+L158+L159+#REF!+L160+L161+L162+L163+L164</f>
        <v>#REF!</v>
      </c>
      <c r="M176" s="151">
        <f>M155+M156+M163+M164+M166+M173</f>
        <v>4474.3099999999995</v>
      </c>
      <c r="N176" s="151">
        <f>N155+N156+N163+N164+N166+N173</f>
        <v>143180.62140000003</v>
      </c>
      <c r="O176" s="151" t="e">
        <f>O155+O157+O158+O159+#REF!+O160+O161+O162+O163+O164</f>
        <v>#REF!</v>
      </c>
      <c r="P176" s="151">
        <f>P155+P156+P163+P164+P166+P173</f>
        <v>4729.720000000001</v>
      </c>
      <c r="Q176" s="151">
        <f>Q155+Q156+Q163+Q164+Q166+Q173</f>
        <v>151036.4238</v>
      </c>
      <c r="R176" s="151">
        <f>R155+R156+R163+R164+R166+R173</f>
        <v>18591.140000000003</v>
      </c>
      <c r="S176" s="151">
        <f>S155+S156+S163+S164+S166+S173</f>
        <v>593459.8605999999</v>
      </c>
      <c r="T176" s="117"/>
    </row>
    <row r="177" spans="1:20" s="9" customFormat="1" ht="35.25" hidden="1">
      <c r="A177" s="157"/>
      <c r="B177" s="377" t="s">
        <v>17</v>
      </c>
      <c r="C177" s="377"/>
      <c r="D177" s="377"/>
      <c r="E177" s="159"/>
      <c r="F177" s="378" t="s">
        <v>60</v>
      </c>
      <c r="G177" s="378"/>
      <c r="H177" s="378"/>
      <c r="I177" s="378"/>
      <c r="J177" s="378"/>
      <c r="K177" s="378"/>
      <c r="L177" s="378"/>
      <c r="M177" s="378"/>
      <c r="N177" s="378"/>
      <c r="O177" s="378"/>
      <c r="P177" s="378"/>
      <c r="Q177" s="378"/>
      <c r="R177" s="378"/>
      <c r="S177" s="378"/>
      <c r="T177" s="117"/>
    </row>
    <row r="178" spans="1:20" s="9" customFormat="1" ht="25.5" customHeight="1" hidden="1">
      <c r="A178" s="129"/>
      <c r="B178" s="129"/>
      <c r="C178" s="129"/>
      <c r="D178" s="129"/>
      <c r="E178" s="129"/>
      <c r="F178" s="129"/>
      <c r="G178" s="129"/>
      <c r="H178" s="132" t="s">
        <v>12</v>
      </c>
      <c r="I178" s="132"/>
      <c r="J178" s="132">
        <v>29.44</v>
      </c>
      <c r="K178" s="132"/>
      <c r="L178" s="129"/>
      <c r="M178" s="129"/>
      <c r="N178" s="129"/>
      <c r="O178" s="129"/>
      <c r="P178" s="129"/>
      <c r="Q178" s="129"/>
      <c r="R178" s="129"/>
      <c r="S178" s="129"/>
      <c r="T178" s="117"/>
    </row>
    <row r="179" spans="1:20" s="9" customFormat="1" ht="33" customHeight="1" hidden="1">
      <c r="A179" s="129"/>
      <c r="B179" s="129"/>
      <c r="C179" s="129"/>
      <c r="D179" s="129"/>
      <c r="E179" s="129"/>
      <c r="F179" s="129"/>
      <c r="G179" s="129"/>
      <c r="H179" s="132" t="s">
        <v>13</v>
      </c>
      <c r="I179" s="132"/>
      <c r="J179" s="132">
        <v>36.51</v>
      </c>
      <c r="K179" s="132"/>
      <c r="L179" s="129"/>
      <c r="M179" s="129"/>
      <c r="N179" s="129"/>
      <c r="O179" s="129"/>
      <c r="P179" s="129"/>
      <c r="Q179" s="144"/>
      <c r="R179" s="144"/>
      <c r="S179" s="129"/>
      <c r="T179" s="117"/>
    </row>
    <row r="180" spans="1:20" s="9" customFormat="1" ht="34.5" customHeight="1" hidden="1">
      <c r="A180" s="379" t="s">
        <v>63</v>
      </c>
      <c r="B180" s="379"/>
      <c r="C180" s="379"/>
      <c r="D180" s="379"/>
      <c r="E180" s="379"/>
      <c r="F180" s="379"/>
      <c r="G180" s="379"/>
      <c r="H180" s="379"/>
      <c r="I180" s="379"/>
      <c r="J180" s="379"/>
      <c r="K180" s="379"/>
      <c r="L180" s="379"/>
      <c r="M180" s="379"/>
      <c r="N180" s="379"/>
      <c r="O180" s="379"/>
      <c r="P180" s="379"/>
      <c r="Q180" s="379"/>
      <c r="R180" s="379"/>
      <c r="S180" s="379"/>
      <c r="T180" s="117"/>
    </row>
    <row r="181" spans="1:20" s="9" customFormat="1" ht="35.25" hidden="1">
      <c r="A181" s="378" t="s">
        <v>15</v>
      </c>
      <c r="B181" s="380" t="s">
        <v>0</v>
      </c>
      <c r="C181" s="381"/>
      <c r="D181" s="382"/>
      <c r="E181" s="146"/>
      <c r="F181" s="376" t="s">
        <v>1</v>
      </c>
      <c r="G181" s="376"/>
      <c r="H181" s="376"/>
      <c r="I181" s="376" t="s">
        <v>3</v>
      </c>
      <c r="J181" s="376"/>
      <c r="K181" s="376"/>
      <c r="L181" s="376" t="s">
        <v>4</v>
      </c>
      <c r="M181" s="376"/>
      <c r="N181" s="376"/>
      <c r="O181" s="376" t="s">
        <v>6</v>
      </c>
      <c r="P181" s="376"/>
      <c r="Q181" s="376"/>
      <c r="R181" s="376" t="s">
        <v>7</v>
      </c>
      <c r="S181" s="376"/>
      <c r="T181" s="117"/>
    </row>
    <row r="182" spans="1:20" s="9" customFormat="1" ht="35.25" hidden="1">
      <c r="A182" s="378"/>
      <c r="B182" s="383"/>
      <c r="C182" s="384"/>
      <c r="D182" s="385"/>
      <c r="E182" s="160"/>
      <c r="F182" s="148" t="s">
        <v>10</v>
      </c>
      <c r="G182" s="148" t="s">
        <v>10</v>
      </c>
      <c r="H182" s="148" t="s">
        <v>5</v>
      </c>
      <c r="I182" s="148" t="s">
        <v>10</v>
      </c>
      <c r="J182" s="148" t="s">
        <v>10</v>
      </c>
      <c r="K182" s="148" t="s">
        <v>5</v>
      </c>
      <c r="L182" s="148" t="s">
        <v>10</v>
      </c>
      <c r="M182" s="148" t="s">
        <v>10</v>
      </c>
      <c r="N182" s="148" t="s">
        <v>5</v>
      </c>
      <c r="O182" s="148" t="s">
        <v>10</v>
      </c>
      <c r="P182" s="148" t="s">
        <v>10</v>
      </c>
      <c r="Q182" s="148" t="s">
        <v>5</v>
      </c>
      <c r="R182" s="148" t="s">
        <v>10</v>
      </c>
      <c r="S182" s="148" t="s">
        <v>5</v>
      </c>
      <c r="T182" s="117"/>
    </row>
    <row r="183" spans="1:23" s="9" customFormat="1" ht="25.5" customHeight="1" hidden="1">
      <c r="A183" s="149">
        <v>1</v>
      </c>
      <c r="B183" s="369" t="s">
        <v>33</v>
      </c>
      <c r="C183" s="370"/>
      <c r="D183" s="371"/>
      <c r="E183" s="150"/>
      <c r="F183" s="152">
        <v>17.5</v>
      </c>
      <c r="G183" s="151">
        <v>12.3</v>
      </c>
      <c r="H183" s="151">
        <f>G183*J206</f>
        <v>457.068</v>
      </c>
      <c r="I183" s="151">
        <v>17.5</v>
      </c>
      <c r="J183" s="151">
        <v>8.3</v>
      </c>
      <c r="K183" s="151">
        <f>J183*J206</f>
        <v>308.428</v>
      </c>
      <c r="L183" s="151">
        <v>17.5</v>
      </c>
      <c r="M183" s="151">
        <v>5.4</v>
      </c>
      <c r="N183" s="151">
        <f>M183*K206</f>
        <v>207.9</v>
      </c>
      <c r="O183" s="151">
        <v>17.5</v>
      </c>
      <c r="P183" s="151">
        <v>11.3</v>
      </c>
      <c r="Q183" s="151">
        <f>P183*K206</f>
        <v>435.05</v>
      </c>
      <c r="R183" s="151">
        <f>G183+J183+M183+P183</f>
        <v>37.3</v>
      </c>
      <c r="S183" s="151">
        <f>H183+K183+N183+Q183</f>
        <v>1408.446</v>
      </c>
      <c r="T183" s="117" t="s">
        <v>21</v>
      </c>
      <c r="U183" s="8">
        <f>41.08*P183</f>
        <v>464.204</v>
      </c>
      <c r="V183" s="8">
        <f>H183+K183+N183+Q183</f>
        <v>1408.446</v>
      </c>
      <c r="W183" s="9">
        <f aca="true" t="shared" si="19" ref="W183:W192">G183+J183+M183+P183</f>
        <v>37.3</v>
      </c>
    </row>
    <row r="184" spans="1:22" s="9" customFormat="1" ht="25.5" customHeight="1" hidden="1">
      <c r="A184" s="149">
        <v>2</v>
      </c>
      <c r="B184" s="369" t="s">
        <v>41</v>
      </c>
      <c r="C184" s="370"/>
      <c r="D184" s="371"/>
      <c r="E184" s="150"/>
      <c r="F184" s="152"/>
      <c r="G184" s="151">
        <f>G185+G186+G187+G188+G189+G190</f>
        <v>5188.679999999999</v>
      </c>
      <c r="H184" s="151">
        <f>H185+H186+H188+H189+H190+H187</f>
        <v>136057.8288</v>
      </c>
      <c r="I184" s="151"/>
      <c r="J184" s="151">
        <f>J185+J186+J187+J188+J189+J190</f>
        <v>4597.45</v>
      </c>
      <c r="K184" s="151">
        <f>K185+K186+K187+K188+K189+K190</f>
        <v>119534.57199999999</v>
      </c>
      <c r="L184" s="151"/>
      <c r="M184" s="151">
        <f>M185+M186+M187+M188+M189+M190</f>
        <v>4948.61</v>
      </c>
      <c r="N184" s="151">
        <f>N185+N186+N187+N188+N189+N190</f>
        <v>134143.28500000003</v>
      </c>
      <c r="O184" s="151"/>
      <c r="P184" s="151">
        <f>P185+P186+P187+P188+P189+P190</f>
        <v>4697.63</v>
      </c>
      <c r="Q184" s="151">
        <f>Q185+Q186+Q187+Q188+Q189+Q190</f>
        <v>125820.235</v>
      </c>
      <c r="R184" s="151">
        <f>R185+R186+R188+R189+R190+R187</f>
        <v>19432.370000000003</v>
      </c>
      <c r="S184" s="151">
        <f>S185+S186+S187+S188+S189+S190</f>
        <v>515555.92079999996</v>
      </c>
      <c r="T184" s="117"/>
      <c r="U184" s="8"/>
      <c r="V184" s="8"/>
    </row>
    <row r="185" spans="1:23" s="9" customFormat="1" ht="32.25" customHeight="1" hidden="1">
      <c r="A185" s="152"/>
      <c r="B185" s="365" t="s">
        <v>34</v>
      </c>
      <c r="C185" s="366"/>
      <c r="D185" s="367"/>
      <c r="E185" s="153"/>
      <c r="F185" s="152">
        <v>2715</v>
      </c>
      <c r="G185" s="154">
        <v>748.28</v>
      </c>
      <c r="H185" s="154">
        <f>G185*J206</f>
        <v>27806.084799999997</v>
      </c>
      <c r="I185" s="154">
        <v>2715</v>
      </c>
      <c r="J185" s="154">
        <v>409.15</v>
      </c>
      <c r="K185" s="154">
        <f>J185*J206</f>
        <v>15204.013999999997</v>
      </c>
      <c r="L185" s="154">
        <v>2715</v>
      </c>
      <c r="M185" s="154">
        <v>662.91</v>
      </c>
      <c r="N185" s="154">
        <f>M185*K206</f>
        <v>25522.035</v>
      </c>
      <c r="O185" s="154">
        <v>2715</v>
      </c>
      <c r="P185" s="154">
        <v>464.93</v>
      </c>
      <c r="Q185" s="154">
        <f>P185*K206</f>
        <v>17899.805</v>
      </c>
      <c r="R185" s="154">
        <f aca="true" t="shared" si="20" ref="R185:S191">G185+J185+M185+P185</f>
        <v>2285.2699999999995</v>
      </c>
      <c r="S185" s="154">
        <f t="shared" si="20"/>
        <v>86431.9388</v>
      </c>
      <c r="T185" s="117" t="s">
        <v>21</v>
      </c>
      <c r="U185" s="8">
        <f aca="true" t="shared" si="21" ref="U185:U192">41.08*P185</f>
        <v>19099.324399999998</v>
      </c>
      <c r="V185" s="8">
        <f aca="true" t="shared" si="22" ref="V185:V192">H185+K185+N185+Q185</f>
        <v>86431.9388</v>
      </c>
      <c r="W185" s="9">
        <f t="shared" si="19"/>
        <v>2285.2699999999995</v>
      </c>
    </row>
    <row r="186" spans="1:23" s="9" customFormat="1" ht="33.75" customHeight="1" hidden="1">
      <c r="A186" s="152"/>
      <c r="B186" s="365" t="s">
        <v>35</v>
      </c>
      <c r="C186" s="366"/>
      <c r="D186" s="367"/>
      <c r="E186" s="153"/>
      <c r="F186" s="152">
        <v>816</v>
      </c>
      <c r="G186" s="154">
        <v>660</v>
      </c>
      <c r="H186" s="154">
        <f>G186*J206</f>
        <v>24525.6</v>
      </c>
      <c r="I186" s="154">
        <v>816</v>
      </c>
      <c r="J186" s="154">
        <v>660</v>
      </c>
      <c r="K186" s="154">
        <f>J186*J206</f>
        <v>24525.6</v>
      </c>
      <c r="L186" s="154">
        <v>816</v>
      </c>
      <c r="M186" s="154">
        <v>660</v>
      </c>
      <c r="N186" s="154">
        <f>M186*K206</f>
        <v>25410</v>
      </c>
      <c r="O186" s="154">
        <v>816</v>
      </c>
      <c r="P186" s="154">
        <v>660</v>
      </c>
      <c r="Q186" s="154">
        <f>P186*K206</f>
        <v>25410</v>
      </c>
      <c r="R186" s="154">
        <f t="shared" si="20"/>
        <v>2640</v>
      </c>
      <c r="S186" s="154">
        <f t="shared" si="20"/>
        <v>99871.2</v>
      </c>
      <c r="T186" s="117" t="s">
        <v>21</v>
      </c>
      <c r="U186" s="8">
        <f t="shared" si="21"/>
        <v>27112.8</v>
      </c>
      <c r="V186" s="8">
        <f t="shared" si="22"/>
        <v>99871.2</v>
      </c>
      <c r="W186" s="9">
        <f t="shared" si="19"/>
        <v>2640</v>
      </c>
    </row>
    <row r="187" spans="1:23" s="9" customFormat="1" ht="34.5" customHeight="1" hidden="1">
      <c r="A187" s="152"/>
      <c r="B187" s="365" t="s">
        <v>36</v>
      </c>
      <c r="C187" s="366"/>
      <c r="D187" s="367"/>
      <c r="E187" s="153"/>
      <c r="F187" s="152">
        <v>910.2</v>
      </c>
      <c r="G187" s="154">
        <v>774</v>
      </c>
      <c r="H187" s="154">
        <f>G187*J207</f>
        <v>8196.66</v>
      </c>
      <c r="I187" s="154">
        <v>1072.5</v>
      </c>
      <c r="J187" s="154">
        <v>912</v>
      </c>
      <c r="K187" s="154">
        <f>J187*J207</f>
        <v>9658.08</v>
      </c>
      <c r="L187" s="154">
        <v>905.1</v>
      </c>
      <c r="M187" s="154">
        <v>769</v>
      </c>
      <c r="N187" s="154">
        <f>M187*K207</f>
        <v>8143.71</v>
      </c>
      <c r="O187" s="154">
        <v>1121.6</v>
      </c>
      <c r="P187" s="154">
        <v>940</v>
      </c>
      <c r="Q187" s="154">
        <f>P187*K207</f>
        <v>9954.6</v>
      </c>
      <c r="R187" s="154">
        <f t="shared" si="20"/>
        <v>3395</v>
      </c>
      <c r="S187" s="154">
        <f t="shared" si="20"/>
        <v>35953.049999999996</v>
      </c>
      <c r="T187" s="117" t="s">
        <v>21</v>
      </c>
      <c r="U187" s="8">
        <f>11.81*P187</f>
        <v>11101.4</v>
      </c>
      <c r="V187" s="8">
        <f t="shared" si="22"/>
        <v>35953.049999999996</v>
      </c>
      <c r="W187" s="9">
        <f t="shared" si="19"/>
        <v>3395</v>
      </c>
    </row>
    <row r="188" spans="1:23" s="9" customFormat="1" ht="28.5" customHeight="1" hidden="1">
      <c r="A188" s="152"/>
      <c r="B188" s="368" t="s">
        <v>37</v>
      </c>
      <c r="C188" s="368"/>
      <c r="D188" s="368"/>
      <c r="E188" s="155"/>
      <c r="F188" s="152">
        <v>1845</v>
      </c>
      <c r="G188" s="154">
        <v>1362</v>
      </c>
      <c r="H188" s="154">
        <f>G188*J207</f>
        <v>14423.58</v>
      </c>
      <c r="I188" s="154">
        <v>1803</v>
      </c>
      <c r="J188" s="154">
        <v>1019</v>
      </c>
      <c r="K188" s="154">
        <f>J188*J207</f>
        <v>10791.21</v>
      </c>
      <c r="L188" s="154">
        <v>1803</v>
      </c>
      <c r="M188" s="154">
        <v>1251</v>
      </c>
      <c r="N188" s="154">
        <f>M188*K207</f>
        <v>13248.09</v>
      </c>
      <c r="O188" s="154">
        <v>1813.3</v>
      </c>
      <c r="P188" s="154">
        <v>1032</v>
      </c>
      <c r="Q188" s="154">
        <f>P188*K207</f>
        <v>10928.88</v>
      </c>
      <c r="R188" s="154">
        <f t="shared" si="20"/>
        <v>4664</v>
      </c>
      <c r="S188" s="154">
        <f t="shared" si="20"/>
        <v>49391.76</v>
      </c>
      <c r="T188" s="117" t="s">
        <v>21</v>
      </c>
      <c r="U188" s="8">
        <f t="shared" si="21"/>
        <v>42394.56</v>
      </c>
      <c r="V188" s="8">
        <f t="shared" si="22"/>
        <v>49391.76</v>
      </c>
      <c r="W188" s="9">
        <f t="shared" si="19"/>
        <v>4664</v>
      </c>
    </row>
    <row r="189" spans="1:23" s="9" customFormat="1" ht="33" customHeight="1" hidden="1">
      <c r="A189" s="152"/>
      <c r="B189" s="368" t="s">
        <v>38</v>
      </c>
      <c r="C189" s="368"/>
      <c r="D189" s="368"/>
      <c r="E189" s="155"/>
      <c r="F189" s="152">
        <v>74.5</v>
      </c>
      <c r="G189" s="154">
        <v>1568</v>
      </c>
      <c r="H189" s="154">
        <f>G189*J206</f>
        <v>58266.88</v>
      </c>
      <c r="I189" s="154">
        <v>72.8</v>
      </c>
      <c r="J189" s="154">
        <v>1533</v>
      </c>
      <c r="K189" s="154">
        <f>J189*J206</f>
        <v>56966.27999999999</v>
      </c>
      <c r="L189" s="154">
        <v>72.9</v>
      </c>
      <c r="M189" s="154">
        <v>1533</v>
      </c>
      <c r="N189" s="154">
        <f>M189*K206</f>
        <v>59020.5</v>
      </c>
      <c r="O189" s="154">
        <v>72.9</v>
      </c>
      <c r="P189" s="154">
        <v>1541</v>
      </c>
      <c r="Q189" s="154">
        <f>P189*K206</f>
        <v>59328.5</v>
      </c>
      <c r="R189" s="154">
        <f t="shared" si="20"/>
        <v>6175</v>
      </c>
      <c r="S189" s="154">
        <f t="shared" si="20"/>
        <v>233582.15999999997</v>
      </c>
      <c r="T189" s="117" t="s">
        <v>21</v>
      </c>
      <c r="U189" s="8">
        <f t="shared" si="21"/>
        <v>63304.28</v>
      </c>
      <c r="V189" s="8">
        <f t="shared" si="22"/>
        <v>233582.15999999997</v>
      </c>
      <c r="W189" s="9">
        <f t="shared" si="19"/>
        <v>6175</v>
      </c>
    </row>
    <row r="190" spans="1:23" s="9" customFormat="1" ht="44.25" customHeight="1" hidden="1">
      <c r="A190" s="152"/>
      <c r="B190" s="368" t="s">
        <v>39</v>
      </c>
      <c r="C190" s="368"/>
      <c r="D190" s="368"/>
      <c r="E190" s="155"/>
      <c r="F190" s="152">
        <v>88.6</v>
      </c>
      <c r="G190" s="154">
        <v>76.4</v>
      </c>
      <c r="H190" s="154">
        <f>G190*J206</f>
        <v>2839.024</v>
      </c>
      <c r="I190" s="154">
        <v>88.5</v>
      </c>
      <c r="J190" s="154">
        <v>64.3</v>
      </c>
      <c r="K190" s="154">
        <f>J190*J206</f>
        <v>2389.3879999999995</v>
      </c>
      <c r="L190" s="154">
        <v>88.5</v>
      </c>
      <c r="M190" s="154">
        <v>72.7</v>
      </c>
      <c r="N190" s="154">
        <f>M190*K206</f>
        <v>2798.9500000000003</v>
      </c>
      <c r="O190" s="154">
        <v>88.5</v>
      </c>
      <c r="P190" s="154">
        <v>59.7</v>
      </c>
      <c r="Q190" s="154">
        <f>P190*K206</f>
        <v>2298.4500000000003</v>
      </c>
      <c r="R190" s="154">
        <f>G190+J190+M190+P190</f>
        <v>273.09999999999997</v>
      </c>
      <c r="S190" s="154">
        <f t="shared" si="20"/>
        <v>10325.812</v>
      </c>
      <c r="T190" s="117" t="s">
        <v>21</v>
      </c>
      <c r="U190" s="8">
        <f t="shared" si="21"/>
        <v>2452.476</v>
      </c>
      <c r="V190" s="8">
        <f t="shared" si="22"/>
        <v>10325.812</v>
      </c>
      <c r="W190" s="9">
        <f t="shared" si="19"/>
        <v>273.09999999999997</v>
      </c>
    </row>
    <row r="191" spans="1:23" s="9" customFormat="1" ht="51.75" customHeight="1" hidden="1">
      <c r="A191" s="149">
        <v>3</v>
      </c>
      <c r="B191" s="369" t="s">
        <v>42</v>
      </c>
      <c r="C191" s="370"/>
      <c r="D191" s="371"/>
      <c r="E191" s="150"/>
      <c r="F191" s="152">
        <v>118.05</v>
      </c>
      <c r="G191" s="151">
        <v>263</v>
      </c>
      <c r="H191" s="151">
        <f>G191*J206</f>
        <v>9773.08</v>
      </c>
      <c r="I191" s="151">
        <v>118.05</v>
      </c>
      <c r="J191" s="151">
        <v>252</v>
      </c>
      <c r="K191" s="151">
        <f>J191*J206</f>
        <v>9364.32</v>
      </c>
      <c r="L191" s="151">
        <v>118.05</v>
      </c>
      <c r="M191" s="151">
        <v>248</v>
      </c>
      <c r="N191" s="151">
        <f>M191*K206</f>
        <v>9548</v>
      </c>
      <c r="O191" s="151">
        <v>118.05</v>
      </c>
      <c r="P191" s="151">
        <v>268</v>
      </c>
      <c r="Q191" s="151">
        <f>P191*K206</f>
        <v>10318</v>
      </c>
      <c r="R191" s="151">
        <f t="shared" si="20"/>
        <v>1031</v>
      </c>
      <c r="S191" s="151">
        <f t="shared" si="20"/>
        <v>39003.4</v>
      </c>
      <c r="T191" s="117" t="s">
        <v>21</v>
      </c>
      <c r="U191" s="8">
        <f t="shared" si="21"/>
        <v>11009.439999999999</v>
      </c>
      <c r="V191" s="8">
        <f t="shared" si="22"/>
        <v>39003.4</v>
      </c>
      <c r="W191" s="9">
        <f t="shared" si="19"/>
        <v>1031</v>
      </c>
    </row>
    <row r="192" spans="1:23" s="9" customFormat="1" ht="33.75" customHeight="1" hidden="1">
      <c r="A192" s="149">
        <v>4</v>
      </c>
      <c r="B192" s="369" t="s">
        <v>43</v>
      </c>
      <c r="C192" s="370"/>
      <c r="D192" s="371"/>
      <c r="E192" s="150"/>
      <c r="F192" s="152">
        <v>180</v>
      </c>
      <c r="G192" s="151">
        <f>G193</f>
        <v>23.4</v>
      </c>
      <c r="H192" s="151">
        <f>H193</f>
        <v>869.5439999999999</v>
      </c>
      <c r="I192" s="151"/>
      <c r="J192" s="151">
        <f>J193</f>
        <v>23.4</v>
      </c>
      <c r="K192" s="151">
        <f>K193</f>
        <v>869.5439999999999</v>
      </c>
      <c r="L192" s="151"/>
      <c r="M192" s="151">
        <f>M193</f>
        <v>23.4</v>
      </c>
      <c r="N192" s="151">
        <f>N193</f>
        <v>900.9</v>
      </c>
      <c r="O192" s="151"/>
      <c r="P192" s="151">
        <f>P193</f>
        <v>23.1</v>
      </c>
      <c r="Q192" s="151">
        <f>Q193</f>
        <v>889.35</v>
      </c>
      <c r="R192" s="151">
        <f>R193</f>
        <v>93.29999999999998</v>
      </c>
      <c r="S192" s="151">
        <f>S193</f>
        <v>3529.3379999999997</v>
      </c>
      <c r="T192" s="117" t="s">
        <v>21</v>
      </c>
      <c r="U192" s="8">
        <f t="shared" si="21"/>
        <v>948.948</v>
      </c>
      <c r="V192" s="8">
        <f t="shared" si="22"/>
        <v>3529.3379999999997</v>
      </c>
      <c r="W192" s="9">
        <f t="shared" si="19"/>
        <v>93.29999999999998</v>
      </c>
    </row>
    <row r="193" spans="1:22" s="9" customFormat="1" ht="27.75" customHeight="1" hidden="1">
      <c r="A193" s="152"/>
      <c r="B193" s="365" t="s">
        <v>44</v>
      </c>
      <c r="C193" s="366"/>
      <c r="D193" s="367"/>
      <c r="E193" s="153"/>
      <c r="F193" s="152"/>
      <c r="G193" s="154">
        <v>23.4</v>
      </c>
      <c r="H193" s="154">
        <f>G193*J206</f>
        <v>869.5439999999999</v>
      </c>
      <c r="I193" s="154"/>
      <c r="J193" s="154">
        <v>23.4</v>
      </c>
      <c r="K193" s="154">
        <f>J193*J206</f>
        <v>869.5439999999999</v>
      </c>
      <c r="L193" s="154"/>
      <c r="M193" s="154">
        <v>23.4</v>
      </c>
      <c r="N193" s="154">
        <f>M193*K206</f>
        <v>900.9</v>
      </c>
      <c r="O193" s="154"/>
      <c r="P193" s="154">
        <v>23.1</v>
      </c>
      <c r="Q193" s="154">
        <f>P193*K206</f>
        <v>889.35</v>
      </c>
      <c r="R193" s="154">
        <f>G193+J193+M193+P193</f>
        <v>93.29999999999998</v>
      </c>
      <c r="S193" s="154">
        <f>H193+K193+N193+Q193</f>
        <v>3529.3379999999997</v>
      </c>
      <c r="T193" s="117"/>
      <c r="U193" s="8"/>
      <c r="V193" s="8"/>
    </row>
    <row r="194" spans="1:22" s="9" customFormat="1" ht="33.75" customHeight="1" hidden="1">
      <c r="A194" s="149">
        <v>5</v>
      </c>
      <c r="B194" s="369" t="s">
        <v>47</v>
      </c>
      <c r="C194" s="370"/>
      <c r="D194" s="371"/>
      <c r="E194" s="150"/>
      <c r="F194" s="152"/>
      <c r="G194" s="151">
        <f>G195+G196+G197+G198+G199+G200</f>
        <v>189.14000000000001</v>
      </c>
      <c r="H194" s="151">
        <f>H195+H196+H197+H198+H199+H200</f>
        <v>6316.366399999999</v>
      </c>
      <c r="I194" s="151"/>
      <c r="J194" s="151">
        <f>J195+J196+J197+J198+J199+J200</f>
        <v>169.2</v>
      </c>
      <c r="K194" s="151">
        <f>K195+K196+K198+K200+K197+K199</f>
        <v>5710.902999999999</v>
      </c>
      <c r="L194" s="151"/>
      <c r="M194" s="151">
        <f>M195+M196+M197+M198+M199+M200</f>
        <v>143.23000000000002</v>
      </c>
      <c r="N194" s="151">
        <f>N195+N196+N197+N198+N199+N200</f>
        <v>4908.708</v>
      </c>
      <c r="O194" s="151"/>
      <c r="P194" s="151">
        <f>P195+P196+P197+P198+P199+P200</f>
        <v>174.28</v>
      </c>
      <c r="Q194" s="151">
        <f>Q195+Q196+Q197+Q198+Q199+Q200</f>
        <v>5942.255</v>
      </c>
      <c r="R194" s="151">
        <f>R195+R196+R197+R198+R199+R200</f>
        <v>675.85</v>
      </c>
      <c r="S194" s="151">
        <f>S195+S196+S197+S198+S199+S200</f>
        <v>22878.2324</v>
      </c>
      <c r="T194" s="117"/>
      <c r="U194" s="8"/>
      <c r="V194" s="8"/>
    </row>
    <row r="195" spans="1:22" s="9" customFormat="1" ht="33.75" customHeight="1" hidden="1">
      <c r="A195" s="149"/>
      <c r="B195" s="365" t="s">
        <v>48</v>
      </c>
      <c r="C195" s="366"/>
      <c r="D195" s="367"/>
      <c r="E195" s="153"/>
      <c r="F195" s="152"/>
      <c r="G195" s="154">
        <v>8.64</v>
      </c>
      <c r="H195" s="154">
        <f>G195*J206</f>
        <v>321.06239999999997</v>
      </c>
      <c r="I195" s="154"/>
      <c r="J195" s="154">
        <v>8</v>
      </c>
      <c r="K195" s="154">
        <f>J195*J206</f>
        <v>297.28</v>
      </c>
      <c r="L195" s="154"/>
      <c r="M195" s="154">
        <v>5.23</v>
      </c>
      <c r="N195" s="154">
        <f>M195*K206</f>
        <v>201.35500000000002</v>
      </c>
      <c r="O195" s="154"/>
      <c r="P195" s="154">
        <v>7.48</v>
      </c>
      <c r="Q195" s="154">
        <f>P195*K206</f>
        <v>287.98</v>
      </c>
      <c r="R195" s="154">
        <f aca="true" t="shared" si="23" ref="R195:S200">G195+J195+M195+P195</f>
        <v>29.35</v>
      </c>
      <c r="S195" s="154">
        <f t="shared" si="23"/>
        <v>1107.6774</v>
      </c>
      <c r="T195" s="117"/>
      <c r="U195" s="8"/>
      <c r="V195" s="8"/>
    </row>
    <row r="196" spans="1:22" s="9" customFormat="1" ht="33.75" customHeight="1" hidden="1">
      <c r="A196" s="149"/>
      <c r="B196" s="365" t="s">
        <v>49</v>
      </c>
      <c r="C196" s="366"/>
      <c r="D196" s="367"/>
      <c r="E196" s="153"/>
      <c r="F196" s="152"/>
      <c r="G196" s="154">
        <v>53.5</v>
      </c>
      <c r="H196" s="154">
        <f>G196*J206</f>
        <v>1988.0599999999997</v>
      </c>
      <c r="I196" s="154"/>
      <c r="J196" s="154">
        <v>52.5</v>
      </c>
      <c r="K196" s="154">
        <f>J196*J206</f>
        <v>1950.8999999999999</v>
      </c>
      <c r="L196" s="154"/>
      <c r="M196" s="154">
        <v>42.5</v>
      </c>
      <c r="N196" s="154">
        <f>M196*K206</f>
        <v>1636.25</v>
      </c>
      <c r="O196" s="154"/>
      <c r="P196" s="154">
        <v>51.5</v>
      </c>
      <c r="Q196" s="154">
        <f>P196*K206</f>
        <v>1982.75</v>
      </c>
      <c r="R196" s="154">
        <f t="shared" si="23"/>
        <v>200</v>
      </c>
      <c r="S196" s="154">
        <f t="shared" si="23"/>
        <v>7557.959999999999</v>
      </c>
      <c r="T196" s="117"/>
      <c r="U196" s="8"/>
      <c r="V196" s="8"/>
    </row>
    <row r="197" spans="1:22" s="9" customFormat="1" ht="33.75" customHeight="1" hidden="1">
      <c r="A197" s="149"/>
      <c r="B197" s="365" t="s">
        <v>50</v>
      </c>
      <c r="C197" s="366"/>
      <c r="D197" s="367"/>
      <c r="E197" s="153"/>
      <c r="F197" s="152"/>
      <c r="G197" s="154">
        <v>40</v>
      </c>
      <c r="H197" s="154">
        <f>G197*J206</f>
        <v>1486.3999999999999</v>
      </c>
      <c r="I197" s="154"/>
      <c r="J197" s="154">
        <v>40</v>
      </c>
      <c r="K197" s="154">
        <f>J197*J206</f>
        <v>1486.3999999999999</v>
      </c>
      <c r="L197" s="154"/>
      <c r="M197" s="154">
        <v>38.9</v>
      </c>
      <c r="N197" s="154">
        <f>M197*K206</f>
        <v>1497.6499999999999</v>
      </c>
      <c r="O197" s="154"/>
      <c r="P197" s="154">
        <v>39.5</v>
      </c>
      <c r="Q197" s="154">
        <f>P197*K206</f>
        <v>1520.75</v>
      </c>
      <c r="R197" s="154">
        <f t="shared" si="23"/>
        <v>158.4</v>
      </c>
      <c r="S197" s="154">
        <f t="shared" si="23"/>
        <v>5991.2</v>
      </c>
      <c r="T197" s="117"/>
      <c r="U197" s="8"/>
      <c r="V197" s="8"/>
    </row>
    <row r="198" spans="1:22" s="9" customFormat="1" ht="33.75" customHeight="1" hidden="1">
      <c r="A198" s="149"/>
      <c r="B198" s="368" t="s">
        <v>40</v>
      </c>
      <c r="C198" s="368"/>
      <c r="D198" s="368"/>
      <c r="E198" s="155"/>
      <c r="F198" s="152"/>
      <c r="G198" s="154">
        <v>60.2</v>
      </c>
      <c r="H198" s="154">
        <f>G198*J206</f>
        <v>2237.0319999999997</v>
      </c>
      <c r="I198" s="154"/>
      <c r="J198" s="154">
        <v>47</v>
      </c>
      <c r="K198" s="154">
        <f>J198*J206</f>
        <v>1746.5199999999998</v>
      </c>
      <c r="L198" s="154"/>
      <c r="M198" s="154">
        <v>34.9</v>
      </c>
      <c r="N198" s="154">
        <f>M198*K206</f>
        <v>1343.6499999999999</v>
      </c>
      <c r="O198" s="154"/>
      <c r="P198" s="154">
        <v>48.3</v>
      </c>
      <c r="Q198" s="154">
        <f>P198*K206</f>
        <v>1859.55</v>
      </c>
      <c r="R198" s="154">
        <f t="shared" si="23"/>
        <v>190.39999999999998</v>
      </c>
      <c r="S198" s="154">
        <f t="shared" si="23"/>
        <v>7186.7519999999995</v>
      </c>
      <c r="T198" s="117"/>
      <c r="U198" s="8"/>
      <c r="V198" s="8"/>
    </row>
    <row r="199" spans="1:22" s="9" customFormat="1" ht="33.75" customHeight="1" hidden="1">
      <c r="A199" s="149"/>
      <c r="B199" s="368" t="s">
        <v>51</v>
      </c>
      <c r="C199" s="368"/>
      <c r="D199" s="368"/>
      <c r="E199" s="155"/>
      <c r="F199" s="152"/>
      <c r="G199" s="154">
        <v>7.3</v>
      </c>
      <c r="H199" s="154">
        <f>G199*J207</f>
        <v>77.307</v>
      </c>
      <c r="I199" s="154"/>
      <c r="J199" s="154">
        <v>2.2</v>
      </c>
      <c r="K199" s="154">
        <f>J199*J207</f>
        <v>23.298000000000002</v>
      </c>
      <c r="L199" s="154"/>
      <c r="M199" s="154">
        <v>2.2</v>
      </c>
      <c r="N199" s="154">
        <f>M199*K207</f>
        <v>23.298000000000002</v>
      </c>
      <c r="O199" s="154"/>
      <c r="P199" s="154">
        <v>8</v>
      </c>
      <c r="Q199" s="154">
        <f>P199*K207</f>
        <v>84.72</v>
      </c>
      <c r="R199" s="154">
        <f t="shared" si="23"/>
        <v>19.7</v>
      </c>
      <c r="S199" s="154">
        <f t="shared" si="23"/>
        <v>208.623</v>
      </c>
      <c r="T199" s="117"/>
      <c r="U199" s="8"/>
      <c r="V199" s="8"/>
    </row>
    <row r="200" spans="1:22" s="9" customFormat="1" ht="33.75" customHeight="1" hidden="1">
      <c r="A200" s="149"/>
      <c r="B200" s="368" t="s">
        <v>52</v>
      </c>
      <c r="C200" s="368"/>
      <c r="D200" s="368"/>
      <c r="E200" s="155"/>
      <c r="F200" s="152"/>
      <c r="G200" s="154">
        <v>19.5</v>
      </c>
      <c r="H200" s="154">
        <f>G200*J207</f>
        <v>206.505</v>
      </c>
      <c r="I200" s="154"/>
      <c r="J200" s="154">
        <v>19.5</v>
      </c>
      <c r="K200" s="154">
        <f>J200*J207</f>
        <v>206.505</v>
      </c>
      <c r="L200" s="154"/>
      <c r="M200" s="154">
        <v>19.5</v>
      </c>
      <c r="N200" s="154">
        <f>M200*K207</f>
        <v>206.505</v>
      </c>
      <c r="O200" s="154"/>
      <c r="P200" s="154">
        <v>19.5</v>
      </c>
      <c r="Q200" s="154">
        <f>P200*K207</f>
        <v>206.505</v>
      </c>
      <c r="R200" s="154">
        <f t="shared" si="23"/>
        <v>78</v>
      </c>
      <c r="S200" s="154">
        <f t="shared" si="23"/>
        <v>826.02</v>
      </c>
      <c r="T200" s="117"/>
      <c r="U200" s="8"/>
      <c r="V200" s="8"/>
    </row>
    <row r="201" spans="1:22" s="9" customFormat="1" ht="33.75" customHeight="1" hidden="1">
      <c r="A201" s="149">
        <v>6</v>
      </c>
      <c r="B201" s="369" t="s">
        <v>53</v>
      </c>
      <c r="C201" s="370"/>
      <c r="D201" s="371"/>
      <c r="E201" s="150"/>
      <c r="F201" s="152"/>
      <c r="G201" s="151">
        <f>G202+G203</f>
        <v>463.75</v>
      </c>
      <c r="H201" s="151">
        <f>H202+H203</f>
        <v>17232.949999999997</v>
      </c>
      <c r="I201" s="151"/>
      <c r="J201" s="151">
        <f>J202+J203</f>
        <v>564.53</v>
      </c>
      <c r="K201" s="151">
        <f>K202+K203</f>
        <v>20977.934799999995</v>
      </c>
      <c r="L201" s="151"/>
      <c r="M201" s="151">
        <f>M202+M203</f>
        <v>284.18</v>
      </c>
      <c r="N201" s="151">
        <f>N202+N203</f>
        <v>10940.93</v>
      </c>
      <c r="O201" s="151"/>
      <c r="P201" s="151">
        <f>P202+P203</f>
        <v>550.62</v>
      </c>
      <c r="Q201" s="151">
        <f>Q202+Q203</f>
        <v>21198.87</v>
      </c>
      <c r="R201" s="151">
        <f>R202+R203</f>
        <v>1863.08</v>
      </c>
      <c r="S201" s="151">
        <f>S202+S203</f>
        <v>70350.6848</v>
      </c>
      <c r="T201" s="117"/>
      <c r="U201" s="8"/>
      <c r="V201" s="8"/>
    </row>
    <row r="202" spans="1:22" s="9" customFormat="1" ht="33.75" customHeight="1" hidden="1">
      <c r="A202" s="152"/>
      <c r="B202" s="365" t="s">
        <v>54</v>
      </c>
      <c r="C202" s="366"/>
      <c r="D202" s="367"/>
      <c r="E202" s="153"/>
      <c r="F202" s="152"/>
      <c r="G202" s="154">
        <v>45.6</v>
      </c>
      <c r="H202" s="154">
        <f>G202*J206</f>
        <v>1694.4959999999999</v>
      </c>
      <c r="I202" s="154"/>
      <c r="J202" s="154">
        <v>64.5</v>
      </c>
      <c r="K202" s="154">
        <f>J202*J206</f>
        <v>2396.8199999999997</v>
      </c>
      <c r="L202" s="154"/>
      <c r="M202" s="154">
        <v>113.6</v>
      </c>
      <c r="N202" s="154">
        <f>M202*K206</f>
        <v>4373.599999999999</v>
      </c>
      <c r="O202" s="154"/>
      <c r="P202" s="154">
        <v>50.1</v>
      </c>
      <c r="Q202" s="154">
        <f>P202*K206</f>
        <v>1928.8500000000001</v>
      </c>
      <c r="R202" s="154">
        <f>G202+J202+M202+P202</f>
        <v>273.8</v>
      </c>
      <c r="S202" s="154">
        <f>H202+K202+N202+Q202</f>
        <v>10393.766</v>
      </c>
      <c r="T202" s="117"/>
      <c r="U202" s="8"/>
      <c r="V202" s="8"/>
    </row>
    <row r="203" spans="1:22" s="9" customFormat="1" ht="33.75" customHeight="1" hidden="1">
      <c r="A203" s="152"/>
      <c r="B203" s="365" t="s">
        <v>55</v>
      </c>
      <c r="C203" s="366"/>
      <c r="D203" s="367"/>
      <c r="E203" s="153"/>
      <c r="F203" s="152"/>
      <c r="G203" s="154">
        <v>418.15</v>
      </c>
      <c r="H203" s="154">
        <f>G203*J206</f>
        <v>15538.453999999998</v>
      </c>
      <c r="I203" s="154"/>
      <c r="J203" s="154">
        <v>500.03</v>
      </c>
      <c r="K203" s="154">
        <f>J203*J206</f>
        <v>18581.114799999996</v>
      </c>
      <c r="L203" s="154"/>
      <c r="M203" s="154">
        <v>170.58</v>
      </c>
      <c r="N203" s="154">
        <f>M203*K206</f>
        <v>6567.330000000001</v>
      </c>
      <c r="O203" s="154"/>
      <c r="P203" s="154">
        <v>500.52</v>
      </c>
      <c r="Q203" s="154">
        <f>P203*K206</f>
        <v>19270.02</v>
      </c>
      <c r="R203" s="154">
        <f>G203+J203+M203+P203</f>
        <v>1589.28</v>
      </c>
      <c r="S203" s="154">
        <f>H203+K203+N203+Q203</f>
        <v>59956.9188</v>
      </c>
      <c r="T203" s="117"/>
      <c r="U203" s="8"/>
      <c r="V203" s="8"/>
    </row>
    <row r="204" spans="1:20" s="9" customFormat="1" ht="35.25" hidden="1">
      <c r="A204" s="161"/>
      <c r="B204" s="372" t="s">
        <v>19</v>
      </c>
      <c r="C204" s="372"/>
      <c r="D204" s="372"/>
      <c r="E204" s="162"/>
      <c r="F204" s="149">
        <f>SUM(F183:F192)</f>
        <v>6764.85</v>
      </c>
      <c r="G204" s="151">
        <f>G183+G184+G191+G192+G194+G201</f>
        <v>6140.2699999999995</v>
      </c>
      <c r="H204" s="151">
        <f>H183+H184+H191+H192+H194+H201</f>
        <v>170706.83719999995</v>
      </c>
      <c r="I204" s="151">
        <f>SUM(I183:I192)</f>
        <v>6703.35</v>
      </c>
      <c r="J204" s="151">
        <f>J183+J184+J191+J192+J194+J201</f>
        <v>5614.879999999999</v>
      </c>
      <c r="K204" s="151">
        <f>K183+K184+K191+K192+K194+K201</f>
        <v>156765.70179999995</v>
      </c>
      <c r="L204" s="151">
        <f>SUM(L183:L192)</f>
        <v>6536.05</v>
      </c>
      <c r="M204" s="151">
        <f>M183+M184+M191+M192+M194+M201</f>
        <v>5652.82</v>
      </c>
      <c r="N204" s="151">
        <f>N183+N184+N191+N192+N194+N201</f>
        <v>160649.72300000003</v>
      </c>
      <c r="O204" s="151">
        <f>SUM(O183:O192)</f>
        <v>6762.85</v>
      </c>
      <c r="P204" s="151">
        <f>P183+P184+P191+P192+P194+P201</f>
        <v>5724.93</v>
      </c>
      <c r="Q204" s="151">
        <f>Q183+Q184+Q191+Q192+Q194+Q201</f>
        <v>164603.76</v>
      </c>
      <c r="R204" s="151">
        <f>R183+R184+R191+R192+R194+R201</f>
        <v>23132.9</v>
      </c>
      <c r="S204" s="151">
        <f>S183+S184+S191+S192+S194+S201</f>
        <v>652726.022</v>
      </c>
      <c r="T204" s="117"/>
    </row>
    <row r="205" spans="1:20" s="9" customFormat="1" ht="35.25" hidden="1">
      <c r="A205" s="157"/>
      <c r="B205" s="373" t="s">
        <v>8</v>
      </c>
      <c r="C205" s="374"/>
      <c r="D205" s="375"/>
      <c r="E205" s="163"/>
      <c r="F205" s="376" t="s">
        <v>61</v>
      </c>
      <c r="G205" s="376"/>
      <c r="H205" s="376"/>
      <c r="I205" s="376"/>
      <c r="J205" s="376"/>
      <c r="K205" s="376"/>
      <c r="L205" s="376"/>
      <c r="M205" s="376"/>
      <c r="N205" s="376"/>
      <c r="O205" s="376"/>
      <c r="P205" s="376"/>
      <c r="Q205" s="376"/>
      <c r="R205" s="376"/>
      <c r="S205" s="376"/>
      <c r="T205" s="117"/>
    </row>
    <row r="206" spans="1:20" s="9" customFormat="1" ht="35.25" hidden="1">
      <c r="A206" s="129"/>
      <c r="B206" s="129"/>
      <c r="C206" s="129"/>
      <c r="D206" s="129"/>
      <c r="E206" s="129"/>
      <c r="F206" s="129"/>
      <c r="G206" s="129"/>
      <c r="H206" s="132" t="s">
        <v>12</v>
      </c>
      <c r="I206" s="132"/>
      <c r="J206" s="132">
        <v>37.16</v>
      </c>
      <c r="K206" s="132">
        <v>38.5</v>
      </c>
      <c r="L206" s="129"/>
      <c r="M206" s="129"/>
      <c r="N206" s="129"/>
      <c r="O206" s="129"/>
      <c r="P206" s="129"/>
      <c r="Q206" s="129"/>
      <c r="R206" s="129"/>
      <c r="S206" s="129"/>
      <c r="T206" s="117"/>
    </row>
    <row r="207" spans="1:20" s="9" customFormat="1" ht="35.25" hidden="1">
      <c r="A207" s="129"/>
      <c r="B207" s="129"/>
      <c r="C207" s="129"/>
      <c r="D207" s="129"/>
      <c r="E207" s="129"/>
      <c r="F207" s="129"/>
      <c r="G207" s="129"/>
      <c r="H207" s="132" t="s">
        <v>20</v>
      </c>
      <c r="I207" s="132"/>
      <c r="J207" s="132">
        <v>10.59</v>
      </c>
      <c r="K207" s="132">
        <v>10.59</v>
      </c>
      <c r="L207" s="129"/>
      <c r="M207" s="129"/>
      <c r="N207" s="129"/>
      <c r="O207" s="129"/>
      <c r="P207" s="129"/>
      <c r="Q207" s="129"/>
      <c r="R207" s="129"/>
      <c r="S207" s="129"/>
      <c r="T207" s="117"/>
    </row>
    <row r="208" spans="1:20" s="9" customFormat="1" ht="35.25">
      <c r="A208" s="129"/>
      <c r="B208" s="129"/>
      <c r="C208" s="129"/>
      <c r="D208" s="129"/>
      <c r="E208" s="129"/>
      <c r="F208" s="129"/>
      <c r="G208" s="129"/>
      <c r="H208" s="129"/>
      <c r="I208" s="109"/>
      <c r="J208" s="129"/>
      <c r="K208" s="129"/>
      <c r="L208" s="129"/>
      <c r="M208" s="129"/>
      <c r="N208" s="129"/>
      <c r="O208" s="129"/>
      <c r="P208" s="129"/>
      <c r="Q208" s="129"/>
      <c r="R208" s="129"/>
      <c r="S208" s="129"/>
      <c r="T208" s="117"/>
    </row>
    <row r="209" spans="1:19" ht="35.25">
      <c r="A209" s="45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</row>
    <row r="210" spans="1:19" ht="35.25">
      <c r="A210" s="4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</row>
    <row r="211" spans="1:19" ht="35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</row>
    <row r="212" spans="1:19" ht="35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</row>
    <row r="213" spans="1:19" ht="35.25">
      <c r="A213" s="4"/>
      <c r="B213" s="4"/>
      <c r="C213" s="4"/>
      <c r="D213" s="4"/>
      <c r="E213" s="4"/>
      <c r="F213" s="48"/>
      <c r="L213" s="4"/>
      <c r="M213" s="4"/>
      <c r="N213" s="4"/>
      <c r="O213" s="4"/>
      <c r="P213" s="4"/>
      <c r="Q213" s="4"/>
      <c r="R213" s="4"/>
      <c r="S213" s="4"/>
    </row>
    <row r="214" ht="35.25">
      <c r="F214" s="49" t="s">
        <v>22</v>
      </c>
    </row>
    <row r="215" ht="35.25">
      <c r="F215" s="49" t="s">
        <v>23</v>
      </c>
    </row>
    <row r="216" ht="35.25">
      <c r="F216" s="49" t="s">
        <v>24</v>
      </c>
    </row>
    <row r="217" ht="35.25">
      <c r="F217" s="49" t="s">
        <v>25</v>
      </c>
    </row>
    <row r="218" ht="35.25">
      <c r="F218" s="49" t="s">
        <v>26</v>
      </c>
    </row>
    <row r="219" ht="35.25">
      <c r="F219" s="49" t="s">
        <v>27</v>
      </c>
    </row>
    <row r="220" ht="35.25">
      <c r="F220" s="49" t="s">
        <v>29</v>
      </c>
    </row>
    <row r="221" ht="35.25">
      <c r="F221" s="49" t="s">
        <v>30</v>
      </c>
    </row>
    <row r="222" ht="35.25">
      <c r="F222" s="49" t="s">
        <v>28</v>
      </c>
    </row>
  </sheetData>
  <sheetProtection/>
  <mergeCells count="218">
    <mergeCell ref="Q2:S2"/>
    <mergeCell ref="Q3:S3"/>
    <mergeCell ref="Q4:S4"/>
    <mergeCell ref="A6:S6"/>
    <mergeCell ref="A7:A8"/>
    <mergeCell ref="B7:D8"/>
    <mergeCell ref="F7:H7"/>
    <mergeCell ref="I7:K7"/>
    <mergeCell ref="L7:N7"/>
    <mergeCell ref="O7:Q7"/>
    <mergeCell ref="R7:S7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F34:S34"/>
    <mergeCell ref="A37:S37"/>
    <mergeCell ref="A38:A39"/>
    <mergeCell ref="B38:D39"/>
    <mergeCell ref="F38:H38"/>
    <mergeCell ref="I38:K38"/>
    <mergeCell ref="L38:N38"/>
    <mergeCell ref="O38:Q38"/>
    <mergeCell ref="R38:S38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F64:S64"/>
    <mergeCell ref="Q66:S66"/>
    <mergeCell ref="A67:S67"/>
    <mergeCell ref="A68:A69"/>
    <mergeCell ref="B68:D69"/>
    <mergeCell ref="F68:H68"/>
    <mergeCell ref="I68:K68"/>
    <mergeCell ref="L68:N68"/>
    <mergeCell ref="O68:Q68"/>
    <mergeCell ref="R68:S68"/>
    <mergeCell ref="B70:D70"/>
    <mergeCell ref="B73:D73"/>
    <mergeCell ref="B76:D76"/>
    <mergeCell ref="B79:D79"/>
    <mergeCell ref="B75:D75"/>
    <mergeCell ref="E68:E69"/>
    <mergeCell ref="B77:D77"/>
    <mergeCell ref="B72:D72"/>
    <mergeCell ref="B71:D71"/>
    <mergeCell ref="B78:D78"/>
    <mergeCell ref="B80:D80"/>
    <mergeCell ref="B81:D81"/>
    <mergeCell ref="B83:D83"/>
    <mergeCell ref="B101:D101"/>
    <mergeCell ref="B95:D95"/>
    <mergeCell ref="B96:D96"/>
    <mergeCell ref="B82:D82"/>
    <mergeCell ref="B84:D84"/>
    <mergeCell ref="B86:D86"/>
    <mergeCell ref="B118:D118"/>
    <mergeCell ref="B120:D120"/>
    <mergeCell ref="B121:D121"/>
    <mergeCell ref="B91:D91"/>
    <mergeCell ref="B94:D94"/>
    <mergeCell ref="B103:D103"/>
    <mergeCell ref="B104:D104"/>
    <mergeCell ref="B99:D99"/>
    <mergeCell ref="B92:D92"/>
    <mergeCell ref="B93:D93"/>
    <mergeCell ref="B128:D128"/>
    <mergeCell ref="B143:D143"/>
    <mergeCell ref="B144:D144"/>
    <mergeCell ref="B127:D127"/>
    <mergeCell ref="B129:D129"/>
    <mergeCell ref="B130:D130"/>
    <mergeCell ref="B131:D131"/>
    <mergeCell ref="B132:D132"/>
    <mergeCell ref="B133:D133"/>
    <mergeCell ref="B134:D134"/>
    <mergeCell ref="F144:S144"/>
    <mergeCell ref="Q148:S148"/>
    <mergeCell ref="Q149:S149"/>
    <mergeCell ref="Q150:S150"/>
    <mergeCell ref="A152:S152"/>
    <mergeCell ref="A153:A154"/>
    <mergeCell ref="B153:D154"/>
    <mergeCell ref="F153:H153"/>
    <mergeCell ref="I153:K153"/>
    <mergeCell ref="L153:N153"/>
    <mergeCell ref="O153:Q153"/>
    <mergeCell ref="R153:S153"/>
    <mergeCell ref="B155:D155"/>
    <mergeCell ref="B156:D156"/>
    <mergeCell ref="B157:D157"/>
    <mergeCell ref="B158:D158"/>
    <mergeCell ref="B159:D159"/>
    <mergeCell ref="B160:D160"/>
    <mergeCell ref="B161:D161"/>
    <mergeCell ref="B162:D162"/>
    <mergeCell ref="B163:D163"/>
    <mergeCell ref="B164:D164"/>
    <mergeCell ref="B165:D165"/>
    <mergeCell ref="B166:D166"/>
    <mergeCell ref="B167:D167"/>
    <mergeCell ref="B168:D168"/>
    <mergeCell ref="B169:D169"/>
    <mergeCell ref="B170:D170"/>
    <mergeCell ref="B171:D171"/>
    <mergeCell ref="B172:D172"/>
    <mergeCell ref="B173:D173"/>
    <mergeCell ref="B174:D174"/>
    <mergeCell ref="B175:D175"/>
    <mergeCell ref="B176:D176"/>
    <mergeCell ref="B177:D177"/>
    <mergeCell ref="F177:S177"/>
    <mergeCell ref="A180:S180"/>
    <mergeCell ref="A181:A182"/>
    <mergeCell ref="B181:D182"/>
    <mergeCell ref="F181:H181"/>
    <mergeCell ref="I181:K181"/>
    <mergeCell ref="L181:N181"/>
    <mergeCell ref="O181:Q181"/>
    <mergeCell ref="R181:S181"/>
    <mergeCell ref="B183:D183"/>
    <mergeCell ref="B184:D184"/>
    <mergeCell ref="B185:D185"/>
    <mergeCell ref="B186:D186"/>
    <mergeCell ref="B187:D187"/>
    <mergeCell ref="B188:D188"/>
    <mergeCell ref="B204:D204"/>
    <mergeCell ref="B205:D205"/>
    <mergeCell ref="F205:S205"/>
    <mergeCell ref="B195:D195"/>
    <mergeCell ref="B196:D196"/>
    <mergeCell ref="B197:D197"/>
    <mergeCell ref="B198:D198"/>
    <mergeCell ref="B199:D199"/>
    <mergeCell ref="B200:D200"/>
    <mergeCell ref="B201:D201"/>
    <mergeCell ref="B202:D202"/>
    <mergeCell ref="B203:D203"/>
    <mergeCell ref="B189:D189"/>
    <mergeCell ref="B190:D190"/>
    <mergeCell ref="B191:D191"/>
    <mergeCell ref="B192:D192"/>
    <mergeCell ref="B193:D193"/>
    <mergeCell ref="B194:D194"/>
    <mergeCell ref="B113:D113"/>
    <mergeCell ref="B108:D108"/>
    <mergeCell ref="B85:D85"/>
    <mergeCell ref="B97:D97"/>
    <mergeCell ref="B100:D100"/>
    <mergeCell ref="B98:D98"/>
    <mergeCell ref="B87:D87"/>
    <mergeCell ref="B89:D89"/>
    <mergeCell ref="B90:D90"/>
    <mergeCell ref="B88:D88"/>
    <mergeCell ref="B115:D115"/>
    <mergeCell ref="B117:D117"/>
    <mergeCell ref="B102:D102"/>
    <mergeCell ref="B105:D105"/>
    <mergeCell ref="B106:D106"/>
    <mergeCell ref="B111:D111"/>
    <mergeCell ref="B112:D112"/>
    <mergeCell ref="B114:D114"/>
    <mergeCell ref="B107:D107"/>
    <mergeCell ref="B110:D110"/>
    <mergeCell ref="B137:D137"/>
    <mergeCell ref="B140:D140"/>
    <mergeCell ref="B109:D109"/>
    <mergeCell ref="B123:D123"/>
    <mergeCell ref="B124:D124"/>
    <mergeCell ref="B116:D116"/>
    <mergeCell ref="B119:D119"/>
    <mergeCell ref="B126:D126"/>
    <mergeCell ref="B122:D122"/>
    <mergeCell ref="B125:D125"/>
  </mergeCells>
  <printOptions/>
  <pageMargins left="0.3937007874015748" right="0.3937007874015748" top="1.1811023622047245" bottom="0.3937007874015748" header="0.31496062992125984" footer="0.31496062992125984"/>
  <pageSetup fitToHeight="0" horizontalDpi="600" verticalDpi="600" orientation="landscape" paperSize="9" scale="34" r:id="rId1"/>
  <rowBreaks count="2" manualBreakCount="2">
    <brk id="96" max="18" man="1"/>
    <brk id="133" max="18" man="1"/>
  </rowBreaks>
  <colBreaks count="1" manualBreakCount="1">
    <brk id="20" max="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Приёмная</cp:lastModifiedBy>
  <cp:lastPrinted>2018-10-12T00:35:05Z</cp:lastPrinted>
  <dcterms:created xsi:type="dcterms:W3CDTF">1996-10-08T23:32:33Z</dcterms:created>
  <dcterms:modified xsi:type="dcterms:W3CDTF">2018-10-12T00:35:08Z</dcterms:modified>
  <cp:category/>
  <cp:version/>
  <cp:contentType/>
  <cp:contentStatus/>
</cp:coreProperties>
</file>