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3" activeTab="5"/>
  </bookViews>
  <sheets>
    <sheet name="НовРай 2019" sheetId="1" r:id="rId1"/>
    <sheet name="гор. вода 2019" sheetId="2" r:id="rId2"/>
    <sheet name="2020г." sheetId="3" r:id="rId3"/>
    <sheet name="гор.вода 2020г." sheetId="4" r:id="rId4"/>
    <sheet name="2021" sheetId="5" r:id="rId5"/>
    <sheet name="гор.вода 2021" sheetId="6" r:id="rId6"/>
  </sheets>
  <definedNames>
    <definedName name="_xlnm.Print_Area" localSheetId="2">'2020г.'!$A$1:$R$145</definedName>
    <definedName name="_xlnm.Print_Area" localSheetId="4">'2021'!$A$1:$R$143</definedName>
    <definedName name="_xlnm.Print_Area" localSheetId="1">'гор. вода 2019'!$A$1:$S$144</definedName>
    <definedName name="_xlnm.Print_Area" localSheetId="3">'гор.вода 2020г.'!$A$1:$S$144</definedName>
    <definedName name="_xlnm.Print_Area" localSheetId="5">'гор.вода 2021'!$A$1:$S$145</definedName>
    <definedName name="_xlnm.Print_Area" localSheetId="0">'НовРай 2019'!$A$1:$R$146</definedName>
  </definedNames>
  <calcPr fullCalcOnLoad="1"/>
</workbook>
</file>

<file path=xl/sharedStrings.xml><?xml version="1.0" encoding="utf-8"?>
<sst xmlns="http://schemas.openxmlformats.org/spreadsheetml/2006/main" count="1816" uniqueCount="133">
  <si>
    <t>Наименование организации</t>
  </si>
  <si>
    <t>1 квартал</t>
  </si>
  <si>
    <t>Гкал</t>
  </si>
  <si>
    <t>2 квартал</t>
  </si>
  <si>
    <t>3 квартал</t>
  </si>
  <si>
    <t>руб.</t>
  </si>
  <si>
    <t>4 квартал</t>
  </si>
  <si>
    <t>Итого Год</t>
  </si>
  <si>
    <t>Тариф с НДС</t>
  </si>
  <si>
    <t>кВт. Час</t>
  </si>
  <si>
    <t>м.куб.</t>
  </si>
  <si>
    <t>Омс.Дук</t>
  </si>
  <si>
    <t>Омс</t>
  </si>
  <si>
    <t>Дукат</t>
  </si>
  <si>
    <t>Омс, Дук</t>
  </si>
  <si>
    <t>№ п/п</t>
  </si>
  <si>
    <t>V</t>
  </si>
  <si>
    <t xml:space="preserve">Тариф </t>
  </si>
  <si>
    <t>омс</t>
  </si>
  <si>
    <t xml:space="preserve">Итого </t>
  </si>
  <si>
    <t>Дук</t>
  </si>
  <si>
    <t>*</t>
  </si>
  <si>
    <t>тепло</t>
  </si>
  <si>
    <t>э/э</t>
  </si>
  <si>
    <t>гвс омс</t>
  </si>
  <si>
    <t>гвс дук</t>
  </si>
  <si>
    <t>хвс омс</t>
  </si>
  <si>
    <t>хвс дук</t>
  </si>
  <si>
    <t>жбо</t>
  </si>
  <si>
    <t>стоки омс</t>
  </si>
  <si>
    <t>стоки дук</t>
  </si>
  <si>
    <t>к постановлению</t>
  </si>
  <si>
    <t>дукат</t>
  </si>
  <si>
    <t>МКУ "Редакция газеты"Омсукчанские вести"</t>
  </si>
  <si>
    <t>МБОУ "Средняя общеобразовательная школа п. Омсукчан"</t>
  </si>
  <si>
    <t>МБОУ "Основная общеобразовательная школа п. Омсукчан"</t>
  </si>
  <si>
    <t>МБОУ "Средняя общеобразовательная школа п. Дукат"</t>
  </si>
  <si>
    <t>МБДОУ "Детский сад п. Дукат"</t>
  </si>
  <si>
    <t>МБДОУ "Детский сад п. Омсукчан"</t>
  </si>
  <si>
    <t>МБОУ ДОД "Центр дополнительного образования для детей п. Омсукчан"</t>
  </si>
  <si>
    <t>МБОУ ДОД "Детская школа искусств"п. Омсукчан</t>
  </si>
  <si>
    <t>Управление образования</t>
  </si>
  <si>
    <t>Администрация Омсукчанского городского округа</t>
  </si>
  <si>
    <t>Управление ЖКХ и градостроительства</t>
  </si>
  <si>
    <t>Административное здание ул. Ленина д. 13</t>
  </si>
  <si>
    <t>Паспортный стол</t>
  </si>
  <si>
    <t>Гараж ул. Подгорная д. 12</t>
  </si>
  <si>
    <t>Управление культуры, социальной и молодежной политики</t>
  </si>
  <si>
    <t>Административное зданиае ул. Мира д. 10</t>
  </si>
  <si>
    <t>МКУК "ЦД и НТ п. Омсукчан</t>
  </si>
  <si>
    <t>МБУК "ЦБС п. Омсукчан"</t>
  </si>
  <si>
    <t>МКУК " Библиотека п. Дукат"</t>
  </si>
  <si>
    <t>МКУК "ДК п. Дукат"</t>
  </si>
  <si>
    <t>Управление спорта и туризма</t>
  </si>
  <si>
    <t>МБОУ ДОД "ДСШ п. Омсукчан"</t>
  </si>
  <si>
    <t>МБУ "ОСОК п. Омсукчан"</t>
  </si>
  <si>
    <t>КУМИ</t>
  </si>
  <si>
    <t>МБОУ "Основная общеобразовательная школа п. Дукат"</t>
  </si>
  <si>
    <t>Уличное освещение п. Омсукчан</t>
  </si>
  <si>
    <t>Уличное освещение п. Дукат</t>
  </si>
  <si>
    <t xml:space="preserve"> с 01.01.2015г.  по 31.12.2015г. 1 м.куб. п. Омсукчан- 29,44 рублей, п. Дукат 1 м.куб. -36,51</t>
  </si>
  <si>
    <t xml:space="preserve"> с 01.01.2015г.  по 30.06.2015г. п. Омсукчан -37,16, п. Дукат -10,59, с 01.07.2015г. по 31.12.2015 п. Омсукчан -38,50, п. Дукат -10,59.</t>
  </si>
  <si>
    <t xml:space="preserve"> Лимиты потребления холодной воды бюджетными учреждениями и прочими потребителями, финансируемыми из бюджета Омсукчанского района в 2015 году</t>
  </si>
  <si>
    <t xml:space="preserve">  Лимиты пропуска сточных вод бюджетными учреждениями и прочими потребителями, финансируемыми из бюджета Омсукчанского района в 2015 году</t>
  </si>
  <si>
    <t xml:space="preserve"> с 01.01.2015г.  по 30.06.2015г. 1 Гкал - 2678,02 рублей; с 01.07.2015г. по 31.12.2015 п.Омсукчан, Дукат 1 Гкал -2989,47</t>
  </si>
  <si>
    <t>ул.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</si>
  <si>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2015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</si>
  <si>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2015 году</t>
  </si>
  <si>
    <t>ад. здания с 01.01.2015г. по 30.06.2015г. 1 Кв/ч п. Омсукчан, Дукат - 5,0242 руб., с 01.07.2015г. По 31.12.2015г. 1 Кв/ч Омсукчан, Дукат - 5,577; ул. освещ. С 01.01.2015г. По 30.06.2015г. 1 Кв/ч Омсукчан, Дукат - 5,0196, с 01.07.2015г. по 31.12.2015г. 1 Кв/ч Омсукчан, Дукат - 5,5717</t>
  </si>
  <si>
    <t>наим. показателя</t>
  </si>
  <si>
    <t>м.куб</t>
  </si>
  <si>
    <t>адм. здания п. Омсукчан</t>
  </si>
  <si>
    <t>адм. здания п. Дукат</t>
  </si>
  <si>
    <t>МБОУ ДОД "ДЮСШ п. Омсукчан"</t>
  </si>
  <si>
    <t>Управление образования всего:</t>
  </si>
  <si>
    <t>гкал</t>
  </si>
  <si>
    <t xml:space="preserve">адм. здание п. Омсукчан </t>
  </si>
  <si>
    <t>адм. здание п. Дукат</t>
  </si>
  <si>
    <t>подогрев 1куб.м</t>
  </si>
  <si>
    <t>Омсукчан</t>
  </si>
  <si>
    <t>1-е пол.</t>
  </si>
  <si>
    <t>2-е пол.</t>
  </si>
  <si>
    <t>-</t>
  </si>
  <si>
    <t>+</t>
  </si>
  <si>
    <t>всего: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</si>
  <si>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2019 году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</si>
  <si>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2019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</si>
  <si>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2019 году</t>
  </si>
  <si>
    <t>Приложение № 3</t>
  </si>
  <si>
    <t xml:space="preserve">администрации </t>
  </si>
  <si>
    <t>городского округа</t>
  </si>
  <si>
    <t>МБУ ФОК "Жемчужина"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</si>
  <si>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2019 год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</si>
  <si>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2019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</si>
  <si>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2019 году</t>
  </si>
  <si>
    <t>Административное здание ул. Мира д. 10</t>
  </si>
  <si>
    <t>МКУ "ОЭЦ"</t>
  </si>
  <si>
    <t>Паспортный стол ул.Ленина 15</t>
  </si>
  <si>
    <t>Гаражи</t>
  </si>
  <si>
    <t>Здания в п. Дукат</t>
  </si>
  <si>
    <t>Здания в п. Омсукчан</t>
  </si>
  <si>
    <t>Гараж Дукат</t>
  </si>
  <si>
    <t xml:space="preserve"> с 01.01.2019г.  по 30.06.2019г. 1 Гкал -5826,29 рублей; с 01.07.2019г. по 31.12.2019 п.Омсукчан, Дукат 1 Гкал -6140,91 рублей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</si>
  <si>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округа, на 2020 год</t>
  </si>
  <si>
    <t>Лимиты потребления теплоэнергии бюджетными учреждениями и прочими потребителями, финансируемыми из бюджета Омсукчанского городского округа в 2020 году</t>
  </si>
  <si>
    <t xml:space="preserve"> с 01.01.2020г.  по 30.06.2020г. 1 Гкал 6140,91 рублей; с 01.07.2020г. по 31.12.2020 п.Омсукчан, Дукат 1 Гкал -6460,24 рублей</t>
  </si>
  <si>
    <t>Лимиты потребления электроэнергии бюджетными учреждениями и прочими потребителями, финансируемыми из бюджета Омсукчанского городского округа в 2020 году</t>
  </si>
  <si>
    <t>Прогноз потребления коммунальных услуг, в том числе тепловой энергии, электрической энергии, горячей воды, холодной воды и пропуска сточных вод бюджетными учреждениями и прочими потребителями, финансируемыми из бюджета Омсукчанского городского округа на 2021 год</t>
  </si>
  <si>
    <t>Прогноз потребления теплоэнергии бюджетными учреждениями и прочими потребителями, финансируемыми из бюджета Омсукчанского городского округа в 2021 году</t>
  </si>
  <si>
    <t xml:space="preserve"> с 01.01.2021г.  по 30.06.2021г. 1 Гкал -6460,24 рублей; с 01.07.2021г. по 31.12.2021г. п.Омсукчан, Дукат 1 Гкал -6796,17 рублей</t>
  </si>
  <si>
    <t>Прогноз потребления электроэнергии бюджетными учреждениями и прочими потребителями, финансируемыми из бюджета Омсукчанского городского округа в 2021 году</t>
  </si>
  <si>
    <t>здания в п. Дукат</t>
  </si>
  <si>
    <t xml:space="preserve"> Лимиты потребления холодной воды бюджетными учреждениями и прочими потребителями, финансируемыми из бюджета Омсукчанского городского округа в 2020 году</t>
  </si>
  <si>
    <t xml:space="preserve">  Лимиты пропуска сточных вод бюджетными учреждениями и прочими потребителями, финансируемыми из бюджета Омсукчанского городского округа в 2020 году</t>
  </si>
  <si>
    <t xml:space="preserve"> Прогноз потребления холодной воды бюджетными учреждениями и прочими потребителями, финансируемыми из бюджета Омсукчанского городского округа в 2021 году</t>
  </si>
  <si>
    <t xml:space="preserve">  Прогноз пропуска сточных вод бюджетными учреждениями и прочими потребителями, финансируемыми из бюджета Омсукчанского городского округа в 2021 году</t>
  </si>
  <si>
    <t>Лимиты потребления горячей воды бюджетными учреждениями и прочими потребителями, финансируемыми из бюджета Омсукчанского городского округа в 2020 году</t>
  </si>
  <si>
    <t>Прогноз потребления горячей воды бюджетными учреждениями и прочими потребителями, финансируемыми из бюджета Омсукчанского городского округа в 2021 году</t>
  </si>
  <si>
    <t>с 01.01.2019г. по 30.06.2019г. 1 Кв/ч п. Омсукчан, Дукат -5,40 руб., с 01.07.2019г. по 31.12.2019г. 1 Кв/ч Омсукчан, Дукат - 5,69 руб.</t>
  </si>
  <si>
    <t xml:space="preserve"> с 01.01.2019г.  по 30.06.2019г. п. Омсукчан -30,67 руб.,  п. Дукат -49,34 руб. ; с 01.07.2019г. по 31.12.2019г. п. Омсукчан -32,33 руб., п. Дукат -52,00 руб.</t>
  </si>
  <si>
    <t xml:space="preserve"> с 01.01.2019г.  по 30.06.2019г. п. Омсукчан -41,21 руб. ,  п. Дукат -11,80 руб. ; с 01.07.2019г. по 31.12.2019г. п. Омсукчан -43,44 руб., п. Дукат -12,44 руб.</t>
  </si>
  <si>
    <t xml:space="preserve"> с 01.01.2019г.  по 30.06.2019г. 1 м.куб. п. Омсукчан-36,19 руб., 1 Гкал - 5826,29 руб.,  п. Дукат 1 м.куб. -58,22 руб., 1 Гкал - 5826,29 руб.; с 01.07.2019г. по 31.12.2019г. 1 м.куб. Омсукчан - 38,14 руб., Гкал - 6140,91 руб., Дукат 1 м.куб - 61,36 руб., 1 Гкал - 6140,91 руб.</t>
  </si>
  <si>
    <t>с 01.01.2020г. по 30.06.2020г. 1 Кв/ч п. Омсукчан, Дукат -5,69 руб., с 01.07.2020г. по 31.12.2020г. 1 Кв/ч Омсукчан, Дукат - 5,99 руб.</t>
  </si>
  <si>
    <t xml:space="preserve"> с 01.01.2020г.  по 30.06.2020г. п. Омсукчан -32,33 руб., п. Дукат -52,00 руб., с 01.07.2020г. по 31.12.2020г. п. Омсукчан -34,01 руб., п. Дукат -54,70 руб. </t>
  </si>
  <si>
    <t xml:space="preserve"> с 01.01.2020г.  по 30.06.2020г. п. Омсукчан -43,44руб., п. Дукат -12,44 руб., с 01.07.2020г. по 31.12.2020 п. Омсукчан -45,70 руб., п. Дукат -13,09 руб.</t>
  </si>
  <si>
    <t xml:space="preserve"> с 01.01.2020г.  по 30.06.2020г. 1 м.куб. п. Омсукчан- 38,14 рублей, 1 Гкал - 6140,91 рублей, п. Дукат 1 м.куб. -61,36 руб., 1 Гкал - 6140,91 руб.; с 01.07.2020 г. по 31.12.2020 г. 1 м.куб. п.Омсукчан - 40,12 руб., 1 Гкал - 6460,24 руб., Дукат 1 м.куб - 64,55 руб., 1 Гкал - 6460,24 руб.</t>
  </si>
  <si>
    <t>с 01.01.2021г. по 30.06.2021г. 1 Кв/ч п. Омсукчан, Дукат -5,99 руб., с 01.07.2021г. по 31.12.2021г. 1 Кв/ч Омсукчан, Дукат - 6,30 руб.</t>
  </si>
  <si>
    <t xml:space="preserve"> с 01.01.2021г.  по 30.06.2021г. п. Омсукчан -34,01 руб.,  п. Дукат -54,70 руб., с 01.07.2021г. по 31.12.2021г. п. Омсукчан -35,78 руб.,  п. Дукат -57,54 руб.</t>
  </si>
  <si>
    <t xml:space="preserve"> с 01.01.2021г.  по 30.06.2021г. п. Омсукчан -45,70 руб., п. Дукат -13,09 руб., с 01.07.2021г. по 31.12.2021 п. Омсукчан -48,08 руб., п. Дукат -13,77 руб.</t>
  </si>
  <si>
    <t xml:space="preserve"> с 01.01.2021 г.  по 30.06.2021 г. 1 м.куб. п. Омсукчан-40,12 рублей, 1 Гкал - 6460,24 руб.,  п. Дукат 1 м.куб. -64,55 руб., 1 Гкал - 6460,24 руб.; с 01.07.2021 г. по 31.12.2021 г. 1 м.куб. Омсукчан - 42,21 руб., Гкал - 6796,17 руб., Дукат 1 м.куб - 67,91 руб., 1 Гкал - 6796,17 руб.</t>
  </si>
  <si>
    <t>от 19.02.2018г. № 66</t>
  </si>
  <si>
    <t>Приложение № 1</t>
  </si>
  <si>
    <t>Приложение № 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</si>
</sst>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#,##0.000"/>
    <numFmt numFmtId="196" formatCode="_-* #,##0.000_р_._-;\-* #,##0.000_р_._-;_-* &quot;-&quot;???_р_._-;_-@_-"/>
    <numFmt numFmtId="197" formatCode="#,##0.0000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Times New Roman"/>
      <family val="1"/>
    </font>
    <font>
      <sz val="20"/>
      <color indexed="8"/>
      <name val="Times New Roman"/>
      <family val="1"/>
    </font>
    <font>
      <sz val="20"/>
      <name val="Arial"/>
      <family val="2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sz val="20"/>
      <name val="Cambria"/>
      <family val="1"/>
    </font>
    <font>
      <b/>
      <sz val="20"/>
      <color indexed="10"/>
      <name val="Times New Roman"/>
      <family val="1"/>
    </font>
    <font>
      <b/>
      <sz val="22"/>
      <name val="Times New Roman"/>
      <family val="1"/>
    </font>
    <font>
      <b/>
      <sz val="28"/>
      <name val="Arial"/>
      <family val="2"/>
    </font>
    <font>
      <b/>
      <sz val="28"/>
      <name val="Times New Roman"/>
      <family val="1"/>
    </font>
    <font>
      <b/>
      <sz val="10"/>
      <name val="Arial"/>
      <family val="2"/>
    </font>
    <font>
      <sz val="24"/>
      <color indexed="8"/>
      <name val="Times New Roman"/>
      <family val="1"/>
    </font>
    <font>
      <sz val="2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9"/>
      <name val="Cambria"/>
      <family val="1"/>
    </font>
    <font>
      <sz val="20"/>
      <color indexed="9"/>
      <name val="Times New Roman"/>
      <family val="1"/>
    </font>
    <font>
      <sz val="20"/>
      <color indexed="9"/>
      <name val="Arial"/>
      <family val="2"/>
    </font>
    <font>
      <sz val="20"/>
      <color indexed="10"/>
      <name val="Arial"/>
      <family val="2"/>
    </font>
    <font>
      <b/>
      <sz val="20"/>
      <color indexed="8"/>
      <name val="Times New Roman"/>
      <family val="1"/>
    </font>
    <font>
      <b/>
      <sz val="20"/>
      <color indexed="9"/>
      <name val="Times New Roman"/>
      <family val="1"/>
    </font>
    <font>
      <sz val="20"/>
      <color indexed="8"/>
      <name val="Arial"/>
      <family val="2"/>
    </font>
    <font>
      <b/>
      <sz val="28"/>
      <color indexed="9"/>
      <name val="Arial"/>
      <family val="2"/>
    </font>
    <font>
      <sz val="20"/>
      <color indexed="8"/>
      <name val="Cambria"/>
      <family val="1"/>
    </font>
    <font>
      <b/>
      <sz val="20"/>
      <color indexed="9"/>
      <name val="Cambria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10"/>
      <name val="Times New Roman"/>
      <family val="1"/>
    </font>
    <font>
      <sz val="18"/>
      <color indexed="8"/>
      <name val="Times New Roman"/>
      <family val="1"/>
    </font>
    <font>
      <sz val="18"/>
      <color indexed="9"/>
      <name val="Times New Roman"/>
      <family val="1"/>
    </font>
    <font>
      <b/>
      <sz val="18"/>
      <color indexed="9"/>
      <name val="Cambria"/>
      <family val="1"/>
    </font>
    <font>
      <b/>
      <sz val="18"/>
      <color indexed="9"/>
      <name val="Times New Roman"/>
      <family val="1"/>
    </font>
    <font>
      <sz val="2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0"/>
      <name val="Cambria"/>
      <family val="1"/>
    </font>
    <font>
      <sz val="20"/>
      <color theme="0"/>
      <name val="Times New Roman"/>
      <family val="1"/>
    </font>
    <font>
      <sz val="20"/>
      <color theme="0"/>
      <name val="Arial"/>
      <family val="2"/>
    </font>
    <font>
      <sz val="20"/>
      <color rgb="FFFF0000"/>
      <name val="Arial"/>
      <family val="2"/>
    </font>
    <font>
      <sz val="20"/>
      <color rgb="FFFF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0"/>
      <color theme="0"/>
      <name val="Times New Roman"/>
      <family val="1"/>
    </font>
    <font>
      <b/>
      <sz val="20"/>
      <color rgb="FFFF0000"/>
      <name val="Times New Roman"/>
      <family val="1"/>
    </font>
    <font>
      <sz val="20"/>
      <color theme="1"/>
      <name val="Arial"/>
      <family val="2"/>
    </font>
    <font>
      <sz val="24"/>
      <color theme="1"/>
      <name val="Times New Roman"/>
      <family val="1"/>
    </font>
    <font>
      <b/>
      <sz val="28"/>
      <color theme="0"/>
      <name val="Arial"/>
      <family val="2"/>
    </font>
    <font>
      <sz val="20"/>
      <color theme="1"/>
      <name val="Cambria"/>
      <family val="1"/>
    </font>
    <font>
      <b/>
      <sz val="20"/>
      <color theme="0"/>
      <name val="Cambria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rgb="FFFF0000"/>
      <name val="Times New Roman"/>
      <family val="1"/>
    </font>
    <font>
      <sz val="18"/>
      <color theme="1"/>
      <name val="Times New Roman"/>
      <family val="1"/>
    </font>
    <font>
      <sz val="18"/>
      <color theme="0"/>
      <name val="Times New Roman"/>
      <family val="1"/>
    </font>
    <font>
      <b/>
      <sz val="18"/>
      <color theme="0"/>
      <name val="Cambria"/>
      <family val="1"/>
    </font>
    <font>
      <b/>
      <sz val="18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560">
    <xf numFmtId="0" fontId="0" fillId="0" borderId="0" xfId="0" applyAlignment="1">
      <alignment/>
    </xf>
    <xf numFmtId="0" fontId="8" fillId="33" borderId="0" xfId="0" applyNumberFormat="1" applyFont="1" applyFill="1" applyAlignment="1">
      <alignment/>
    </xf>
    <xf numFmtId="0" fontId="72" fillId="33" borderId="0" xfId="0" applyNumberFormat="1" applyFont="1" applyFill="1" applyAlignment="1">
      <alignment/>
    </xf>
    <xf numFmtId="0" fontId="73" fillId="33" borderId="0" xfId="0" applyNumberFormat="1" applyFont="1" applyFill="1" applyAlignment="1">
      <alignment horizontal="right" vertical="center" wrapText="1"/>
    </xf>
    <xf numFmtId="0" fontId="73" fillId="33" borderId="0" xfId="0" applyNumberFormat="1" applyFont="1" applyFill="1" applyAlignment="1">
      <alignment wrapText="1"/>
    </xf>
    <xf numFmtId="0" fontId="7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>
      <alignment horizontal="center" vertical="center" wrapText="1"/>
    </xf>
    <xf numFmtId="179" fontId="6" fillId="33" borderId="10" xfId="60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/>
    </xf>
    <xf numFmtId="2" fontId="74" fillId="33" borderId="0" xfId="0" applyNumberFormat="1" applyFont="1" applyFill="1" applyAlignment="1">
      <alignment/>
    </xf>
    <xf numFmtId="0" fontId="74" fillId="33" borderId="0" xfId="0" applyNumberFormat="1" applyFont="1" applyFill="1" applyAlignment="1">
      <alignment/>
    </xf>
    <xf numFmtId="2" fontId="5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179" fontId="3" fillId="33" borderId="10" xfId="60" applyFont="1" applyFill="1" applyBorder="1" applyAlignment="1">
      <alignment horizontal="center" vertical="center" wrapText="1"/>
    </xf>
    <xf numFmtId="2" fontId="75" fillId="33" borderId="0" xfId="0" applyNumberFormat="1" applyFont="1" applyFill="1" applyAlignment="1">
      <alignment/>
    </xf>
    <xf numFmtId="0" fontId="75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  <xf numFmtId="2" fontId="74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 wrapText="1"/>
      <protection/>
    </xf>
    <xf numFmtId="0" fontId="3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 wrapText="1"/>
    </xf>
    <xf numFmtId="0" fontId="6" fillId="33" borderId="0" xfId="0" applyNumberFormat="1" applyFont="1" applyFill="1" applyBorder="1" applyAlignment="1">
      <alignment horizontal="center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wrapText="1"/>
    </xf>
    <xf numFmtId="0" fontId="76" fillId="33" borderId="0" xfId="0" applyNumberFormat="1" applyFont="1" applyFill="1" applyAlignment="1">
      <alignment horizontal="center" wrapText="1"/>
    </xf>
    <xf numFmtId="0" fontId="76" fillId="33" borderId="0" xfId="0" applyNumberFormat="1" applyFont="1" applyFill="1" applyAlignment="1">
      <alignment wrapText="1"/>
    </xf>
    <xf numFmtId="0" fontId="4" fillId="33" borderId="0" xfId="0" applyNumberFormat="1" applyFont="1" applyFill="1" applyAlignment="1">
      <alignment wrapText="1"/>
    </xf>
    <xf numFmtId="0" fontId="7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3" borderId="10" xfId="0" applyNumberFormat="1" applyFont="1" applyFill="1" applyBorder="1" applyAlignment="1">
      <alignment horizontal="center" vertical="center" wrapText="1"/>
    </xf>
    <xf numFmtId="179" fontId="77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79" fontId="78" fillId="33" borderId="10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3" fontId="3" fillId="33" borderId="10" xfId="60" applyNumberFormat="1" applyFont="1" applyFill="1" applyBorder="1" applyAlignment="1">
      <alignment horizontal="center" vertical="center" wrapText="1"/>
    </xf>
    <xf numFmtId="0" fontId="74" fillId="33" borderId="0" xfId="0" applyNumberFormat="1" applyFont="1" applyFill="1" applyBorder="1" applyAlignment="1">
      <alignment/>
    </xf>
    <xf numFmtId="0" fontId="3" fillId="33" borderId="10" xfId="0" applyNumberFormat="1" applyFont="1" applyFill="1" applyBorder="1" applyAlignment="1" applyProtection="1">
      <alignment/>
      <protection locked="0"/>
    </xf>
    <xf numFmtId="0" fontId="73" fillId="33" borderId="0" xfId="0" applyNumberFormat="1" applyFont="1" applyFill="1" applyAlignment="1">
      <alignment/>
    </xf>
    <xf numFmtId="0" fontId="79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>
      <alignment/>
    </xf>
    <xf numFmtId="0" fontId="76" fillId="33" borderId="0" xfId="0" applyNumberFormat="1" applyFont="1" applyFill="1" applyBorder="1" applyAlignment="1">
      <alignment horizontal="center"/>
    </xf>
    <xf numFmtId="0" fontId="76" fillId="33" borderId="0" xfId="0" applyNumberFormat="1" applyFont="1" applyFill="1" applyAlignment="1">
      <alignment/>
    </xf>
    <xf numFmtId="0" fontId="80" fillId="33" borderId="0" xfId="0" applyNumberFormat="1" applyFont="1" applyFill="1" applyBorder="1" applyAlignment="1">
      <alignment horizontal="center"/>
    </xf>
    <xf numFmtId="0" fontId="76" fillId="33" borderId="0" xfId="0" applyNumberFormat="1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Border="1" applyAlignment="1">
      <alignment horizontal="center"/>
    </xf>
    <xf numFmtId="0" fontId="6" fillId="33" borderId="0" xfId="0" applyNumberFormat="1" applyFont="1" applyFill="1" applyBorder="1" applyAlignment="1">
      <alignment horizontal="center"/>
    </xf>
    <xf numFmtId="0" fontId="78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81" fillId="33" borderId="0" xfId="0" applyNumberFormat="1" applyFont="1" applyFill="1" applyAlignment="1">
      <alignment/>
    </xf>
    <xf numFmtId="0" fontId="3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4" fillId="33" borderId="0" xfId="0" applyNumberFormat="1" applyFont="1" applyFill="1" applyAlignment="1">
      <alignment/>
    </xf>
    <xf numFmtId="179" fontId="6" fillId="33" borderId="10" xfId="60" applyFont="1" applyFill="1" applyBorder="1" applyAlignment="1">
      <alignment vertical="center" wrapText="1"/>
    </xf>
    <xf numFmtId="179" fontId="3" fillId="33" borderId="10" xfId="60" applyFont="1" applyFill="1" applyBorder="1" applyAlignment="1">
      <alignment vertical="center" wrapText="1"/>
    </xf>
    <xf numFmtId="0" fontId="3" fillId="33" borderId="10" xfId="0" applyNumberFormat="1" applyFont="1" applyFill="1" applyBorder="1" applyAlignment="1">
      <alignment wrapText="1"/>
    </xf>
    <xf numFmtId="179" fontId="10" fillId="33" borderId="10" xfId="6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/>
    </xf>
    <xf numFmtId="43" fontId="10" fillId="33" borderId="10" xfId="6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11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 vertical="center"/>
    </xf>
    <xf numFmtId="0" fontId="12" fillId="33" borderId="11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80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>
      <alignment horizontal="center" vertical="center" wrapText="1"/>
    </xf>
    <xf numFmtId="0" fontId="11" fillId="34" borderId="0" xfId="0" applyNumberFormat="1" applyFont="1" applyFill="1" applyAlignment="1">
      <alignment/>
    </xf>
    <xf numFmtId="0" fontId="74" fillId="34" borderId="0" xfId="0" applyNumberFormat="1" applyFont="1" applyFill="1" applyAlignment="1">
      <alignment/>
    </xf>
    <xf numFmtId="2" fontId="74" fillId="34" borderId="0" xfId="0" applyNumberFormat="1" applyFont="1" applyFill="1" applyAlignment="1">
      <alignment/>
    </xf>
    <xf numFmtId="0" fontId="5" fillId="34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horizontal="center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0" xfId="0" applyNumberFormat="1" applyFont="1" applyFill="1" applyAlignment="1">
      <alignment/>
    </xf>
    <xf numFmtId="0" fontId="7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7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8" fillId="33" borderId="0" xfId="0" applyNumberFormat="1" applyFont="1" applyFill="1" applyAlignment="1">
      <alignment/>
    </xf>
    <xf numFmtId="0" fontId="77" fillId="33" borderId="10" xfId="0" applyNumberFormat="1" applyFont="1" applyFill="1" applyBorder="1" applyAlignment="1">
      <alignment horizontal="center" wrapText="1"/>
    </xf>
    <xf numFmtId="0" fontId="77" fillId="33" borderId="0" xfId="0" applyNumberFormat="1" applyFont="1" applyFill="1" applyBorder="1" applyAlignment="1">
      <alignment horizontal="center" wrapText="1"/>
    </xf>
    <xf numFmtId="0" fontId="78" fillId="33" borderId="0" xfId="0" applyNumberFormat="1" applyFont="1" applyFill="1" applyAlignment="1">
      <alignment wrapText="1"/>
    </xf>
    <xf numFmtId="0" fontId="77" fillId="33" borderId="10" xfId="0" applyNumberFormat="1" applyFont="1" applyFill="1" applyBorder="1" applyAlignment="1">
      <alignment horizontal="center"/>
    </xf>
    <xf numFmtId="0" fontId="77" fillId="33" borderId="0" xfId="0" applyNumberFormat="1" applyFont="1" applyFill="1" applyBorder="1" applyAlignment="1">
      <alignment horizontal="center"/>
    </xf>
    <xf numFmtId="0" fontId="78" fillId="33" borderId="0" xfId="0" applyNumberFormat="1" applyFont="1" applyFill="1" applyAlignment="1" applyProtection="1">
      <alignment horizontal="left"/>
      <protection locked="0"/>
    </xf>
    <xf numFmtId="0" fontId="78" fillId="33" borderId="0" xfId="0" applyNumberFormat="1" applyFont="1" applyFill="1" applyAlignment="1">
      <alignment/>
    </xf>
    <xf numFmtId="0" fontId="78" fillId="33" borderId="0" xfId="0" applyNumberFormat="1" applyFont="1" applyFill="1" applyAlignment="1">
      <alignment horizontal="left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/>
    </xf>
    <xf numFmtId="0" fontId="74" fillId="0" borderId="0" xfId="0" applyNumberFormat="1" applyFont="1" applyFill="1" applyAlignment="1">
      <alignment/>
    </xf>
    <xf numFmtId="2" fontId="7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6" fillId="33" borderId="10" xfId="0" applyNumberFormat="1" applyFont="1" applyFill="1" applyBorder="1" applyAlignment="1">
      <alignment horizontal="center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73" fillId="33" borderId="0" xfId="0" applyNumberFormat="1" applyFont="1" applyFill="1" applyBorder="1" applyAlignment="1">
      <alignment horizontal="center"/>
    </xf>
    <xf numFmtId="0" fontId="79" fillId="33" borderId="0" xfId="0" applyNumberFormat="1" applyFont="1" applyFill="1" applyBorder="1" applyAlignment="1">
      <alignment horizontal="center" wrapText="1"/>
    </xf>
    <xf numFmtId="0" fontId="73" fillId="33" borderId="0" xfId="0" applyNumberFormat="1" applyFont="1" applyFill="1" applyBorder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82" fillId="33" borderId="0" xfId="0" applyNumberFormat="1" applyFont="1" applyFill="1" applyAlignment="1" applyProtection="1">
      <alignment/>
      <protection locked="0"/>
    </xf>
    <xf numFmtId="0" fontId="14" fillId="33" borderId="0" xfId="0" applyNumberFormat="1" applyFont="1" applyFill="1" applyAlignment="1" applyProtection="1">
      <alignment/>
      <protection locked="0"/>
    </xf>
    <xf numFmtId="0" fontId="82" fillId="33" borderId="0" xfId="0" applyNumberFormat="1" applyFont="1" applyFill="1" applyAlignment="1" applyProtection="1">
      <alignment horizontal="left"/>
      <protection locked="0"/>
    </xf>
    <xf numFmtId="0" fontId="14" fillId="33" borderId="0" xfId="0" applyNumberFormat="1" applyFont="1" applyFill="1" applyAlignment="1" applyProtection="1">
      <alignment horizontal="left"/>
      <protection locked="0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73" fillId="33" borderId="0" xfId="0" applyNumberFormat="1" applyFont="1" applyFill="1" applyAlignment="1">
      <alignment horizontal="left"/>
    </xf>
    <xf numFmtId="0" fontId="73" fillId="33" borderId="0" xfId="0" applyNumberFormat="1" applyFont="1" applyFill="1" applyAlignment="1">
      <alignment horizontal="left"/>
    </xf>
    <xf numFmtId="0" fontId="73" fillId="33" borderId="0" xfId="0" applyNumberFormat="1" applyFont="1" applyFill="1" applyBorder="1" applyAlignment="1">
      <alignment wrapText="1"/>
    </xf>
    <xf numFmtId="0" fontId="73" fillId="33" borderId="0" xfId="0" applyNumberFormat="1" applyFont="1" applyFill="1" applyBorder="1" applyAlignment="1">
      <alignment horizontal="left" wrapText="1"/>
    </xf>
    <xf numFmtId="0" fontId="73" fillId="33" borderId="0" xfId="0" applyNumberFormat="1" applyFont="1" applyFill="1" applyAlignment="1">
      <alignment horizontal="center" wrapText="1"/>
    </xf>
    <xf numFmtId="0" fontId="83" fillId="33" borderId="0" xfId="0" applyNumberFormat="1" applyFont="1" applyFill="1" applyAlignment="1">
      <alignment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horizontal="center" wrapText="1"/>
    </xf>
    <xf numFmtId="0" fontId="80" fillId="0" borderId="0" xfId="0" applyNumberFormat="1" applyFont="1" applyFill="1" applyBorder="1" applyAlignment="1">
      <alignment horizontal="center" wrapText="1"/>
    </xf>
    <xf numFmtId="0" fontId="77" fillId="0" borderId="0" xfId="0" applyNumberFormat="1" applyFont="1" applyFill="1" applyBorder="1" applyAlignment="1">
      <alignment horizontal="center" wrapText="1"/>
    </xf>
    <xf numFmtId="0" fontId="7" fillId="0" borderId="0" xfId="0" applyNumberFormat="1" applyFont="1" applyFill="1" applyAlignment="1">
      <alignment wrapText="1"/>
    </xf>
    <xf numFmtId="0" fontId="76" fillId="0" borderId="0" xfId="0" applyNumberFormat="1" applyFont="1" applyFill="1" applyAlignment="1">
      <alignment horizontal="center" wrapText="1"/>
    </xf>
    <xf numFmtId="0" fontId="76" fillId="0" borderId="0" xfId="0" applyNumberFormat="1" applyFont="1" applyFill="1" applyAlignment="1">
      <alignment wrapText="1"/>
    </xf>
    <xf numFmtId="0" fontId="73" fillId="0" borderId="0" xfId="0" applyNumberFormat="1" applyFont="1" applyFill="1" applyAlignment="1">
      <alignment horizontal="right" vertical="center" wrapText="1"/>
    </xf>
    <xf numFmtId="0" fontId="73" fillId="0" borderId="0" xfId="0" applyNumberFormat="1" applyFont="1" applyFill="1" applyAlignment="1">
      <alignment wrapText="1"/>
    </xf>
    <xf numFmtId="0" fontId="78" fillId="0" borderId="0" xfId="0" applyNumberFormat="1" applyFont="1" applyFill="1" applyAlignment="1">
      <alignment wrapText="1"/>
    </xf>
    <xf numFmtId="0" fontId="73" fillId="0" borderId="0" xfId="0" applyNumberFormat="1" applyFont="1" applyFill="1" applyAlignment="1">
      <alignment/>
    </xf>
    <xf numFmtId="0" fontId="78" fillId="0" borderId="0" xfId="0" applyNumberFormat="1" applyFont="1" applyFill="1" applyAlignment="1">
      <alignment/>
    </xf>
    <xf numFmtId="0" fontId="84" fillId="0" borderId="0" xfId="0" applyNumberFormat="1" applyFont="1" applyFill="1" applyAlignment="1">
      <alignment/>
    </xf>
    <xf numFmtId="0" fontId="72" fillId="0" borderId="0" xfId="0" applyNumberFormat="1" applyFont="1" applyFill="1" applyAlignment="1">
      <alignment/>
    </xf>
    <xf numFmtId="0" fontId="77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Alignment="1">
      <alignment/>
    </xf>
    <xf numFmtId="0" fontId="76" fillId="0" borderId="0" xfId="0" applyNumberFormat="1" applyFont="1" applyFill="1" applyAlignment="1">
      <alignment/>
    </xf>
    <xf numFmtId="2" fontId="73" fillId="0" borderId="0" xfId="0" applyNumberFormat="1" applyFont="1" applyFill="1" applyAlignment="1">
      <alignment/>
    </xf>
    <xf numFmtId="2" fontId="72" fillId="0" borderId="0" xfId="0" applyNumberFormat="1" applyFont="1" applyFill="1" applyAlignment="1">
      <alignment/>
    </xf>
    <xf numFmtId="0" fontId="73" fillId="0" borderId="0" xfId="0" applyNumberFormat="1" applyFont="1" applyFill="1" applyBorder="1" applyAlignment="1">
      <alignment/>
    </xf>
    <xf numFmtId="0" fontId="73" fillId="0" borderId="0" xfId="0" applyNumberFormat="1" applyFont="1" applyFill="1" applyBorder="1" applyAlignment="1">
      <alignment horizontal="center"/>
    </xf>
    <xf numFmtId="0" fontId="85" fillId="0" borderId="0" xfId="0" applyNumberFormat="1" applyFont="1" applyFill="1" applyAlignment="1">
      <alignment/>
    </xf>
    <xf numFmtId="0" fontId="79" fillId="0" borderId="0" xfId="0" applyNumberFormat="1" applyFont="1" applyFill="1" applyBorder="1" applyAlignment="1">
      <alignment horizontal="center"/>
    </xf>
    <xf numFmtId="0" fontId="79" fillId="0" borderId="0" xfId="0" applyNumberFormat="1" applyFont="1" applyFill="1" applyBorder="1" applyAlignment="1">
      <alignment horizontal="center" wrapText="1"/>
    </xf>
    <xf numFmtId="0" fontId="79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/>
    </xf>
    <xf numFmtId="0" fontId="73" fillId="0" borderId="0" xfId="0" applyNumberFormat="1" applyFont="1" applyFill="1" applyAlignment="1">
      <alignment horizontal="left"/>
    </xf>
    <xf numFmtId="0" fontId="79" fillId="0" borderId="13" xfId="0" applyNumberFormat="1" applyFont="1" applyFill="1" applyBorder="1" applyAlignment="1">
      <alignment horizontal="center" vertical="center"/>
    </xf>
    <xf numFmtId="0" fontId="79" fillId="0" borderId="0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/>
    </xf>
    <xf numFmtId="0" fontId="79" fillId="0" borderId="10" xfId="0" applyNumberFormat="1" applyFont="1" applyFill="1" applyBorder="1" applyAlignment="1">
      <alignment horizontal="center" vertical="center" wrapText="1"/>
    </xf>
    <xf numFmtId="0" fontId="79" fillId="0" borderId="17" xfId="0" applyNumberFormat="1" applyFont="1" applyFill="1" applyBorder="1" applyAlignment="1">
      <alignment horizontal="left" vertical="center" wrapText="1"/>
    </xf>
    <xf numFmtId="179" fontId="79" fillId="0" borderId="10" xfId="60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center" vertical="center" wrapText="1"/>
    </xf>
    <xf numFmtId="0" fontId="73" fillId="0" borderId="17" xfId="0" applyNumberFormat="1" applyFont="1" applyFill="1" applyBorder="1" applyAlignment="1">
      <alignment horizontal="left" vertical="center" wrapText="1"/>
    </xf>
    <xf numFmtId="179" fontId="73" fillId="0" borderId="10" xfId="60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 horizontal="left" vertical="center" wrapText="1"/>
    </xf>
    <xf numFmtId="43" fontId="73" fillId="0" borderId="10" xfId="60" applyNumberFormat="1" applyFont="1" applyFill="1" applyBorder="1" applyAlignment="1">
      <alignment horizontal="center" vertical="center" wrapText="1"/>
    </xf>
    <xf numFmtId="0" fontId="73" fillId="0" borderId="10" xfId="0" applyNumberFormat="1" applyFont="1" applyFill="1" applyBorder="1" applyAlignment="1">
      <alignment/>
    </xf>
    <xf numFmtId="0" fontId="79" fillId="0" borderId="17" xfId="0" applyNumberFormat="1" applyFont="1" applyFill="1" applyBorder="1" applyAlignment="1">
      <alignment horizontal="left"/>
    </xf>
    <xf numFmtId="0" fontId="73" fillId="0" borderId="10" xfId="0" applyNumberFormat="1" applyFont="1" applyFill="1" applyBorder="1" applyAlignment="1">
      <alignment horizontal="left"/>
    </xf>
    <xf numFmtId="0" fontId="79" fillId="0" borderId="14" xfId="0" applyNumberFormat="1" applyFont="1" applyFill="1" applyBorder="1" applyAlignment="1">
      <alignment horizontal="center" vertical="center"/>
    </xf>
    <xf numFmtId="0" fontId="73" fillId="0" borderId="10" xfId="0" applyNumberFormat="1" applyFont="1" applyFill="1" applyBorder="1" applyAlignment="1">
      <alignment horizontal="center"/>
    </xf>
    <xf numFmtId="0" fontId="79" fillId="0" borderId="10" xfId="0" applyNumberFormat="1" applyFont="1" applyFill="1" applyBorder="1" applyAlignment="1">
      <alignment horizontal="left"/>
    </xf>
    <xf numFmtId="0" fontId="73" fillId="0" borderId="17" xfId="0" applyNumberFormat="1" applyFont="1" applyFill="1" applyBorder="1" applyAlignment="1">
      <alignment horizontal="left"/>
    </xf>
    <xf numFmtId="0" fontId="73" fillId="0" borderId="0" xfId="0" applyNumberFormat="1" applyFont="1" applyFill="1" applyBorder="1" applyAlignment="1">
      <alignment horizontal="left" wrapText="1"/>
    </xf>
    <xf numFmtId="0" fontId="73" fillId="0" borderId="0" xfId="0" applyNumberFormat="1" applyFont="1" applyFill="1" applyAlignment="1">
      <alignment horizont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vertical="center" wrapText="1"/>
      <protection locked="0"/>
    </xf>
    <xf numFmtId="179" fontId="86" fillId="34" borderId="10" xfId="60" applyFont="1" applyFill="1" applyBorder="1" applyAlignment="1">
      <alignment horizontal="center" vertical="center" wrapText="1"/>
    </xf>
    <xf numFmtId="179" fontId="10" fillId="34" borderId="10" xfId="60" applyFont="1" applyFill="1" applyBorder="1" applyAlignment="1" applyProtection="1">
      <alignment horizontal="center" vertical="center" wrapText="1"/>
      <protection locked="0"/>
    </xf>
    <xf numFmtId="179" fontId="15" fillId="33" borderId="10" xfId="60" applyFont="1" applyFill="1" applyBorder="1" applyAlignment="1" applyProtection="1">
      <alignment vertical="center" wrapText="1"/>
      <protection locked="0"/>
    </xf>
    <xf numFmtId="179" fontId="87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>
      <alignment horizontal="center" vertical="center" wrapText="1"/>
    </xf>
    <xf numFmtId="179" fontId="15" fillId="33" borderId="10" xfId="60" applyFont="1" applyFill="1" applyBorder="1" applyAlignment="1" applyProtection="1">
      <alignment horizontal="center" vertical="center" wrapText="1"/>
      <protection locked="0"/>
    </xf>
    <xf numFmtId="180" fontId="87" fillId="33" borderId="10" xfId="60" applyNumberFormat="1" applyFont="1" applyFill="1" applyBorder="1" applyAlignment="1">
      <alignment horizontal="center" vertical="center" wrapText="1"/>
    </xf>
    <xf numFmtId="179" fontId="15" fillId="33" borderId="10" xfId="60" applyNumberFormat="1" applyFont="1" applyFill="1" applyBorder="1" applyAlignment="1" applyProtection="1">
      <alignment vertical="center" wrapText="1"/>
      <protection locked="0"/>
    </xf>
    <xf numFmtId="179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5" fillId="33" borderId="10" xfId="60" applyNumberFormat="1" applyFont="1" applyFill="1" applyBorder="1" applyAlignment="1" applyProtection="1">
      <alignment horizontal="center" vertical="center" wrapText="1"/>
      <protection locked="0"/>
    </xf>
    <xf numFmtId="195" fontId="10" fillId="34" borderId="10" xfId="60" applyNumberFormat="1" applyFont="1" applyFill="1" applyBorder="1" applyAlignment="1" applyProtection="1">
      <alignment vertical="center" wrapText="1"/>
      <protection locked="0"/>
    </xf>
    <xf numFmtId="195" fontId="10" fillId="34" borderId="10" xfId="60" applyNumberFormat="1" applyFont="1" applyFill="1" applyBorder="1" applyAlignment="1" applyProtection="1">
      <alignment horizontal="center" vertical="center" wrapText="1"/>
      <protection locked="0"/>
    </xf>
    <xf numFmtId="195" fontId="10" fillId="34" borderId="10" xfId="60" applyNumberFormat="1" applyFont="1" applyFill="1" applyBorder="1" applyAlignment="1">
      <alignment horizontal="right" vertical="center" wrapText="1"/>
    </xf>
    <xf numFmtId="195" fontId="10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0" fillId="33" borderId="10" xfId="60" applyFont="1" applyFill="1" applyBorder="1" applyAlignment="1" applyProtection="1">
      <alignment horizontal="center" vertical="center" wrapText="1"/>
      <protection locked="0"/>
    </xf>
    <xf numFmtId="179" fontId="86" fillId="33" borderId="10" xfId="60" applyFont="1" applyFill="1" applyBorder="1" applyAlignment="1">
      <alignment horizontal="center" vertical="center" wrapText="1"/>
    </xf>
    <xf numFmtId="179" fontId="86" fillId="34" borderId="10" xfId="60" applyFont="1" applyFill="1" applyBorder="1" applyAlignment="1" applyProtection="1">
      <alignment horizontal="center" vertical="center" wrapText="1"/>
      <protection locked="0"/>
    </xf>
    <xf numFmtId="179" fontId="87" fillId="33" borderId="10" xfId="60" applyFont="1" applyFill="1" applyBorder="1" applyAlignment="1" applyProtection="1">
      <alignment horizontal="center" vertical="center" wrapText="1"/>
      <protection locked="0"/>
    </xf>
    <xf numFmtId="43" fontId="87" fillId="33" borderId="10" xfId="60" applyNumberFormat="1" applyFont="1" applyFill="1" applyBorder="1" applyAlignment="1">
      <alignment horizontal="center" vertical="center" wrapText="1"/>
    </xf>
    <xf numFmtId="179" fontId="86" fillId="34" borderId="10" xfId="60" applyFont="1" applyFill="1" applyBorder="1" applyAlignment="1" applyProtection="1">
      <alignment horizontal="center" vertical="center" wrapText="1"/>
      <protection/>
    </xf>
    <xf numFmtId="179" fontId="10" fillId="34" borderId="10" xfId="60" applyFont="1" applyFill="1" applyBorder="1" applyAlignment="1" applyProtection="1">
      <alignment horizontal="center" vertical="center" wrapText="1"/>
      <protection/>
    </xf>
    <xf numFmtId="179" fontId="87" fillId="33" borderId="10" xfId="60" applyFont="1" applyFill="1" applyBorder="1" applyAlignment="1" applyProtection="1">
      <alignment horizontal="center" vertical="center" wrapText="1"/>
      <protection/>
    </xf>
    <xf numFmtId="179" fontId="15" fillId="33" borderId="10" xfId="60" applyFont="1" applyFill="1" applyBorder="1" applyAlignment="1" applyProtection="1">
      <alignment horizontal="center" vertical="center" wrapText="1"/>
      <protection/>
    </xf>
    <xf numFmtId="179" fontId="15" fillId="0" borderId="10" xfId="60" applyFont="1" applyFill="1" applyBorder="1" applyAlignment="1" applyProtection="1">
      <alignment horizontal="center" vertical="center" wrapText="1"/>
      <protection locked="0"/>
    </xf>
    <xf numFmtId="179" fontId="87" fillId="0" borderId="10" xfId="60" applyFont="1" applyFill="1" applyBorder="1" applyAlignment="1">
      <alignment horizontal="center" vertical="center" wrapText="1"/>
    </xf>
    <xf numFmtId="179" fontId="15" fillId="0" borderId="10" xfId="60" applyFont="1" applyFill="1" applyBorder="1" applyAlignment="1">
      <alignment horizontal="center" vertical="center" wrapText="1"/>
    </xf>
    <xf numFmtId="179" fontId="87" fillId="0" borderId="10" xfId="60" applyFont="1" applyFill="1" applyBorder="1" applyAlignment="1" applyProtection="1">
      <alignment horizontal="center" vertical="center" wrapText="1"/>
      <protection/>
    </xf>
    <xf numFmtId="179" fontId="15" fillId="0" borderId="10" xfId="60" applyFont="1" applyFill="1" applyBorder="1" applyAlignment="1" applyProtection="1">
      <alignment horizontal="center" vertical="center" wrapText="1"/>
      <protection/>
    </xf>
    <xf numFmtId="195" fontId="10" fillId="34" borderId="10" xfId="60" applyNumberFormat="1" applyFont="1" applyFill="1" applyBorder="1" applyAlignment="1" applyProtection="1">
      <alignment horizontal="right" vertical="center" wrapText="1"/>
      <protection/>
    </xf>
    <xf numFmtId="195" fontId="15" fillId="33" borderId="10" xfId="60" applyNumberFormat="1" applyFont="1" applyFill="1" applyBorder="1" applyAlignment="1" applyProtection="1">
      <alignment horizontal="right" vertical="center" wrapText="1"/>
      <protection locked="0"/>
    </xf>
    <xf numFmtId="179" fontId="86" fillId="33" borderId="10" xfId="60" applyFont="1" applyFill="1" applyBorder="1" applyAlignment="1" applyProtection="1">
      <alignment horizontal="center" vertical="center" wrapText="1"/>
      <protection/>
    </xf>
    <xf numFmtId="179" fontId="10" fillId="33" borderId="10" xfId="60" applyFont="1" applyFill="1" applyBorder="1" applyAlignment="1" applyProtection="1">
      <alignment horizontal="center" vertical="center" wrapText="1"/>
      <protection/>
    </xf>
    <xf numFmtId="193" fontId="15" fillId="0" borderId="10" xfId="60" applyNumberFormat="1" applyFont="1" applyFill="1" applyBorder="1" applyAlignment="1" applyProtection="1">
      <alignment horizontal="center" vertical="center" wrapText="1"/>
      <protection locked="0"/>
    </xf>
    <xf numFmtId="195" fontId="15" fillId="0" borderId="10" xfId="60" applyNumberFormat="1" applyFont="1" applyFill="1" applyBorder="1" applyAlignment="1" applyProtection="1">
      <alignment horizontal="right" vertical="center" wrapText="1"/>
      <protection locked="0"/>
    </xf>
    <xf numFmtId="195" fontId="15" fillId="33" borderId="10" xfId="60" applyNumberFormat="1" applyFont="1" applyFill="1" applyBorder="1" applyAlignment="1">
      <alignment horizontal="right" vertical="center" wrapText="1"/>
    </xf>
    <xf numFmtId="179" fontId="15" fillId="33" borderId="10" xfId="60" applyNumberFormat="1" applyFont="1" applyFill="1" applyBorder="1" applyAlignment="1">
      <alignment horizontal="center" vertical="center" wrapText="1"/>
    </xf>
    <xf numFmtId="195" fontId="15" fillId="0" borderId="10" xfId="60" applyNumberFormat="1" applyFont="1" applyFill="1" applyBorder="1" applyAlignment="1" applyProtection="1">
      <alignment vertical="center" wrapText="1"/>
      <protection locked="0"/>
    </xf>
    <xf numFmtId="0" fontId="16" fillId="33" borderId="10" xfId="0" applyNumberFormat="1" applyFont="1" applyFill="1" applyBorder="1" applyAlignment="1">
      <alignment horizontal="center" wrapText="1"/>
    </xf>
    <xf numFmtId="0" fontId="88" fillId="33" borderId="10" xfId="0" applyNumberFormat="1" applyFont="1" applyFill="1" applyBorder="1" applyAlignment="1">
      <alignment horizontal="center" wrapText="1"/>
    </xf>
    <xf numFmtId="0" fontId="16" fillId="33" borderId="10" xfId="0" applyNumberFormat="1" applyFont="1" applyFill="1" applyBorder="1" applyAlignment="1" applyProtection="1">
      <alignment horizontal="center" wrapText="1"/>
      <protection locked="0"/>
    </xf>
    <xf numFmtId="0" fontId="16" fillId="34" borderId="10" xfId="0" applyNumberFormat="1" applyFont="1" applyFill="1" applyBorder="1" applyAlignment="1" applyProtection="1">
      <alignment horizontal="center" vertical="center" wrapText="1"/>
      <protection/>
    </xf>
    <xf numFmtId="0" fontId="16" fillId="34" borderId="10" xfId="0" applyNumberFormat="1" applyFont="1" applyFill="1" applyBorder="1" applyAlignment="1">
      <alignment horizontal="center" vertical="center" wrapText="1"/>
    </xf>
    <xf numFmtId="179" fontId="16" fillId="34" borderId="10" xfId="60" applyFont="1" applyFill="1" applyBorder="1" applyAlignment="1" applyProtection="1">
      <alignment vertical="center" wrapText="1"/>
      <protection locked="0"/>
    </xf>
    <xf numFmtId="179" fontId="88" fillId="34" borderId="10" xfId="60" applyFont="1" applyFill="1" applyBorder="1" applyAlignment="1">
      <alignment horizontal="center" vertical="center" wrapText="1"/>
    </xf>
    <xf numFmtId="179" fontId="16" fillId="34" borderId="10" xfId="60" applyFont="1" applyFill="1" applyBorder="1" applyAlignment="1">
      <alignment horizontal="center" vertical="center" wrapText="1"/>
    </xf>
    <xf numFmtId="179" fontId="16" fillId="34" borderId="10" xfId="60" applyFont="1" applyFill="1" applyBorder="1" applyAlignment="1" applyProtection="1">
      <alignment horizontal="center" vertical="center" wrapText="1"/>
      <protection locked="0"/>
    </xf>
    <xf numFmtId="0" fontId="89" fillId="33" borderId="10" xfId="0" applyNumberFormat="1" applyFont="1" applyFill="1" applyBorder="1" applyAlignment="1" applyProtection="1">
      <alignment horizontal="center" vertical="center" wrapText="1"/>
      <protection/>
    </xf>
    <xf numFmtId="0" fontId="16" fillId="33" borderId="10" xfId="0" applyNumberFormat="1" applyFont="1" applyFill="1" applyBorder="1" applyAlignment="1">
      <alignment horizontal="center" vertical="center" wrapText="1"/>
    </xf>
    <xf numFmtId="179" fontId="17" fillId="33" borderId="10" xfId="60" applyFont="1" applyFill="1" applyBorder="1" applyAlignment="1" applyProtection="1">
      <alignment vertical="center" wrapText="1"/>
      <protection locked="0"/>
    </xf>
    <xf numFmtId="179" fontId="90" fillId="33" borderId="10" xfId="60" applyFont="1" applyFill="1" applyBorder="1" applyAlignment="1">
      <alignment horizontal="center" vertical="center" wrapText="1"/>
    </xf>
    <xf numFmtId="179" fontId="17" fillId="33" borderId="10" xfId="60" applyFont="1" applyFill="1" applyBorder="1" applyAlignment="1">
      <alignment horizontal="center" vertical="center" wrapText="1"/>
    </xf>
    <xf numFmtId="179" fontId="17" fillId="33" borderId="10" xfId="60" applyFont="1" applyFill="1" applyBorder="1" applyAlignment="1" applyProtection="1">
      <alignment horizontal="center" vertical="center" wrapText="1"/>
      <protection locked="0"/>
    </xf>
    <xf numFmtId="0" fontId="16" fillId="33" borderId="10" xfId="0" applyNumberFormat="1" applyFont="1" applyFill="1" applyBorder="1" applyAlignment="1" applyProtection="1">
      <alignment horizontal="center" vertical="center" wrapText="1"/>
      <protection/>
    </xf>
    <xf numFmtId="180" fontId="90" fillId="33" borderId="10" xfId="6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10" xfId="0" applyNumberFormat="1" applyFont="1" applyFill="1" applyBorder="1" applyAlignment="1">
      <alignment horizontal="center" vertical="center" wrapText="1"/>
    </xf>
    <xf numFmtId="179" fontId="17" fillId="33" borderId="10" xfId="60" applyNumberFormat="1" applyFont="1" applyFill="1" applyBorder="1" applyAlignment="1" applyProtection="1">
      <alignment vertical="center" wrapText="1"/>
      <protection locked="0"/>
    </xf>
    <xf numFmtId="179" fontId="17" fillId="33" borderId="10" xfId="60" applyNumberFormat="1" applyFont="1" applyFill="1" applyBorder="1" applyAlignment="1" applyProtection="1">
      <alignment horizontal="center" vertical="center" wrapText="1"/>
      <protection locked="0"/>
    </xf>
    <xf numFmtId="193" fontId="17" fillId="33" borderId="10" xfId="60" applyNumberFormat="1" applyFont="1" applyFill="1" applyBorder="1" applyAlignment="1" applyProtection="1">
      <alignment horizontal="center" vertical="center" wrapText="1"/>
      <protection locked="0"/>
    </xf>
    <xf numFmtId="0" fontId="17" fillId="34" borderId="10" xfId="0" applyNumberFormat="1" applyFont="1" applyFill="1" applyBorder="1" applyAlignment="1">
      <alignment horizontal="center" vertical="center" wrapText="1"/>
    </xf>
    <xf numFmtId="195" fontId="16" fillId="34" borderId="10" xfId="60" applyNumberFormat="1" applyFont="1" applyFill="1" applyBorder="1" applyAlignment="1" applyProtection="1">
      <alignment vertical="center" wrapText="1"/>
      <protection locked="0"/>
    </xf>
    <xf numFmtId="195" fontId="16" fillId="34" borderId="10" xfId="60" applyNumberFormat="1" applyFont="1" applyFill="1" applyBorder="1" applyAlignment="1" applyProtection="1">
      <alignment horizontal="center" vertical="center" wrapText="1"/>
      <protection locked="0"/>
    </xf>
    <xf numFmtId="195" fontId="16" fillId="34" borderId="10" xfId="60" applyNumberFormat="1" applyFont="1" applyFill="1" applyBorder="1" applyAlignment="1">
      <alignment horizontal="right" vertical="center" wrapText="1"/>
    </xf>
    <xf numFmtId="195" fontId="16" fillId="34" borderId="10" xfId="60" applyNumberFormat="1" applyFont="1" applyFill="1" applyBorder="1" applyAlignment="1" applyProtection="1">
      <alignment horizontal="right" vertical="center" wrapText="1"/>
      <protection locked="0"/>
    </xf>
    <xf numFmtId="179" fontId="16" fillId="33" borderId="10" xfId="60" applyFont="1" applyFill="1" applyBorder="1" applyAlignment="1" applyProtection="1">
      <alignment horizontal="center" vertical="center" wrapText="1"/>
      <protection locked="0"/>
    </xf>
    <xf numFmtId="179" fontId="88" fillId="33" borderId="10" xfId="60" applyFont="1" applyFill="1" applyBorder="1" applyAlignment="1">
      <alignment horizontal="center" vertical="center" wrapText="1"/>
    </xf>
    <xf numFmtId="179" fontId="16" fillId="33" borderId="10" xfId="6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 applyProtection="1">
      <alignment wrapText="1"/>
      <protection/>
    </xf>
    <xf numFmtId="179" fontId="10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 locked="0"/>
    </xf>
    <xf numFmtId="179" fontId="86" fillId="35" borderId="10" xfId="60" applyFont="1" applyFill="1" applyBorder="1" applyAlignment="1" applyProtection="1">
      <alignment horizontal="center" vertical="center" wrapText="1"/>
      <protection/>
    </xf>
    <xf numFmtId="195" fontId="10" fillId="35" borderId="10" xfId="60" applyNumberFormat="1" applyFont="1" applyFill="1" applyBorder="1" applyAlignment="1" applyProtection="1">
      <alignment horizontal="right" vertical="center" wrapText="1"/>
      <protection locked="0"/>
    </xf>
    <xf numFmtId="179" fontId="86" fillId="35" borderId="10" xfId="60" applyFont="1" applyFill="1" applyBorder="1" applyAlignment="1">
      <alignment horizontal="center" vertical="center" wrapText="1"/>
    </xf>
    <xf numFmtId="179" fontId="10" fillId="35" borderId="10" xfId="60" applyFont="1" applyFill="1" applyBorder="1" applyAlignment="1" applyProtection="1">
      <alignment horizontal="center" vertical="center" wrapText="1"/>
      <protection/>
    </xf>
    <xf numFmtId="195" fontId="17" fillId="33" borderId="10" xfId="60" applyNumberFormat="1" applyFont="1" applyFill="1" applyBorder="1" applyAlignment="1" applyProtection="1">
      <alignment vertical="center" wrapText="1"/>
      <protection locked="0"/>
    </xf>
    <xf numFmtId="195" fontId="17" fillId="33" borderId="10" xfId="60" applyNumberFormat="1" applyFont="1" applyFill="1" applyBorder="1" applyAlignment="1" applyProtection="1">
      <alignment horizontal="right" vertical="center" wrapText="1"/>
      <protection locked="0"/>
    </xf>
    <xf numFmtId="195" fontId="15" fillId="33" borderId="10" xfId="60" applyNumberFormat="1" applyFont="1" applyFill="1" applyBorder="1" applyAlignment="1" applyProtection="1">
      <alignment vertical="center" wrapText="1"/>
      <protection locked="0"/>
    </xf>
    <xf numFmtId="0" fontId="16" fillId="33" borderId="10" xfId="0" applyNumberFormat="1" applyFont="1" applyFill="1" applyBorder="1" applyAlignment="1">
      <alignment horizontal="center"/>
    </xf>
    <xf numFmtId="0" fontId="16" fillId="34" borderId="17" xfId="0" applyNumberFormat="1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center" vertical="center" wrapText="1"/>
    </xf>
    <xf numFmtId="0" fontId="16" fillId="33" borderId="15" xfId="0" applyNumberFormat="1" applyFont="1" applyFill="1" applyBorder="1" applyAlignment="1">
      <alignment horizontal="left" vertical="center" wrapText="1"/>
    </xf>
    <xf numFmtId="0" fontId="16" fillId="33" borderId="16" xfId="0" applyNumberFormat="1" applyFont="1" applyFill="1" applyBorder="1" applyAlignment="1">
      <alignment horizontal="left" vertical="center" wrapText="1"/>
    </xf>
    <xf numFmtId="0" fontId="16" fillId="33" borderId="17" xfId="0" applyNumberFormat="1" applyFont="1" applyFill="1" applyBorder="1" applyAlignment="1">
      <alignment horizontal="left" vertical="center" wrapText="1"/>
    </xf>
    <xf numFmtId="0" fontId="16" fillId="33" borderId="17" xfId="0" applyNumberFormat="1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left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179" fontId="17" fillId="0" borderId="10" xfId="60" applyFont="1" applyFill="1" applyBorder="1" applyAlignment="1">
      <alignment horizontal="center" vertical="center" wrapText="1"/>
    </xf>
    <xf numFmtId="195" fontId="17" fillId="33" borderId="10" xfId="60" applyNumberFormat="1" applyFont="1" applyFill="1" applyBorder="1" applyAlignment="1">
      <alignment horizontal="right" vertical="center" wrapText="1"/>
    </xf>
    <xf numFmtId="0" fontId="16" fillId="34" borderId="17" xfId="0" applyNumberFormat="1" applyFont="1" applyFill="1" applyBorder="1" applyAlignment="1">
      <alignment horizontal="left" vertical="center" wrapText="1"/>
    </xf>
    <xf numFmtId="179" fontId="17" fillId="33" borderId="10" xfId="60" applyNumberFormat="1" applyFont="1" applyFill="1" applyBorder="1" applyAlignment="1">
      <alignment horizontal="center" vertical="center" wrapText="1"/>
    </xf>
    <xf numFmtId="0" fontId="18" fillId="33" borderId="0" xfId="0" applyNumberFormat="1" applyFont="1" applyFill="1" applyAlignment="1">
      <alignment/>
    </xf>
    <xf numFmtId="0" fontId="18" fillId="33" borderId="17" xfId="0" applyNumberFormat="1" applyFont="1" applyFill="1" applyBorder="1" applyAlignment="1">
      <alignment/>
    </xf>
    <xf numFmtId="0" fontId="17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7" xfId="0" applyNumberFormat="1" applyFont="1" applyFill="1" applyBorder="1" applyAlignment="1">
      <alignment horizontal="center" vertical="center" wrapText="1"/>
    </xf>
    <xf numFmtId="0" fontId="16" fillId="35" borderId="10" xfId="0" applyNumberFormat="1" applyFont="1" applyFill="1" applyBorder="1" applyAlignment="1">
      <alignment horizontal="center" vertical="center" wrapText="1"/>
    </xf>
    <xf numFmtId="179" fontId="16" fillId="35" borderId="10" xfId="60" applyFont="1" applyFill="1" applyBorder="1" applyAlignment="1">
      <alignment horizontal="center" vertical="center" wrapText="1"/>
    </xf>
    <xf numFmtId="0" fontId="1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15" xfId="0" applyNumberFormat="1" applyFont="1" applyFill="1" applyBorder="1" applyAlignment="1" applyProtection="1">
      <alignment horizontal="left" vertical="center" wrapText="1"/>
      <protection/>
    </xf>
    <xf numFmtId="0" fontId="17" fillId="33" borderId="16" xfId="0" applyNumberFormat="1" applyFont="1" applyFill="1" applyBorder="1" applyAlignment="1" applyProtection="1">
      <alignment horizontal="left" vertical="center" wrapText="1"/>
      <protection/>
    </xf>
    <xf numFmtId="0" fontId="17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3" borderId="10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 horizontal="left"/>
    </xf>
    <xf numFmtId="43" fontId="16" fillId="33" borderId="10" xfId="6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/>
    </xf>
    <xf numFmtId="0" fontId="17" fillId="33" borderId="17" xfId="0" applyNumberFormat="1" applyFont="1" applyFill="1" applyBorder="1" applyAlignment="1">
      <alignment horizontal="left"/>
    </xf>
    <xf numFmtId="0" fontId="91" fillId="0" borderId="0" xfId="0" applyNumberFormat="1" applyFont="1" applyFill="1" applyBorder="1" applyAlignment="1">
      <alignment/>
    </xf>
    <xf numFmtId="0" fontId="91" fillId="0" borderId="0" xfId="0" applyNumberFormat="1" applyFont="1" applyFill="1" applyBorder="1" applyAlignment="1">
      <alignment horizontal="center"/>
    </xf>
    <xf numFmtId="0" fontId="91" fillId="0" borderId="0" xfId="0" applyNumberFormat="1" applyFont="1" applyFill="1" applyAlignment="1">
      <alignment/>
    </xf>
    <xf numFmtId="0" fontId="92" fillId="0" borderId="0" xfId="0" applyNumberFormat="1" applyFont="1" applyFill="1" applyAlignment="1">
      <alignment/>
    </xf>
    <xf numFmtId="0" fontId="93" fillId="0" borderId="0" xfId="0" applyNumberFormat="1" applyFont="1" applyFill="1" applyBorder="1" applyAlignment="1">
      <alignment horizontal="center"/>
    </xf>
    <xf numFmtId="0" fontId="93" fillId="0" borderId="0" xfId="0" applyNumberFormat="1" applyFont="1" applyFill="1" applyBorder="1" applyAlignment="1">
      <alignment horizontal="center" wrapText="1"/>
    </xf>
    <xf numFmtId="0" fontId="93" fillId="0" borderId="0" xfId="0" applyNumberFormat="1" applyFont="1" applyFill="1" applyAlignment="1">
      <alignment/>
    </xf>
    <xf numFmtId="0" fontId="91" fillId="0" borderId="0" xfId="0" applyNumberFormat="1" applyFont="1" applyFill="1" applyAlignment="1">
      <alignment/>
    </xf>
    <xf numFmtId="0" fontId="91" fillId="0" borderId="0" xfId="0" applyNumberFormat="1" applyFont="1" applyFill="1" applyAlignment="1">
      <alignment horizontal="left"/>
    </xf>
    <xf numFmtId="193" fontId="10" fillId="33" borderId="10" xfId="60" applyNumberFormat="1" applyFont="1" applyFill="1" applyBorder="1" applyAlignment="1">
      <alignment horizontal="center" vertical="center" wrapText="1"/>
    </xf>
    <xf numFmtId="193" fontId="15" fillId="33" borderId="10" xfId="60" applyNumberFormat="1" applyFont="1" applyFill="1" applyBorder="1" applyAlignment="1">
      <alignment horizontal="center" vertical="center" wrapText="1"/>
    </xf>
    <xf numFmtId="193" fontId="15" fillId="33" borderId="10" xfId="60" applyNumberFormat="1" applyFont="1" applyFill="1" applyBorder="1" applyAlignment="1">
      <alignment horizontal="right" vertical="center" wrapText="1"/>
    </xf>
    <xf numFmtId="193" fontId="10" fillId="33" borderId="10" xfId="60" applyNumberFormat="1" applyFont="1" applyFill="1" applyBorder="1" applyAlignment="1">
      <alignment horizontal="right" vertical="center" wrapText="1"/>
    </xf>
    <xf numFmtId="193" fontId="16" fillId="33" borderId="10" xfId="60" applyNumberFormat="1" applyFont="1" applyFill="1" applyBorder="1" applyAlignment="1">
      <alignment horizontal="center" vertical="center" wrapText="1"/>
    </xf>
    <xf numFmtId="193" fontId="16" fillId="33" borderId="10" xfId="6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10" xfId="0" applyNumberFormat="1" applyFont="1" applyFill="1" applyBorder="1" applyAlignment="1">
      <alignment horizontal="center" wrapText="1"/>
    </xf>
    <xf numFmtId="0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179" fontId="15" fillId="34" borderId="10" xfId="60" applyFont="1" applyFill="1" applyBorder="1" applyAlignment="1" applyProtection="1">
      <alignment horizontal="center" vertical="center" wrapText="1"/>
      <protection locked="0"/>
    </xf>
    <xf numFmtId="179" fontId="87" fillId="34" borderId="10" xfId="60" applyFont="1" applyFill="1" applyBorder="1" applyAlignment="1">
      <alignment horizontal="center" vertical="center" wrapText="1"/>
    </xf>
    <xf numFmtId="179" fontId="15" fillId="34" borderId="10" xfId="60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left"/>
    </xf>
    <xf numFmtId="0" fontId="14" fillId="33" borderId="0" xfId="0" applyNumberFormat="1" applyFont="1" applyFill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6" fillId="34" borderId="15" xfId="0" applyNumberFormat="1" applyFont="1" applyFill="1" applyBorder="1" applyAlignment="1" applyProtection="1">
      <alignment horizontal="left" vertical="center" wrapText="1"/>
      <protection/>
    </xf>
    <xf numFmtId="0" fontId="13" fillId="34" borderId="16" xfId="0" applyFont="1" applyFill="1" applyBorder="1" applyAlignment="1">
      <alignment horizontal="left" vertical="center" wrapText="1"/>
    </xf>
    <xf numFmtId="0" fontId="13" fillId="34" borderId="17" xfId="0" applyFont="1" applyFill="1" applyBorder="1" applyAlignment="1">
      <alignment horizontal="left" vertical="center" wrapText="1"/>
    </xf>
    <xf numFmtId="0" fontId="17" fillId="33" borderId="15" xfId="0" applyNumberFormat="1" applyFont="1" applyFill="1" applyBorder="1" applyAlignment="1" applyProtection="1">
      <alignment horizontal="left" vertical="center" wrapText="1"/>
      <protection/>
    </xf>
    <xf numFmtId="179" fontId="17" fillId="33" borderId="18" xfId="6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179" fontId="90" fillId="33" borderId="18" xfId="6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0" xfId="0" applyNumberFormat="1" applyFont="1" applyFill="1" applyBorder="1" applyAlignment="1">
      <alignment horizontal="center"/>
    </xf>
    <xf numFmtId="179" fontId="17" fillId="33" borderId="18" xfId="60" applyFont="1" applyFill="1" applyBorder="1" applyAlignment="1">
      <alignment horizontal="center" vertical="center" wrapText="1"/>
    </xf>
    <xf numFmtId="179" fontId="17" fillId="33" borderId="18" xfId="60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 vertical="center" wrapText="1"/>
    </xf>
    <xf numFmtId="0" fontId="6" fillId="33" borderId="10" xfId="0" applyNumberFormat="1" applyFont="1" applyFill="1" applyBorder="1" applyAlignment="1" applyProtection="1">
      <alignment horizontal="center" wrapText="1"/>
      <protection locked="0"/>
    </xf>
    <xf numFmtId="0" fontId="6" fillId="33" borderId="20" xfId="0" applyNumberFormat="1" applyFont="1" applyFill="1" applyBorder="1" applyAlignment="1" applyProtection="1">
      <alignment horizontal="center" vertical="center"/>
      <protection locked="0"/>
    </xf>
    <xf numFmtId="0" fontId="6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/>
      <protection locked="0"/>
    </xf>
    <xf numFmtId="0" fontId="6" fillId="33" borderId="22" xfId="0" applyNumberFormat="1" applyFont="1" applyFill="1" applyBorder="1" applyAlignment="1" applyProtection="1">
      <alignment horizontal="center" vertical="center"/>
      <protection locked="0"/>
    </xf>
    <xf numFmtId="0" fontId="6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NumberFormat="1" applyFont="1" applyFill="1" applyBorder="1" applyAlignment="1" applyProtection="1">
      <alignment horizontal="left"/>
      <protection locked="0"/>
    </xf>
    <xf numFmtId="0" fontId="3" fillId="33" borderId="16" xfId="0" applyNumberFormat="1" applyFont="1" applyFill="1" applyBorder="1" applyAlignment="1" applyProtection="1">
      <alignment horizontal="left"/>
      <protection locked="0"/>
    </xf>
    <xf numFmtId="0" fontId="3" fillId="33" borderId="17" xfId="0" applyNumberFormat="1" applyFont="1" applyFill="1" applyBorder="1" applyAlignment="1" applyProtection="1">
      <alignment horizontal="left"/>
      <protection locked="0"/>
    </xf>
    <xf numFmtId="0" fontId="3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left"/>
      <protection locked="0"/>
    </xf>
    <xf numFmtId="0" fontId="4" fillId="33" borderId="0" xfId="0" applyNumberFormat="1" applyFont="1" applyFill="1" applyAlignment="1">
      <alignment horizontal="left"/>
    </xf>
    <xf numFmtId="0" fontId="6" fillId="33" borderId="15" xfId="0" applyNumberFormat="1" applyFont="1" applyFill="1" applyBorder="1" applyAlignment="1">
      <alignment horizontal="center" wrapText="1"/>
    </xf>
    <xf numFmtId="0" fontId="6" fillId="33" borderId="16" xfId="0" applyNumberFormat="1" applyFont="1" applyFill="1" applyBorder="1" applyAlignment="1">
      <alignment horizontal="center" wrapText="1"/>
    </xf>
    <xf numFmtId="0" fontId="6" fillId="33" borderId="17" xfId="0" applyNumberFormat="1" applyFont="1" applyFill="1" applyBorder="1" applyAlignment="1">
      <alignment horizontal="center" wrapText="1"/>
    </xf>
    <xf numFmtId="0" fontId="78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78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78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5" xfId="0" applyNumberFormat="1" applyFont="1" applyFill="1" applyBorder="1" applyAlignment="1" applyProtection="1">
      <alignment horizontal="left" vertical="center" wrapText="1"/>
      <protection/>
    </xf>
    <xf numFmtId="0" fontId="16" fillId="34" borderId="16" xfId="0" applyNumberFormat="1" applyFont="1" applyFill="1" applyBorder="1" applyAlignment="1" applyProtection="1">
      <alignment horizontal="left" vertical="center" wrapText="1"/>
      <protection/>
    </xf>
    <xf numFmtId="0" fontId="16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22" xfId="0" applyNumberFormat="1" applyFont="1" applyFill="1" applyBorder="1" applyAlignment="1" applyProtection="1">
      <alignment horizontal="center" wrapText="1"/>
      <protection locked="0"/>
    </xf>
    <xf numFmtId="0" fontId="17" fillId="33" borderId="16" xfId="0" applyNumberFormat="1" applyFont="1" applyFill="1" applyBorder="1" applyAlignment="1" applyProtection="1">
      <alignment horizontal="left" vertical="center" wrapText="1"/>
      <protection/>
    </xf>
    <xf numFmtId="0" fontId="17" fillId="33" borderId="17" xfId="0" applyNumberFormat="1" applyFont="1" applyFill="1" applyBorder="1" applyAlignment="1" applyProtection="1">
      <alignment horizontal="left" vertical="center" wrapText="1"/>
      <protection/>
    </xf>
    <xf numFmtId="0" fontId="16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16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17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3" borderId="20" xfId="0" applyNumberFormat="1" applyFont="1" applyFill="1" applyBorder="1" applyAlignment="1" applyProtection="1">
      <alignment horizontal="left" vertical="center" wrapText="1"/>
      <protection/>
    </xf>
    <xf numFmtId="0" fontId="17" fillId="33" borderId="12" xfId="0" applyNumberFormat="1" applyFont="1" applyFill="1" applyBorder="1" applyAlignment="1" applyProtection="1">
      <alignment horizontal="left" vertical="center" wrapText="1"/>
      <protection/>
    </xf>
    <xf numFmtId="0" fontId="17" fillId="33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6" fillId="33" borderId="18" xfId="0" applyNumberFormat="1" applyFont="1" applyFill="1" applyBorder="1" applyAlignment="1">
      <alignment horizontal="center" wrapText="1"/>
    </xf>
    <xf numFmtId="0" fontId="16" fillId="33" borderId="19" xfId="0" applyNumberFormat="1" applyFont="1" applyFill="1" applyBorder="1" applyAlignment="1">
      <alignment horizontal="center" wrapText="1"/>
    </xf>
    <xf numFmtId="0" fontId="16" fillId="33" borderId="15" xfId="0" applyNumberFormat="1" applyFont="1" applyFill="1" applyBorder="1" applyAlignment="1">
      <alignment horizontal="center" wrapText="1"/>
    </xf>
    <xf numFmtId="0" fontId="16" fillId="33" borderId="16" xfId="0" applyNumberFormat="1" applyFont="1" applyFill="1" applyBorder="1" applyAlignment="1">
      <alignment horizontal="center" wrapText="1"/>
    </xf>
    <xf numFmtId="0" fontId="16" fillId="33" borderId="17" xfId="0" applyNumberFormat="1" applyFont="1" applyFill="1" applyBorder="1" applyAlignment="1">
      <alignment horizont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16" fillId="33" borderId="12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>
      <alignment horizontal="center" vertical="center"/>
    </xf>
    <xf numFmtId="0" fontId="16" fillId="33" borderId="21" xfId="0" applyNumberFormat="1" applyFont="1" applyFill="1" applyBorder="1" applyAlignment="1">
      <alignment horizontal="center" vertical="center"/>
    </xf>
    <xf numFmtId="0" fontId="16" fillId="33" borderId="22" xfId="0" applyNumberFormat="1" applyFont="1" applyFill="1" applyBorder="1" applyAlignment="1">
      <alignment horizontal="center" vertical="center"/>
    </xf>
    <xf numFmtId="0" fontId="16" fillId="33" borderId="14" xfId="0" applyNumberFormat="1" applyFont="1" applyFill="1" applyBorder="1" applyAlignment="1">
      <alignment horizontal="center" vertical="center"/>
    </xf>
    <xf numFmtId="0" fontId="6" fillId="33" borderId="16" xfId="0" applyNumberFormat="1" applyFont="1" applyFill="1" applyBorder="1" applyAlignment="1" applyProtection="1">
      <alignment horizontal="center" wrapText="1"/>
      <protection locked="0"/>
    </xf>
    <xf numFmtId="0" fontId="16" fillId="33" borderId="15" xfId="0" applyNumberFormat="1" applyFont="1" applyFill="1" applyBorder="1" applyAlignment="1" applyProtection="1">
      <alignment horizontal="left"/>
      <protection/>
    </xf>
    <xf numFmtId="0" fontId="16" fillId="33" borderId="16" xfId="0" applyNumberFormat="1" applyFont="1" applyFill="1" applyBorder="1" applyAlignment="1" applyProtection="1">
      <alignment horizontal="left"/>
      <protection/>
    </xf>
    <xf numFmtId="0" fontId="16" fillId="33" borderId="17" xfId="0" applyNumberFormat="1" applyFont="1" applyFill="1" applyBorder="1" applyAlignment="1" applyProtection="1">
      <alignment horizontal="left"/>
      <protection/>
    </xf>
    <xf numFmtId="0" fontId="17" fillId="33" borderId="15" xfId="0" applyNumberFormat="1" applyFont="1" applyFill="1" applyBorder="1" applyAlignment="1" applyProtection="1">
      <alignment horizontal="left" wrapText="1"/>
      <protection/>
    </xf>
    <xf numFmtId="0" fontId="17" fillId="33" borderId="16" xfId="0" applyNumberFormat="1" applyFont="1" applyFill="1" applyBorder="1" applyAlignment="1" applyProtection="1">
      <alignment horizontal="left" wrapText="1"/>
      <protection/>
    </xf>
    <xf numFmtId="0" fontId="17" fillId="33" borderId="17" xfId="0" applyNumberFormat="1" applyFont="1" applyFill="1" applyBorder="1" applyAlignment="1" applyProtection="1">
      <alignment horizontal="left" wrapText="1"/>
      <protection/>
    </xf>
    <xf numFmtId="0" fontId="77" fillId="34" borderId="15" xfId="0" applyNumberFormat="1" applyFont="1" applyFill="1" applyBorder="1" applyAlignment="1" applyProtection="1">
      <alignment horizontal="left" vertical="center" wrapText="1"/>
      <protection locked="0"/>
    </xf>
    <xf numFmtId="0" fontId="77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77" fillId="34" borderId="17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0" xfId="0" applyNumberFormat="1" applyFont="1" applyFill="1" applyBorder="1" applyAlignment="1" applyProtection="1">
      <alignment horizontal="left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33" borderId="16" xfId="0" applyNumberFormat="1" applyFont="1" applyFill="1" applyBorder="1" applyAlignment="1" applyProtection="1">
      <alignment horizontal="left" vertical="center" wrapText="1"/>
      <protection/>
    </xf>
    <xf numFmtId="0" fontId="3" fillId="33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/>
      <protection locked="0"/>
    </xf>
    <xf numFmtId="0" fontId="6" fillId="33" borderId="16" xfId="0" applyNumberFormat="1" applyFont="1" applyFill="1" applyBorder="1" applyAlignment="1" applyProtection="1">
      <alignment horizontal="left"/>
      <protection locked="0"/>
    </xf>
    <xf numFmtId="0" fontId="6" fillId="33" borderId="17" xfId="0" applyNumberFormat="1" applyFont="1" applyFill="1" applyBorder="1" applyAlignment="1" applyProtection="1">
      <alignment horizontal="left"/>
      <protection locked="0"/>
    </xf>
    <xf numFmtId="0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2" xfId="0" applyNumberFormat="1" applyFont="1" applyFill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6" fillId="33" borderId="10" xfId="0" applyNumberFormat="1" applyFont="1" applyFill="1" applyBorder="1" applyAlignment="1">
      <alignment horizontal="center" wrapText="1"/>
    </xf>
    <xf numFmtId="0" fontId="6" fillId="33" borderId="20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6" fillId="33" borderId="21" xfId="0" applyNumberFormat="1" applyFont="1" applyFill="1" applyBorder="1" applyAlignment="1">
      <alignment horizontal="center" vertical="center"/>
    </xf>
    <xf numFmtId="0" fontId="6" fillId="33" borderId="22" xfId="0" applyNumberFormat="1" applyFont="1" applyFill="1" applyBorder="1" applyAlignment="1">
      <alignment horizontal="center" vertical="center"/>
    </xf>
    <xf numFmtId="0" fontId="6" fillId="33" borderId="14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wrapText="1"/>
    </xf>
    <xf numFmtId="0" fontId="6" fillId="33" borderId="19" xfId="0" applyNumberFormat="1" applyFont="1" applyFill="1" applyBorder="1" applyAlignment="1">
      <alignment horizontal="center" wrapText="1"/>
    </xf>
    <xf numFmtId="0" fontId="6" fillId="33" borderId="15" xfId="0" applyNumberFormat="1" applyFont="1" applyFill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7" xfId="0" applyNumberFormat="1" applyFont="1" applyFill="1" applyBorder="1" applyAlignment="1">
      <alignment horizontal="left" vertical="center" wrapText="1"/>
    </xf>
    <xf numFmtId="0" fontId="3" fillId="33" borderId="15" xfId="0" applyNumberFormat="1" applyFont="1" applyFill="1" applyBorder="1" applyAlignment="1">
      <alignment horizontal="left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0" fontId="3" fillId="33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left"/>
    </xf>
    <xf numFmtId="0" fontId="6" fillId="33" borderId="16" xfId="0" applyNumberFormat="1" applyFont="1" applyFill="1" applyBorder="1" applyAlignment="1">
      <alignment horizontal="left"/>
    </xf>
    <xf numFmtId="0" fontId="6" fillId="33" borderId="17" xfId="0" applyNumberFormat="1" applyFont="1" applyFill="1" applyBorder="1" applyAlignment="1">
      <alignment horizontal="left"/>
    </xf>
    <xf numFmtId="0" fontId="3" fillId="33" borderId="15" xfId="0" applyNumberFormat="1" applyFont="1" applyFill="1" applyBorder="1" applyAlignment="1">
      <alignment horizontal="left" wrapText="1"/>
    </xf>
    <xf numFmtId="0" fontId="3" fillId="33" borderId="16" xfId="0" applyNumberFormat="1" applyFont="1" applyFill="1" applyBorder="1" applyAlignment="1">
      <alignment horizontal="left" wrapText="1"/>
    </xf>
    <xf numFmtId="0" fontId="3" fillId="33" borderId="17" xfId="0" applyNumberFormat="1" applyFont="1" applyFill="1" applyBorder="1" applyAlignment="1">
      <alignment horizontal="left" wrapText="1"/>
    </xf>
    <xf numFmtId="0" fontId="77" fillId="33" borderId="15" xfId="0" applyNumberFormat="1" applyFont="1" applyFill="1" applyBorder="1" applyAlignment="1">
      <alignment horizontal="left" vertical="center" wrapText="1"/>
    </xf>
    <xf numFmtId="0" fontId="77" fillId="33" borderId="16" xfId="0" applyNumberFormat="1" applyFont="1" applyFill="1" applyBorder="1" applyAlignment="1">
      <alignment horizontal="left" vertical="center" wrapText="1"/>
    </xf>
    <xf numFmtId="0" fontId="77" fillId="33" borderId="17" xfId="0" applyNumberFormat="1" applyFont="1" applyFill="1" applyBorder="1" applyAlignment="1">
      <alignment horizontal="left" vertical="center" wrapText="1"/>
    </xf>
    <xf numFmtId="0" fontId="78" fillId="33" borderId="15" xfId="0" applyNumberFormat="1" applyFont="1" applyFill="1" applyBorder="1" applyAlignment="1">
      <alignment horizontal="left" vertical="center" wrapText="1"/>
    </xf>
    <xf numFmtId="0" fontId="78" fillId="33" borderId="16" xfId="0" applyNumberFormat="1" applyFont="1" applyFill="1" applyBorder="1" applyAlignment="1">
      <alignment horizontal="left" vertical="center" wrapText="1"/>
    </xf>
    <xf numFmtId="0" fontId="78" fillId="33" borderId="17" xfId="0" applyNumberFormat="1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/>
    </xf>
    <xf numFmtId="0" fontId="3" fillId="33" borderId="10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left"/>
    </xf>
    <xf numFmtId="0" fontId="6" fillId="34" borderId="15" xfId="0" applyNumberFormat="1" applyFont="1" applyFill="1" applyBorder="1" applyAlignment="1">
      <alignment horizontal="left" vertical="center" wrapText="1"/>
    </xf>
    <xf numFmtId="0" fontId="6" fillId="34" borderId="16" xfId="0" applyNumberFormat="1" applyFont="1" applyFill="1" applyBorder="1" applyAlignment="1">
      <alignment horizontal="left" vertical="center" wrapText="1"/>
    </xf>
    <xf numFmtId="0" fontId="6" fillId="34" borderId="17" xfId="0" applyNumberFormat="1" applyFont="1" applyFill="1" applyBorder="1" applyAlignment="1">
      <alignment horizontal="left" vertical="center" wrapText="1"/>
    </xf>
    <xf numFmtId="0" fontId="6" fillId="33" borderId="1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33" borderId="17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19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left"/>
    </xf>
    <xf numFmtId="0" fontId="3" fillId="33" borderId="16" xfId="0" applyNumberFormat="1" applyFont="1" applyFill="1" applyBorder="1" applyAlignment="1">
      <alignment horizontal="left"/>
    </xf>
    <xf numFmtId="0" fontId="3" fillId="33" borderId="17" xfId="0" applyNumberFormat="1" applyFont="1" applyFill="1" applyBorder="1" applyAlignment="1">
      <alignment horizontal="left"/>
    </xf>
    <xf numFmtId="0" fontId="73" fillId="0" borderId="0" xfId="0" applyNumberFormat="1" applyFont="1" applyFill="1" applyAlignment="1">
      <alignment horizontal="left"/>
    </xf>
    <xf numFmtId="0" fontId="79" fillId="0" borderId="22" xfId="0" applyNumberFormat="1" applyFont="1" applyFill="1" applyBorder="1" applyAlignment="1">
      <alignment horizontal="center" vertical="center" wrapText="1"/>
    </xf>
    <xf numFmtId="0" fontId="79" fillId="0" borderId="10" xfId="0" applyNumberFormat="1" applyFont="1" applyFill="1" applyBorder="1" applyAlignment="1">
      <alignment horizontal="center" wrapText="1"/>
    </xf>
    <xf numFmtId="0" fontId="79" fillId="0" borderId="20" xfId="0" applyNumberFormat="1" applyFont="1" applyFill="1" applyBorder="1" applyAlignment="1">
      <alignment horizontal="center" vertical="center"/>
    </xf>
    <xf numFmtId="0" fontId="79" fillId="0" borderId="12" xfId="0" applyNumberFormat="1" applyFont="1" applyFill="1" applyBorder="1" applyAlignment="1">
      <alignment horizontal="center" vertical="center"/>
    </xf>
    <xf numFmtId="0" fontId="79" fillId="0" borderId="13" xfId="0" applyNumberFormat="1" applyFont="1" applyFill="1" applyBorder="1" applyAlignment="1">
      <alignment horizontal="center" vertical="center"/>
    </xf>
    <xf numFmtId="0" fontId="79" fillId="0" borderId="21" xfId="0" applyNumberFormat="1" applyFont="1" applyFill="1" applyBorder="1" applyAlignment="1">
      <alignment horizontal="center" vertical="center"/>
    </xf>
    <xf numFmtId="0" fontId="79" fillId="0" borderId="22" xfId="0" applyNumberFormat="1" applyFont="1" applyFill="1" applyBorder="1" applyAlignment="1">
      <alignment horizontal="center" vertical="center"/>
    </xf>
    <xf numFmtId="0" fontId="79" fillId="0" borderId="14" xfId="0" applyNumberFormat="1" applyFont="1" applyFill="1" applyBorder="1" applyAlignment="1">
      <alignment horizontal="center" vertical="center"/>
    </xf>
    <xf numFmtId="0" fontId="79" fillId="0" borderId="10" xfId="0" applyNumberFormat="1" applyFont="1" applyFill="1" applyBorder="1" applyAlignment="1">
      <alignment horizontal="center"/>
    </xf>
    <xf numFmtId="0" fontId="79" fillId="0" borderId="15" xfId="0" applyNumberFormat="1" applyFont="1" applyFill="1" applyBorder="1" applyAlignment="1">
      <alignment horizontal="left" vertical="center" wrapText="1"/>
    </xf>
    <xf numFmtId="0" fontId="79" fillId="0" borderId="16" xfId="0" applyNumberFormat="1" applyFont="1" applyFill="1" applyBorder="1" applyAlignment="1">
      <alignment horizontal="left" vertical="center" wrapText="1"/>
    </xf>
    <xf numFmtId="0" fontId="79" fillId="0" borderId="17" xfId="0" applyNumberFormat="1" applyFont="1" applyFill="1" applyBorder="1" applyAlignment="1">
      <alignment horizontal="left" vertical="center" wrapText="1"/>
    </xf>
    <xf numFmtId="0" fontId="73" fillId="0" borderId="15" xfId="0" applyNumberFormat="1" applyFont="1" applyFill="1" applyBorder="1" applyAlignment="1">
      <alignment horizontal="left" vertical="center" wrapText="1"/>
    </xf>
    <xf numFmtId="0" fontId="73" fillId="0" borderId="16" xfId="0" applyNumberFormat="1" applyFont="1" applyFill="1" applyBorder="1" applyAlignment="1">
      <alignment horizontal="left" vertical="center" wrapText="1"/>
    </xf>
    <xf numFmtId="0" fontId="73" fillId="0" borderId="17" xfId="0" applyNumberFormat="1" applyFont="1" applyFill="1" applyBorder="1" applyAlignment="1">
      <alignment horizontal="left" vertical="center" wrapText="1"/>
    </xf>
    <xf numFmtId="0" fontId="73" fillId="0" borderId="10" xfId="0" applyNumberFormat="1" applyFont="1" applyFill="1" applyBorder="1" applyAlignment="1">
      <alignment horizontal="left" vertical="center" wrapText="1"/>
    </xf>
    <xf numFmtId="0" fontId="79" fillId="0" borderId="15" xfId="0" applyNumberFormat="1" applyFont="1" applyFill="1" applyBorder="1" applyAlignment="1">
      <alignment horizontal="left"/>
    </xf>
    <xf numFmtId="0" fontId="79" fillId="0" borderId="16" xfId="0" applyNumberFormat="1" applyFont="1" applyFill="1" applyBorder="1" applyAlignment="1">
      <alignment horizontal="left"/>
    </xf>
    <xf numFmtId="0" fontId="79" fillId="0" borderId="17" xfId="0" applyNumberFormat="1" applyFont="1" applyFill="1" applyBorder="1" applyAlignment="1">
      <alignment horizontal="left"/>
    </xf>
    <xf numFmtId="0" fontId="73" fillId="0" borderId="10" xfId="0" applyNumberFormat="1" applyFont="1" applyFill="1" applyBorder="1" applyAlignment="1">
      <alignment horizontal="left"/>
    </xf>
    <xf numFmtId="0" fontId="79" fillId="0" borderId="10" xfId="0" applyNumberFormat="1" applyFont="1" applyFill="1" applyBorder="1" applyAlignment="1">
      <alignment horizontal="left"/>
    </xf>
    <xf numFmtId="0" fontId="73" fillId="0" borderId="15" xfId="0" applyNumberFormat="1" applyFont="1" applyFill="1" applyBorder="1" applyAlignment="1">
      <alignment horizontal="left"/>
    </xf>
    <xf numFmtId="0" fontId="73" fillId="0" borderId="16" xfId="0" applyNumberFormat="1" applyFont="1" applyFill="1" applyBorder="1" applyAlignment="1">
      <alignment horizontal="left"/>
    </xf>
    <xf numFmtId="0" fontId="73" fillId="0" borderId="17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 vertical="center" wrapText="1"/>
    </xf>
    <xf numFmtId="0" fontId="73" fillId="33" borderId="0" xfId="0" applyNumberFormat="1" applyFont="1" applyFill="1" applyAlignment="1">
      <alignment horizontal="left"/>
    </xf>
    <xf numFmtId="0" fontId="3" fillId="33" borderId="15" xfId="0" applyNumberFormat="1" applyFont="1" applyFill="1" applyBorder="1" applyAlignment="1" applyProtection="1">
      <alignment horizontal="left" wrapText="1"/>
      <protection/>
    </xf>
    <xf numFmtId="0" fontId="3" fillId="33" borderId="16" xfId="0" applyNumberFormat="1" applyFont="1" applyFill="1" applyBorder="1" applyAlignment="1" applyProtection="1">
      <alignment horizontal="left" wrapText="1"/>
      <protection/>
    </xf>
    <xf numFmtId="0" fontId="3" fillId="33" borderId="17" xfId="0" applyNumberFormat="1" applyFont="1" applyFill="1" applyBorder="1" applyAlignment="1" applyProtection="1">
      <alignment horizontal="left" wrapText="1"/>
      <protection/>
    </xf>
    <xf numFmtId="0" fontId="6" fillId="34" borderId="16" xfId="0" applyNumberFormat="1" applyFont="1" applyFill="1" applyBorder="1" applyAlignment="1" applyProtection="1">
      <alignment horizontal="left" vertical="center" wrapText="1"/>
      <protection/>
    </xf>
    <xf numFmtId="0" fontId="6" fillId="34" borderId="17" xfId="0" applyNumberFormat="1" applyFont="1" applyFill="1" applyBorder="1" applyAlignment="1" applyProtection="1">
      <alignment horizontal="left" vertical="center" wrapText="1"/>
      <protection/>
    </xf>
    <xf numFmtId="0" fontId="6" fillId="33" borderId="15" xfId="0" applyNumberFormat="1" applyFont="1" applyFill="1" applyBorder="1" applyAlignment="1" applyProtection="1">
      <alignment horizontal="left"/>
      <protection/>
    </xf>
    <xf numFmtId="0" fontId="6" fillId="33" borderId="16" xfId="0" applyNumberFormat="1" applyFont="1" applyFill="1" applyBorder="1" applyAlignment="1" applyProtection="1">
      <alignment horizontal="left"/>
      <protection/>
    </xf>
    <xf numFmtId="0" fontId="6" fillId="33" borderId="17" xfId="0" applyNumberFormat="1" applyFont="1" applyFill="1" applyBorder="1" applyAlignment="1" applyProtection="1">
      <alignment horizontal="left"/>
      <protection/>
    </xf>
    <xf numFmtId="0" fontId="6" fillId="33" borderId="2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33" borderId="0" xfId="0" applyNumberFormat="1" applyFont="1" applyFill="1" applyAlignment="1" applyProtection="1">
      <alignment horizontal="left"/>
      <protection locked="0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91" fillId="0" borderId="0" xfId="0" applyNumberFormat="1" applyFont="1" applyFill="1" applyAlignment="1">
      <alignment horizontal="left"/>
    </xf>
    <xf numFmtId="0" fontId="17" fillId="33" borderId="15" xfId="0" applyNumberFormat="1" applyFont="1" applyFill="1" applyBorder="1" applyAlignment="1">
      <alignment horizontal="left" vertical="center" wrapText="1"/>
    </xf>
    <xf numFmtId="0" fontId="17" fillId="33" borderId="16" xfId="0" applyNumberFormat="1" applyFont="1" applyFill="1" applyBorder="1" applyAlignment="1">
      <alignment horizontal="left" vertical="center" wrapText="1"/>
    </xf>
    <xf numFmtId="0" fontId="17" fillId="33" borderId="17" xfId="0" applyNumberFormat="1" applyFont="1" applyFill="1" applyBorder="1" applyAlignment="1">
      <alignment horizontal="left" vertical="center" wrapText="1"/>
    </xf>
    <xf numFmtId="0" fontId="17" fillId="33" borderId="15" xfId="0" applyNumberFormat="1" applyFont="1" applyFill="1" applyBorder="1" applyAlignment="1">
      <alignment horizontal="center" vertical="center" wrapText="1"/>
    </xf>
    <xf numFmtId="0" fontId="17" fillId="33" borderId="16" xfId="0" applyNumberFormat="1" applyFont="1" applyFill="1" applyBorder="1" applyAlignment="1">
      <alignment horizontal="center" vertical="center" wrapText="1"/>
    </xf>
    <xf numFmtId="0" fontId="17" fillId="33" borderId="17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left"/>
    </xf>
    <xf numFmtId="0" fontId="17" fillId="33" borderId="15" xfId="0" applyNumberFormat="1" applyFont="1" applyFill="1" applyBorder="1" applyAlignment="1">
      <alignment horizontal="left"/>
    </xf>
    <xf numFmtId="0" fontId="17" fillId="33" borderId="16" xfId="0" applyNumberFormat="1" applyFont="1" applyFill="1" applyBorder="1" applyAlignment="1">
      <alignment horizontal="left"/>
    </xf>
    <xf numFmtId="0" fontId="17" fillId="33" borderId="17" xfId="0" applyNumberFormat="1" applyFont="1" applyFill="1" applyBorder="1" applyAlignment="1">
      <alignment horizontal="left"/>
    </xf>
    <xf numFmtId="0" fontId="16" fillId="33" borderId="10" xfId="0" applyNumberFormat="1" applyFont="1" applyFill="1" applyBorder="1" applyAlignment="1">
      <alignment horizontal="center" wrapText="1"/>
    </xf>
    <xf numFmtId="0" fontId="16" fillId="33" borderId="15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6" fillId="33" borderId="17" xfId="0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left" vertical="center" wrapText="1"/>
    </xf>
    <xf numFmtId="0" fontId="16" fillId="34" borderId="15" xfId="0" applyNumberFormat="1" applyFont="1" applyFill="1" applyBorder="1" applyAlignment="1">
      <alignment horizontal="left" vertical="center" wrapText="1"/>
    </xf>
    <xf numFmtId="0" fontId="16" fillId="34" borderId="16" xfId="0" applyNumberFormat="1" applyFont="1" applyFill="1" applyBorder="1" applyAlignment="1">
      <alignment horizontal="left" vertical="center" wrapText="1"/>
    </xf>
    <xf numFmtId="0" fontId="16" fillId="34" borderId="17" xfId="0" applyNumberFormat="1" applyFont="1" applyFill="1" applyBorder="1" applyAlignment="1">
      <alignment horizontal="left" vertical="center" wrapText="1"/>
    </xf>
    <xf numFmtId="0" fontId="17" fillId="0" borderId="10" xfId="0" applyNumberFormat="1" applyFont="1" applyFill="1" applyBorder="1" applyAlignment="1">
      <alignment horizontal="left" vertical="center" wrapText="1"/>
    </xf>
    <xf numFmtId="0" fontId="16" fillId="33" borderId="10" xfId="0" applyNumberFormat="1" applyFont="1" applyFill="1" applyBorder="1" applyAlignment="1">
      <alignment horizontal="center"/>
    </xf>
    <xf numFmtId="0" fontId="16" fillId="33" borderId="18" xfId="0" applyNumberFormat="1" applyFont="1" applyFill="1" applyBorder="1" applyAlignment="1">
      <alignment horizontal="center" vertical="center" wrapText="1"/>
    </xf>
    <xf numFmtId="0" fontId="16" fillId="33" borderId="19" xfId="0" applyNumberFormat="1" applyFont="1" applyFill="1" applyBorder="1" applyAlignment="1">
      <alignment horizontal="center" vertical="center" wrapText="1"/>
    </xf>
    <xf numFmtId="0" fontId="16" fillId="33" borderId="22" xfId="0" applyNumberFormat="1" applyFont="1" applyFill="1" applyBorder="1" applyAlignment="1">
      <alignment horizontal="center" wrapText="1"/>
    </xf>
    <xf numFmtId="0" fontId="54" fillId="33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view="pageBreakPreview" zoomScale="50" zoomScaleNormal="85" zoomScaleSheetLayoutView="50" workbookViewId="0" topLeftCell="A1">
      <selection activeCell="F5" sqref="F5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58.00390625" style="10" customWidth="1"/>
    <col min="5" max="5" width="14.421875" style="10" hidden="1" customWidth="1"/>
    <col min="6" max="6" width="24.140625" style="10" customWidth="1"/>
    <col min="7" max="7" width="30.8515625" style="52" customWidth="1"/>
    <col min="8" max="8" width="0.2890625" style="10" hidden="1" customWidth="1"/>
    <col min="9" max="9" width="24.8515625" style="10" customWidth="1"/>
    <col min="10" max="10" width="30.7109375" style="52" customWidth="1"/>
    <col min="11" max="11" width="9.8515625" style="10" hidden="1" customWidth="1"/>
    <col min="12" max="12" width="25.00390625" style="10" customWidth="1"/>
    <col min="13" max="13" width="27.8515625" style="52" customWidth="1"/>
    <col min="14" max="14" width="9.8515625" style="10" hidden="1" customWidth="1"/>
    <col min="15" max="15" width="25.57421875" style="10" customWidth="1"/>
    <col min="16" max="16" width="29.8515625" style="52" customWidth="1"/>
    <col min="17" max="17" width="28.421875" style="10" customWidth="1"/>
    <col min="18" max="18" width="32.8515625" style="52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0.75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65"/>
      <c r="O1" s="65"/>
      <c r="P1" s="156" t="s">
        <v>131</v>
      </c>
      <c r="Q1" s="157"/>
      <c r="R1" s="158"/>
      <c r="T1" s="12"/>
      <c r="U1" s="12"/>
      <c r="V1" s="12"/>
    </row>
    <row r="2" spans="1:22" ht="30.75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65"/>
      <c r="O2" s="65"/>
      <c r="P2" s="532" t="s">
        <v>31</v>
      </c>
      <c r="Q2" s="532"/>
      <c r="R2" s="532"/>
      <c r="T2" s="12"/>
      <c r="U2" s="12"/>
      <c r="V2" s="12"/>
    </row>
    <row r="3" spans="1:22" ht="30.75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65"/>
      <c r="O3" s="65"/>
      <c r="P3" s="532" t="s">
        <v>89</v>
      </c>
      <c r="Q3" s="532"/>
      <c r="R3" s="532"/>
      <c r="T3" s="12"/>
      <c r="U3" s="12"/>
      <c r="V3" s="12"/>
    </row>
    <row r="4" spans="1:22" ht="30.75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358"/>
      <c r="O4" s="358"/>
      <c r="P4" s="359" t="s">
        <v>90</v>
      </c>
      <c r="Q4" s="359"/>
      <c r="R4" s="359"/>
      <c r="T4" s="12"/>
      <c r="U4" s="12"/>
      <c r="V4" s="12"/>
    </row>
    <row r="5" spans="1:22" ht="30.75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65"/>
      <c r="O5" s="65"/>
      <c r="P5" s="532" t="s">
        <v>130</v>
      </c>
      <c r="Q5" s="532"/>
      <c r="R5" s="532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65"/>
      <c r="O6" s="65"/>
      <c r="P6" s="111"/>
      <c r="Q6" s="66"/>
      <c r="R6" s="111"/>
      <c r="T6" s="12"/>
      <c r="U6" s="12"/>
      <c r="V6" s="12"/>
    </row>
    <row r="7" spans="1:22" ht="82.5" customHeight="1">
      <c r="A7" s="447" t="s">
        <v>92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T7" s="12"/>
      <c r="U7" s="12"/>
      <c r="V7" s="12"/>
    </row>
    <row r="8" spans="1:22" ht="33.75" customHeight="1">
      <c r="A8" s="429" t="s">
        <v>85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T8" s="12"/>
      <c r="U8" s="12"/>
      <c r="V8" s="12"/>
    </row>
    <row r="9" spans="1:22" ht="30.75" customHeight="1">
      <c r="A9" s="418" t="s">
        <v>15</v>
      </c>
      <c r="B9" s="423" t="s">
        <v>0</v>
      </c>
      <c r="C9" s="424"/>
      <c r="D9" s="425"/>
      <c r="E9" s="420" t="s">
        <v>1</v>
      </c>
      <c r="F9" s="421"/>
      <c r="G9" s="422"/>
      <c r="H9" s="420" t="s">
        <v>3</v>
      </c>
      <c r="I9" s="421"/>
      <c r="J9" s="422"/>
      <c r="K9" s="420" t="s">
        <v>4</v>
      </c>
      <c r="L9" s="421"/>
      <c r="M9" s="422"/>
      <c r="N9" s="420" t="s">
        <v>6</v>
      </c>
      <c r="O9" s="421"/>
      <c r="P9" s="422"/>
      <c r="Q9" s="420" t="s">
        <v>7</v>
      </c>
      <c r="R9" s="422"/>
      <c r="U9" s="12"/>
      <c r="V9" s="12"/>
    </row>
    <row r="10" spans="1:22" ht="25.5">
      <c r="A10" s="419"/>
      <c r="B10" s="426"/>
      <c r="C10" s="427"/>
      <c r="D10" s="428"/>
      <c r="E10" s="264"/>
      <c r="F10" s="264" t="s">
        <v>2</v>
      </c>
      <c r="G10" s="265" t="s">
        <v>5</v>
      </c>
      <c r="H10" s="264"/>
      <c r="I10" s="266" t="s">
        <v>2</v>
      </c>
      <c r="J10" s="265" t="s">
        <v>5</v>
      </c>
      <c r="K10" s="264"/>
      <c r="L10" s="264" t="s">
        <v>2</v>
      </c>
      <c r="M10" s="265" t="s">
        <v>5</v>
      </c>
      <c r="N10" s="264" t="s">
        <v>2</v>
      </c>
      <c r="O10" s="264" t="s">
        <v>2</v>
      </c>
      <c r="P10" s="265" t="s">
        <v>5</v>
      </c>
      <c r="Q10" s="264" t="s">
        <v>2</v>
      </c>
      <c r="R10" s="265" t="s">
        <v>5</v>
      </c>
      <c r="U10" s="12"/>
      <c r="V10" s="12"/>
    </row>
    <row r="11" spans="1:22" s="97" customFormat="1" ht="30" customHeight="1">
      <c r="A11" s="267">
        <v>1</v>
      </c>
      <c r="B11" s="402" t="s">
        <v>33</v>
      </c>
      <c r="C11" s="403"/>
      <c r="D11" s="404"/>
      <c r="E11" s="268">
        <v>22.6</v>
      </c>
      <c r="F11" s="269">
        <v>7</v>
      </c>
      <c r="G11" s="270">
        <f>F11*F42</f>
        <v>40784.03</v>
      </c>
      <c r="H11" s="271">
        <v>7.9</v>
      </c>
      <c r="I11" s="272">
        <v>5</v>
      </c>
      <c r="J11" s="270">
        <f>I11*F42</f>
        <v>29131.45</v>
      </c>
      <c r="K11" s="271">
        <v>2.9</v>
      </c>
      <c r="L11" s="272">
        <v>1</v>
      </c>
      <c r="M11" s="270">
        <f>L11*G42</f>
        <v>6140.91</v>
      </c>
      <c r="N11" s="271">
        <v>20.6</v>
      </c>
      <c r="O11" s="272">
        <v>17</v>
      </c>
      <c r="P11" s="270">
        <f>O11*G42</f>
        <v>104395.47</v>
      </c>
      <c r="Q11" s="271">
        <f aca="true" t="shared" si="0" ref="Q11:R15">F11+I11+L11+O11</f>
        <v>30</v>
      </c>
      <c r="R11" s="270">
        <f t="shared" si="0"/>
        <v>180451.86</v>
      </c>
      <c r="S11" s="94" t="s">
        <v>82</v>
      </c>
      <c r="T11" s="101"/>
      <c r="U11" s="96"/>
      <c r="V11" s="95"/>
    </row>
    <row r="12" spans="1:22" s="97" customFormat="1" ht="30" customHeight="1">
      <c r="A12" s="267">
        <v>2</v>
      </c>
      <c r="B12" s="402" t="s">
        <v>41</v>
      </c>
      <c r="C12" s="403"/>
      <c r="D12" s="404"/>
      <c r="E12" s="268"/>
      <c r="F12" s="269">
        <f>F13+F14+F15+F16+F17+F18</f>
        <v>2613.46</v>
      </c>
      <c r="G12" s="270">
        <f>F12*F42</f>
        <v>15226775.8634</v>
      </c>
      <c r="H12" s="271"/>
      <c r="I12" s="272">
        <f>I13+I14+I15+I16+I17+I18</f>
        <v>974.07</v>
      </c>
      <c r="J12" s="270">
        <f>J13+J14+J15+J16+J17+J18</f>
        <v>5675214.3003</v>
      </c>
      <c r="K12" s="271"/>
      <c r="L12" s="272">
        <f>L13+L14+L15+L16+L17+L18</f>
        <v>283.974</v>
      </c>
      <c r="M12" s="270">
        <f>M13+M14+M15+M16+M17+M18</f>
        <v>1743858.7763399999</v>
      </c>
      <c r="N12" s="271"/>
      <c r="O12" s="272">
        <f>O13+O14+O15+O16+O17+O18</f>
        <v>2193.691</v>
      </c>
      <c r="P12" s="270">
        <f>P13+P14+P15+P16+P17+P18</f>
        <v>13471258.998809999</v>
      </c>
      <c r="Q12" s="271">
        <f>Q13+Q14+Q15+Q16+Q17+Q18</f>
        <v>6065.195000000001</v>
      </c>
      <c r="R12" s="270">
        <f>R13+R14+R15+R16+R17+R18</f>
        <v>36117107.93885</v>
      </c>
      <c r="S12" s="94"/>
      <c r="T12" s="101"/>
      <c r="U12" s="96"/>
      <c r="V12" s="95"/>
    </row>
    <row r="13" spans="1:21" s="17" customFormat="1" ht="54.75" customHeight="1">
      <c r="A13" s="273"/>
      <c r="B13" s="366" t="s">
        <v>34</v>
      </c>
      <c r="C13" s="406"/>
      <c r="D13" s="407"/>
      <c r="E13" s="274">
        <v>968.6</v>
      </c>
      <c r="F13" s="275">
        <v>510</v>
      </c>
      <c r="G13" s="276">
        <f>F13*F42</f>
        <v>2971407.9</v>
      </c>
      <c r="H13" s="277">
        <v>347.1</v>
      </c>
      <c r="I13" s="278">
        <v>150</v>
      </c>
      <c r="J13" s="276">
        <f>I13*F42</f>
        <v>873943.5</v>
      </c>
      <c r="K13" s="277">
        <v>138.9</v>
      </c>
      <c r="L13" s="278">
        <v>50</v>
      </c>
      <c r="M13" s="276">
        <f>L13*G42</f>
        <v>307045.5</v>
      </c>
      <c r="N13" s="277">
        <v>879.1</v>
      </c>
      <c r="O13" s="278">
        <v>290</v>
      </c>
      <c r="P13" s="276">
        <f>O13*G42</f>
        <v>1780863.9</v>
      </c>
      <c r="Q13" s="277">
        <f t="shared" si="0"/>
        <v>1000</v>
      </c>
      <c r="R13" s="276">
        <f t="shared" si="0"/>
        <v>5933260.8</v>
      </c>
      <c r="S13" s="67" t="s">
        <v>82</v>
      </c>
      <c r="T13" s="16"/>
      <c r="U13" s="16"/>
    </row>
    <row r="14" spans="1:22" ht="58.5" customHeight="1">
      <c r="A14" s="279"/>
      <c r="B14" s="366" t="s">
        <v>35</v>
      </c>
      <c r="C14" s="406"/>
      <c r="D14" s="407"/>
      <c r="E14" s="274">
        <v>275.5</v>
      </c>
      <c r="F14" s="275">
        <v>260.8</v>
      </c>
      <c r="G14" s="280">
        <f>F14*F42</f>
        <v>1519496.432</v>
      </c>
      <c r="H14" s="277">
        <v>101.3</v>
      </c>
      <c r="I14" s="278">
        <v>82.4</v>
      </c>
      <c r="J14" s="276">
        <f>I14*F42</f>
        <v>480086.29600000003</v>
      </c>
      <c r="K14" s="277">
        <v>40.3</v>
      </c>
      <c r="L14" s="278">
        <v>24.8</v>
      </c>
      <c r="M14" s="276">
        <f>L14*G42</f>
        <v>152294.568</v>
      </c>
      <c r="N14" s="277">
        <v>245.5</v>
      </c>
      <c r="O14" s="278">
        <v>214.4</v>
      </c>
      <c r="P14" s="276">
        <f>O14*G42</f>
        <v>1316611.104</v>
      </c>
      <c r="Q14" s="277">
        <f t="shared" si="0"/>
        <v>582.4000000000001</v>
      </c>
      <c r="R14" s="276">
        <f t="shared" si="0"/>
        <v>3468488.4000000004</v>
      </c>
      <c r="S14" s="67"/>
      <c r="T14" s="13"/>
      <c r="U14" s="11"/>
      <c r="V14" s="12"/>
    </row>
    <row r="15" spans="1:22" ht="48.75" customHeight="1">
      <c r="A15" s="279"/>
      <c r="B15" s="366" t="s">
        <v>36</v>
      </c>
      <c r="C15" s="406"/>
      <c r="D15" s="407"/>
      <c r="E15" s="274">
        <v>1020.1</v>
      </c>
      <c r="F15" s="275">
        <v>874.5</v>
      </c>
      <c r="G15" s="276">
        <f>F15*F42</f>
        <v>5095090.6049999995</v>
      </c>
      <c r="H15" s="277">
        <v>343</v>
      </c>
      <c r="I15" s="278">
        <v>313.8</v>
      </c>
      <c r="J15" s="276">
        <f>I15*F42</f>
        <v>1828289.8020000001</v>
      </c>
      <c r="K15" s="277">
        <v>122.2</v>
      </c>
      <c r="L15" s="278">
        <v>95.1</v>
      </c>
      <c r="M15" s="276">
        <f>L15*G42</f>
        <v>584000.541</v>
      </c>
      <c r="N15" s="277">
        <v>920.9</v>
      </c>
      <c r="O15" s="278">
        <v>816.6</v>
      </c>
      <c r="P15" s="276">
        <f>O15*G42</f>
        <v>5014667.106</v>
      </c>
      <c r="Q15" s="277">
        <f t="shared" si="0"/>
        <v>2100</v>
      </c>
      <c r="R15" s="276">
        <f t="shared" si="0"/>
        <v>12522048.054</v>
      </c>
      <c r="S15" s="67" t="s">
        <v>82</v>
      </c>
      <c r="T15" s="13"/>
      <c r="U15" s="11"/>
      <c r="V15" s="12"/>
    </row>
    <row r="16" spans="1:22" ht="35.25" customHeight="1">
      <c r="A16" s="281"/>
      <c r="B16" s="366" t="s">
        <v>37</v>
      </c>
      <c r="C16" s="406"/>
      <c r="D16" s="407"/>
      <c r="E16" s="282">
        <v>186.3</v>
      </c>
      <c r="F16" s="275">
        <v>215.9</v>
      </c>
      <c r="G16" s="276">
        <f>F16*F42</f>
        <v>1257896.011</v>
      </c>
      <c r="H16" s="277">
        <v>55.3</v>
      </c>
      <c r="I16" s="278">
        <v>74.5</v>
      </c>
      <c r="J16" s="276">
        <f>I16*F42</f>
        <v>434058.605</v>
      </c>
      <c r="K16" s="277">
        <v>2.8</v>
      </c>
      <c r="L16" s="278">
        <v>24.7</v>
      </c>
      <c r="M16" s="276">
        <f>L16*G42</f>
        <v>151680.47699999998</v>
      </c>
      <c r="N16" s="277">
        <v>158.5</v>
      </c>
      <c r="O16" s="278">
        <v>181.1</v>
      </c>
      <c r="P16" s="276">
        <f>O16*G42</f>
        <v>1112118.801</v>
      </c>
      <c r="Q16" s="277">
        <f aca="true" t="shared" si="1" ref="Q16:R19">F16+I16+L16+O16</f>
        <v>496.19999999999993</v>
      </c>
      <c r="R16" s="276">
        <f t="shared" si="1"/>
        <v>2955753.894</v>
      </c>
      <c r="S16" s="67"/>
      <c r="T16" s="13"/>
      <c r="U16" s="11"/>
      <c r="V16" s="12"/>
    </row>
    <row r="17" spans="1:22" ht="30" customHeight="1">
      <c r="A17" s="281"/>
      <c r="B17" s="366" t="s">
        <v>38</v>
      </c>
      <c r="C17" s="406"/>
      <c r="D17" s="407"/>
      <c r="E17" s="282">
        <v>619</v>
      </c>
      <c r="F17" s="275">
        <v>550.4</v>
      </c>
      <c r="G17" s="276">
        <f>F17*F42</f>
        <v>3206790.016</v>
      </c>
      <c r="H17" s="277">
        <v>532.4</v>
      </c>
      <c r="I17" s="278">
        <v>193.1</v>
      </c>
      <c r="J17" s="276">
        <f>I17*F42</f>
        <v>1125056.599</v>
      </c>
      <c r="K17" s="277">
        <v>142.3</v>
      </c>
      <c r="L17" s="278">
        <v>65</v>
      </c>
      <c r="M17" s="276">
        <f>L17*G42</f>
        <v>399159.14999999997</v>
      </c>
      <c r="N17" s="277">
        <v>646.5</v>
      </c>
      <c r="O17" s="278">
        <v>463.1</v>
      </c>
      <c r="P17" s="276">
        <f>O17*G42</f>
        <v>2843855.421</v>
      </c>
      <c r="Q17" s="277">
        <f t="shared" si="1"/>
        <v>1271.6</v>
      </c>
      <c r="R17" s="276">
        <f t="shared" si="1"/>
        <v>7574861.186000001</v>
      </c>
      <c r="S17" s="67"/>
      <c r="T17" s="13"/>
      <c r="U17" s="11"/>
      <c r="V17" s="12"/>
    </row>
    <row r="18" spans="1:22" ht="52.5" customHeight="1">
      <c r="A18" s="281"/>
      <c r="B18" s="366" t="s">
        <v>39</v>
      </c>
      <c r="C18" s="406"/>
      <c r="D18" s="407"/>
      <c r="E18" s="282">
        <v>277.52</v>
      </c>
      <c r="F18" s="283">
        <v>201.86</v>
      </c>
      <c r="G18" s="276">
        <f>F18*F42</f>
        <v>1176094.8994</v>
      </c>
      <c r="H18" s="277">
        <v>129</v>
      </c>
      <c r="I18" s="284">
        <v>160.27</v>
      </c>
      <c r="J18" s="276">
        <f>I18*F42</f>
        <v>933779.4983000001</v>
      </c>
      <c r="K18" s="277">
        <v>7.2</v>
      </c>
      <c r="L18" s="285">
        <v>24.374</v>
      </c>
      <c r="M18" s="276">
        <f>L18*G42</f>
        <v>149678.54033999998</v>
      </c>
      <c r="N18" s="277">
        <v>182.6</v>
      </c>
      <c r="O18" s="285">
        <v>228.491</v>
      </c>
      <c r="P18" s="276">
        <f>O18*G42</f>
        <v>1403142.66681</v>
      </c>
      <c r="Q18" s="277">
        <f t="shared" si="1"/>
        <v>614.995</v>
      </c>
      <c r="R18" s="276">
        <f t="shared" si="1"/>
        <v>3662695.60485</v>
      </c>
      <c r="S18" s="68" t="s">
        <v>82</v>
      </c>
      <c r="T18" s="13"/>
      <c r="U18" s="11"/>
      <c r="V18" s="12"/>
    </row>
    <row r="19" spans="1:22" s="97" customFormat="1" ht="30.75" customHeight="1">
      <c r="A19" s="267">
        <v>3</v>
      </c>
      <c r="B19" s="402" t="s">
        <v>42</v>
      </c>
      <c r="C19" s="403"/>
      <c r="D19" s="404"/>
      <c r="E19" s="286"/>
      <c r="F19" s="287">
        <v>276.948</v>
      </c>
      <c r="G19" s="270">
        <f>F19*F42</f>
        <v>1613579.3629199998</v>
      </c>
      <c r="H19" s="271"/>
      <c r="I19" s="288">
        <v>118.148</v>
      </c>
      <c r="J19" s="270">
        <f>I19*F42</f>
        <v>688364.51092</v>
      </c>
      <c r="K19" s="271"/>
      <c r="L19" s="288">
        <v>67.148</v>
      </c>
      <c r="M19" s="270">
        <f>L19*G42</f>
        <v>412349.82467999996</v>
      </c>
      <c r="N19" s="271"/>
      <c r="O19" s="288">
        <v>246.348</v>
      </c>
      <c r="P19" s="270">
        <f>O19*G42</f>
        <v>1512800.89668</v>
      </c>
      <c r="Q19" s="289">
        <f t="shared" si="1"/>
        <v>708.5920000000001</v>
      </c>
      <c r="R19" s="270">
        <f t="shared" si="1"/>
        <v>4227094.595199999</v>
      </c>
      <c r="S19" s="94"/>
      <c r="T19" s="101"/>
      <c r="U19" s="96"/>
      <c r="V19" s="95"/>
    </row>
    <row r="20" spans="1:22" s="97" customFormat="1" ht="39" customHeight="1">
      <c r="A20" s="267">
        <v>4</v>
      </c>
      <c r="B20" s="402" t="s">
        <v>43</v>
      </c>
      <c r="C20" s="403"/>
      <c r="D20" s="404"/>
      <c r="E20" s="286"/>
      <c r="F20" s="269">
        <f>F21+F22+F23</f>
        <v>38.5</v>
      </c>
      <c r="G20" s="270">
        <f>F20*F42</f>
        <v>224312.165</v>
      </c>
      <c r="H20" s="271"/>
      <c r="I20" s="272">
        <f>I21+I22+I23</f>
        <v>12.6</v>
      </c>
      <c r="J20" s="270">
        <f>J21+J22+J23</f>
        <v>73411.254</v>
      </c>
      <c r="K20" s="271"/>
      <c r="L20" s="272">
        <f>L21+L22+L23</f>
        <v>4</v>
      </c>
      <c r="M20" s="270">
        <f>M21+M22+M23</f>
        <v>24563.64</v>
      </c>
      <c r="N20" s="271"/>
      <c r="O20" s="272">
        <f>O21+O22+O23</f>
        <v>32</v>
      </c>
      <c r="P20" s="270">
        <f>P21+P22+P23</f>
        <v>196509.12</v>
      </c>
      <c r="Q20" s="271">
        <f>Q21+Q22+Q23</f>
        <v>87.1</v>
      </c>
      <c r="R20" s="270">
        <f>R21+R22+R23</f>
        <v>518796.179</v>
      </c>
      <c r="S20" s="94"/>
      <c r="T20" s="96"/>
      <c r="U20" s="96"/>
      <c r="V20" s="95"/>
    </row>
    <row r="21" spans="1:22" ht="32.25" customHeight="1">
      <c r="A21" s="411"/>
      <c r="B21" s="412" t="s">
        <v>44</v>
      </c>
      <c r="C21" s="413"/>
      <c r="D21" s="414"/>
      <c r="E21" s="282"/>
      <c r="F21" s="379">
        <v>38.5</v>
      </c>
      <c r="G21" s="369">
        <f>F21*F42</f>
        <v>224312.165</v>
      </c>
      <c r="H21" s="277"/>
      <c r="I21" s="367">
        <v>12.6</v>
      </c>
      <c r="J21" s="369">
        <f>I21*F42</f>
        <v>73411.254</v>
      </c>
      <c r="K21" s="277"/>
      <c r="L21" s="367">
        <v>4</v>
      </c>
      <c r="M21" s="369">
        <f>L21*G42</f>
        <v>24563.64</v>
      </c>
      <c r="N21" s="277"/>
      <c r="O21" s="367">
        <v>32</v>
      </c>
      <c r="P21" s="369">
        <f>O21*G42</f>
        <v>196509.12</v>
      </c>
      <c r="Q21" s="378">
        <f aca="true" t="shared" si="2" ref="Q21:R23">F21+I21+L21+O21</f>
        <v>87.1</v>
      </c>
      <c r="R21" s="369">
        <f t="shared" si="2"/>
        <v>518796.179</v>
      </c>
      <c r="S21" s="67" t="s">
        <v>83</v>
      </c>
      <c r="T21" s="11"/>
      <c r="U21" s="11"/>
      <c r="V21" s="12"/>
    </row>
    <row r="22" spans="1:22" ht="34.5" customHeight="1" hidden="1">
      <c r="A22" s="368"/>
      <c r="B22" s="415"/>
      <c r="C22" s="416"/>
      <c r="D22" s="417"/>
      <c r="E22" s="282"/>
      <c r="F22" s="380"/>
      <c r="G22" s="368"/>
      <c r="H22" s="277"/>
      <c r="I22" s="368"/>
      <c r="J22" s="368"/>
      <c r="K22" s="277"/>
      <c r="L22" s="368"/>
      <c r="M22" s="368"/>
      <c r="N22" s="277"/>
      <c r="O22" s="368"/>
      <c r="P22" s="368"/>
      <c r="Q22" s="368"/>
      <c r="R22" s="368"/>
      <c r="S22" s="67"/>
      <c r="T22" s="11"/>
      <c r="U22" s="11"/>
      <c r="V22" s="12"/>
    </row>
    <row r="23" spans="1:22" ht="32.25" customHeight="1" hidden="1">
      <c r="A23" s="281"/>
      <c r="B23" s="366" t="s">
        <v>46</v>
      </c>
      <c r="C23" s="406"/>
      <c r="D23" s="407"/>
      <c r="E23" s="282"/>
      <c r="F23" s="275"/>
      <c r="G23" s="276">
        <f>F23*F42</f>
        <v>0</v>
      </c>
      <c r="H23" s="277"/>
      <c r="I23" s="278"/>
      <c r="J23" s="276">
        <f>I23*F42</f>
        <v>0</v>
      </c>
      <c r="K23" s="277"/>
      <c r="L23" s="278"/>
      <c r="M23" s="276">
        <f>L23*G42</f>
        <v>0</v>
      </c>
      <c r="N23" s="277"/>
      <c r="O23" s="278"/>
      <c r="P23" s="276">
        <f>O23*G42</f>
        <v>0</v>
      </c>
      <c r="Q23" s="277">
        <f t="shared" si="2"/>
        <v>0</v>
      </c>
      <c r="R23" s="276">
        <f t="shared" si="2"/>
        <v>0</v>
      </c>
      <c r="S23" s="67"/>
      <c r="T23" s="11"/>
      <c r="U23" s="11"/>
      <c r="V23" s="12"/>
    </row>
    <row r="24" spans="1:22" s="97" customFormat="1" ht="56.25" customHeight="1">
      <c r="A24" s="267">
        <v>5</v>
      </c>
      <c r="B24" s="402" t="s">
        <v>47</v>
      </c>
      <c r="C24" s="403"/>
      <c r="D24" s="404"/>
      <c r="E24" s="286"/>
      <c r="F24" s="269">
        <f>F25+F26+F27+F28</f>
        <v>587.9200000000001</v>
      </c>
      <c r="G24" s="270">
        <f>F24*F42</f>
        <v>3425392.4168000002</v>
      </c>
      <c r="H24" s="271"/>
      <c r="I24" s="272">
        <f>I25+I26+I27+I28</f>
        <v>226.71999999999997</v>
      </c>
      <c r="J24" s="270">
        <f>J25+J26+J27+J28</f>
        <v>1320936.4688</v>
      </c>
      <c r="K24" s="271"/>
      <c r="L24" s="272">
        <f>L25+L26+L27+L28</f>
        <v>113.22</v>
      </c>
      <c r="M24" s="270">
        <f>M25+M26+M27+M28</f>
        <v>695273.8302</v>
      </c>
      <c r="N24" s="271"/>
      <c r="O24" s="272">
        <f>O25+O26+O27+O28</f>
        <v>440.49</v>
      </c>
      <c r="P24" s="270">
        <f>P25+P26+P27+P28</f>
        <v>2705009.4458999997</v>
      </c>
      <c r="Q24" s="271">
        <f>Q25+Q26+Q27+Q28</f>
        <v>1368.3500000000001</v>
      </c>
      <c r="R24" s="270">
        <f>R25+R26+R27+R28</f>
        <v>8146612.161700001</v>
      </c>
      <c r="S24" s="94"/>
      <c r="T24" s="96"/>
      <c r="U24" s="96"/>
      <c r="V24" s="95"/>
    </row>
    <row r="25" spans="1:22" ht="39" customHeight="1">
      <c r="A25" s="281"/>
      <c r="B25" s="366" t="s">
        <v>48</v>
      </c>
      <c r="C25" s="406"/>
      <c r="D25" s="407"/>
      <c r="E25" s="282"/>
      <c r="F25" s="275">
        <v>12.43</v>
      </c>
      <c r="G25" s="276">
        <f>F25*F42</f>
        <v>72420.7847</v>
      </c>
      <c r="H25" s="277"/>
      <c r="I25" s="278">
        <v>12.43</v>
      </c>
      <c r="J25" s="276">
        <f>I25*F42</f>
        <v>72420.7847</v>
      </c>
      <c r="K25" s="277"/>
      <c r="L25" s="278">
        <v>12.43</v>
      </c>
      <c r="M25" s="276">
        <f>L25*G42</f>
        <v>76331.5113</v>
      </c>
      <c r="N25" s="277"/>
      <c r="O25" s="278">
        <v>12.43</v>
      </c>
      <c r="P25" s="276">
        <f>O25*G42</f>
        <v>76331.5113</v>
      </c>
      <c r="Q25" s="277">
        <f aca="true" t="shared" si="3" ref="Q25:R27">F25+I25+L25+O25</f>
        <v>49.72</v>
      </c>
      <c r="R25" s="276">
        <f t="shared" si="3"/>
        <v>297504.592</v>
      </c>
      <c r="S25" s="67"/>
      <c r="T25" s="11"/>
      <c r="U25" s="11"/>
      <c r="V25" s="12"/>
    </row>
    <row r="26" spans="1:22" ht="34.5" customHeight="1">
      <c r="A26" s="281"/>
      <c r="B26" s="366" t="s">
        <v>49</v>
      </c>
      <c r="C26" s="406"/>
      <c r="D26" s="407"/>
      <c r="E26" s="282"/>
      <c r="F26" s="275">
        <v>380.5</v>
      </c>
      <c r="G26" s="276">
        <f>F26*F42</f>
        <v>2216903.345</v>
      </c>
      <c r="H26" s="277"/>
      <c r="I26" s="278">
        <v>95.29</v>
      </c>
      <c r="J26" s="276">
        <f>I26*F42</f>
        <v>555187.1741000001</v>
      </c>
      <c r="K26" s="277"/>
      <c r="L26" s="278">
        <v>7.8</v>
      </c>
      <c r="M26" s="276">
        <f>L26*G42</f>
        <v>47899.098</v>
      </c>
      <c r="N26" s="277"/>
      <c r="O26" s="278">
        <v>256.07</v>
      </c>
      <c r="P26" s="276">
        <f>O26*G42</f>
        <v>1572502.8236999998</v>
      </c>
      <c r="Q26" s="277">
        <f t="shared" si="3"/>
        <v>739.6600000000001</v>
      </c>
      <c r="R26" s="276">
        <f t="shared" si="3"/>
        <v>4392492.4408</v>
      </c>
      <c r="S26" s="67"/>
      <c r="T26" s="11"/>
      <c r="U26" s="11"/>
      <c r="V26" s="12"/>
    </row>
    <row r="27" spans="1:22" ht="38.25" customHeight="1">
      <c r="A27" s="281"/>
      <c r="B27" s="366" t="s">
        <v>50</v>
      </c>
      <c r="C27" s="406"/>
      <c r="D27" s="407"/>
      <c r="E27" s="282"/>
      <c r="F27" s="275">
        <v>91.99</v>
      </c>
      <c r="G27" s="276">
        <f>F27*F42</f>
        <v>535960.4171</v>
      </c>
      <c r="H27" s="277"/>
      <c r="I27" s="278">
        <v>91.99</v>
      </c>
      <c r="J27" s="276">
        <f>I27*F42</f>
        <v>535960.4171</v>
      </c>
      <c r="K27" s="277"/>
      <c r="L27" s="278">
        <v>91.99</v>
      </c>
      <c r="M27" s="276">
        <f>L27*G42</f>
        <v>564902.3108999999</v>
      </c>
      <c r="N27" s="277"/>
      <c r="O27" s="278">
        <v>91.99</v>
      </c>
      <c r="P27" s="276">
        <f>O27*G42</f>
        <v>564902.3108999999</v>
      </c>
      <c r="Q27" s="277">
        <f t="shared" si="3"/>
        <v>367.96</v>
      </c>
      <c r="R27" s="276">
        <f t="shared" si="3"/>
        <v>2201725.456</v>
      </c>
      <c r="S27" s="67"/>
      <c r="T27" s="11"/>
      <c r="U27" s="11"/>
      <c r="V27" s="12"/>
    </row>
    <row r="28" spans="1:22" ht="31.5" customHeight="1">
      <c r="A28" s="281"/>
      <c r="B28" s="366" t="s">
        <v>40</v>
      </c>
      <c r="C28" s="406"/>
      <c r="D28" s="407"/>
      <c r="E28" s="282">
        <v>112.1</v>
      </c>
      <c r="F28" s="275">
        <v>103</v>
      </c>
      <c r="G28" s="276">
        <f>F28*F42</f>
        <v>600107.87</v>
      </c>
      <c r="H28" s="277"/>
      <c r="I28" s="278">
        <v>27.01</v>
      </c>
      <c r="J28" s="276">
        <f>I28*F42</f>
        <v>157368.09290000002</v>
      </c>
      <c r="K28" s="277"/>
      <c r="L28" s="278">
        <v>1</v>
      </c>
      <c r="M28" s="276">
        <f>L28*G42</f>
        <v>6140.91</v>
      </c>
      <c r="N28" s="277"/>
      <c r="O28" s="278">
        <v>80</v>
      </c>
      <c r="P28" s="276">
        <f>O28*G42</f>
        <v>491272.8</v>
      </c>
      <c r="Q28" s="277">
        <f>F28+I28+L28+O28</f>
        <v>211.01</v>
      </c>
      <c r="R28" s="276">
        <f>G28+J28+M28+P28</f>
        <v>1254889.6729000001</v>
      </c>
      <c r="S28" s="67"/>
      <c r="T28" s="11"/>
      <c r="U28" s="11"/>
      <c r="V28" s="12"/>
    </row>
    <row r="29" spans="1:22" s="97" customFormat="1" ht="28.5" customHeight="1">
      <c r="A29" s="267">
        <v>6</v>
      </c>
      <c r="B29" s="402" t="s">
        <v>53</v>
      </c>
      <c r="C29" s="403"/>
      <c r="D29" s="404"/>
      <c r="E29" s="286"/>
      <c r="F29" s="269">
        <f>F30+F31+F32</f>
        <v>950.4</v>
      </c>
      <c r="G29" s="270">
        <f>F29*F42</f>
        <v>5537306.016</v>
      </c>
      <c r="H29" s="271"/>
      <c r="I29" s="272">
        <f>I30+I31+I32</f>
        <v>315.2</v>
      </c>
      <c r="J29" s="270">
        <f>J30+J31+J32</f>
        <v>1836446.608</v>
      </c>
      <c r="K29" s="271"/>
      <c r="L29" s="272">
        <f>L30+L31+L32</f>
        <v>96.6</v>
      </c>
      <c r="M29" s="270">
        <f>M30+M31+M32</f>
        <v>593211.906</v>
      </c>
      <c r="N29" s="271"/>
      <c r="O29" s="272">
        <f>O30+O31+O32</f>
        <v>805.8</v>
      </c>
      <c r="P29" s="270">
        <f>P30+P31+P32</f>
        <v>4948345.277999999</v>
      </c>
      <c r="Q29" s="271">
        <f>Q30+Q31+Q32</f>
        <v>2168</v>
      </c>
      <c r="R29" s="270">
        <f>R30+R31+R32</f>
        <v>12915309.807999998</v>
      </c>
      <c r="S29" s="94"/>
      <c r="T29" s="96"/>
      <c r="U29" s="96"/>
      <c r="V29" s="95"/>
    </row>
    <row r="30" spans="1:22" ht="34.5" customHeight="1">
      <c r="A30" s="281"/>
      <c r="B30" s="366" t="s">
        <v>73</v>
      </c>
      <c r="C30" s="406"/>
      <c r="D30" s="407"/>
      <c r="E30" s="282"/>
      <c r="F30" s="275">
        <v>15</v>
      </c>
      <c r="G30" s="276">
        <f>F30*F42</f>
        <v>87394.35</v>
      </c>
      <c r="H30" s="277"/>
      <c r="I30" s="278">
        <v>6</v>
      </c>
      <c r="J30" s="276">
        <f>I30*F42</f>
        <v>34957.74</v>
      </c>
      <c r="K30" s="277"/>
      <c r="L30" s="278">
        <v>1</v>
      </c>
      <c r="M30" s="276">
        <f>L30*G42</f>
        <v>6140.91</v>
      </c>
      <c r="N30" s="277"/>
      <c r="O30" s="278">
        <v>28</v>
      </c>
      <c r="P30" s="276">
        <f>O30*G42</f>
        <v>171945.47999999998</v>
      </c>
      <c r="Q30" s="277">
        <f aca="true" t="shared" si="4" ref="Q30:R38">F30+I30+L30+O30</f>
        <v>50</v>
      </c>
      <c r="R30" s="276">
        <f t="shared" si="4"/>
        <v>300438.48</v>
      </c>
      <c r="S30" s="67"/>
      <c r="T30" s="11"/>
      <c r="U30" s="11"/>
      <c r="V30" s="12"/>
    </row>
    <row r="31" spans="1:22" ht="31.5" customHeight="1">
      <c r="A31" s="281"/>
      <c r="B31" s="366" t="s">
        <v>55</v>
      </c>
      <c r="C31" s="406"/>
      <c r="D31" s="407"/>
      <c r="E31" s="282"/>
      <c r="F31" s="275">
        <v>144</v>
      </c>
      <c r="G31" s="276">
        <f>F31*F42</f>
        <v>838985.76</v>
      </c>
      <c r="H31" s="277"/>
      <c r="I31" s="278">
        <v>65</v>
      </c>
      <c r="J31" s="276">
        <f>I31*F42</f>
        <v>378708.85</v>
      </c>
      <c r="K31" s="277"/>
      <c r="L31" s="278">
        <v>13</v>
      </c>
      <c r="M31" s="276">
        <f>L31*G42</f>
        <v>79831.83</v>
      </c>
      <c r="N31" s="277"/>
      <c r="O31" s="278">
        <v>97</v>
      </c>
      <c r="P31" s="276">
        <f>O31*G42</f>
        <v>595668.27</v>
      </c>
      <c r="Q31" s="277">
        <f t="shared" si="4"/>
        <v>319</v>
      </c>
      <c r="R31" s="276">
        <f t="shared" si="4"/>
        <v>1893194.71</v>
      </c>
      <c r="S31" s="67"/>
      <c r="T31" s="11"/>
      <c r="U31" s="11"/>
      <c r="V31" s="12"/>
    </row>
    <row r="32" spans="1:22" ht="33" customHeight="1">
      <c r="A32" s="281"/>
      <c r="B32" s="366" t="s">
        <v>91</v>
      </c>
      <c r="C32" s="406"/>
      <c r="D32" s="407"/>
      <c r="E32" s="282"/>
      <c r="F32" s="275">
        <v>791.4</v>
      </c>
      <c r="G32" s="276">
        <f>SUM(F32)*F42</f>
        <v>4610925.9059999995</v>
      </c>
      <c r="H32" s="277"/>
      <c r="I32" s="278">
        <v>244.2</v>
      </c>
      <c r="J32" s="276">
        <f>SUM(I32)*F42</f>
        <v>1422780.018</v>
      </c>
      <c r="K32" s="277"/>
      <c r="L32" s="278">
        <v>82.6</v>
      </c>
      <c r="M32" s="276">
        <f>SUM(L32)*G42</f>
        <v>507239.16599999997</v>
      </c>
      <c r="N32" s="277"/>
      <c r="O32" s="278">
        <v>680.8</v>
      </c>
      <c r="P32" s="276">
        <f>SUM(O32)*G42</f>
        <v>4180731.5279999995</v>
      </c>
      <c r="Q32" s="277">
        <f t="shared" si="4"/>
        <v>1798.9999999999998</v>
      </c>
      <c r="R32" s="276">
        <f>SUM(G32)+J32+M32+P32</f>
        <v>10721676.617999999</v>
      </c>
      <c r="S32" s="67"/>
      <c r="T32" s="11"/>
      <c r="U32" s="11"/>
      <c r="V32" s="12"/>
    </row>
    <row r="33" spans="1:22" s="97" customFormat="1" ht="27" customHeight="1">
      <c r="A33" s="267">
        <v>7</v>
      </c>
      <c r="B33" s="402" t="s">
        <v>56</v>
      </c>
      <c r="C33" s="403"/>
      <c r="D33" s="404"/>
      <c r="E33" s="286"/>
      <c r="F33" s="287">
        <f>SUM(F34:F35)</f>
        <v>345.44</v>
      </c>
      <c r="G33" s="270">
        <f>SUM(G34:G35)</f>
        <v>2012633.6176</v>
      </c>
      <c r="H33" s="271"/>
      <c r="I33" s="290">
        <f>SUM(I34:I35)</f>
        <v>166.814</v>
      </c>
      <c r="J33" s="270">
        <f>SUM(J34:J35)</f>
        <v>971906.74006</v>
      </c>
      <c r="K33" s="271"/>
      <c r="L33" s="290">
        <f>SUM(L34:L35)</f>
        <v>104.259</v>
      </c>
      <c r="M33" s="270">
        <f>SUM(M34:M35)</f>
        <v>640245.1356899999</v>
      </c>
      <c r="N33" s="271"/>
      <c r="O33" s="290">
        <f>SUM(O34:O35)</f>
        <v>300.736</v>
      </c>
      <c r="P33" s="270">
        <f>SUM(P34:P35)</f>
        <v>1846792.7097599998</v>
      </c>
      <c r="Q33" s="271">
        <f>SUM(Q34:Q35)</f>
        <v>917.249</v>
      </c>
      <c r="R33" s="270">
        <f t="shared" si="4"/>
        <v>5471578.20311</v>
      </c>
      <c r="S33" s="94"/>
      <c r="T33" s="96"/>
      <c r="U33" s="96"/>
      <c r="V33" s="95"/>
    </row>
    <row r="34" spans="1:22" s="97" customFormat="1" ht="27" customHeight="1">
      <c r="A34" s="281"/>
      <c r="B34" s="366" t="s">
        <v>100</v>
      </c>
      <c r="C34" s="361"/>
      <c r="D34" s="362"/>
      <c r="E34" s="282"/>
      <c r="F34" s="301">
        <v>339.755</v>
      </c>
      <c r="G34" s="276">
        <f>SUM(F34)*F42</f>
        <v>1979511.15895</v>
      </c>
      <c r="H34" s="277"/>
      <c r="I34" s="302">
        <v>161.129</v>
      </c>
      <c r="J34" s="276">
        <f>SUM(I34)*F42</f>
        <v>938784.2814099999</v>
      </c>
      <c r="K34" s="277"/>
      <c r="L34" s="302">
        <v>98.574</v>
      </c>
      <c r="M34" s="276">
        <f>SUM(L34)*G42</f>
        <v>605334.06234</v>
      </c>
      <c r="N34" s="277"/>
      <c r="O34" s="302">
        <v>295.051</v>
      </c>
      <c r="P34" s="276">
        <f>SUM(O34)*G42</f>
        <v>1811881.6364099998</v>
      </c>
      <c r="Q34" s="277">
        <f t="shared" si="4"/>
        <v>894.509</v>
      </c>
      <c r="R34" s="276">
        <f t="shared" si="4"/>
        <v>5335511.13911</v>
      </c>
      <c r="S34" s="94"/>
      <c r="T34" s="96"/>
      <c r="U34" s="96"/>
      <c r="V34" s="95"/>
    </row>
    <row r="35" spans="1:22" s="97" customFormat="1" ht="27" customHeight="1">
      <c r="A35" s="281"/>
      <c r="B35" s="366" t="s">
        <v>99</v>
      </c>
      <c r="C35" s="361"/>
      <c r="D35" s="362"/>
      <c r="E35" s="282"/>
      <c r="F35" s="301">
        <v>5.685</v>
      </c>
      <c r="G35" s="276">
        <f>SUM(F35)*F42</f>
        <v>33122.45865</v>
      </c>
      <c r="H35" s="277"/>
      <c r="I35" s="302">
        <v>5.685</v>
      </c>
      <c r="J35" s="276">
        <f>SUM(I35)*F42</f>
        <v>33122.45865</v>
      </c>
      <c r="K35" s="277"/>
      <c r="L35" s="302">
        <v>5.685</v>
      </c>
      <c r="M35" s="276">
        <f>SUM(L35)*G42</f>
        <v>34911.07335</v>
      </c>
      <c r="N35" s="277"/>
      <c r="O35" s="302">
        <v>5.685</v>
      </c>
      <c r="P35" s="276">
        <f>SUM(O35)*G42</f>
        <v>34911.07335</v>
      </c>
      <c r="Q35" s="277">
        <f t="shared" si="4"/>
        <v>22.74</v>
      </c>
      <c r="R35" s="276">
        <f t="shared" si="4"/>
        <v>136067.06399999998</v>
      </c>
      <c r="S35" s="94"/>
      <c r="T35" s="96"/>
      <c r="U35" s="96"/>
      <c r="V35" s="95"/>
    </row>
    <row r="36" spans="1:22" s="97" customFormat="1" ht="27" customHeight="1">
      <c r="A36" s="267">
        <v>8</v>
      </c>
      <c r="B36" s="408" t="s">
        <v>96</v>
      </c>
      <c r="C36" s="409"/>
      <c r="D36" s="410"/>
      <c r="E36" s="286"/>
      <c r="F36" s="287">
        <f>SUM(F37:F38)</f>
        <v>98.8</v>
      </c>
      <c r="G36" s="270">
        <f aca="true" t="shared" si="5" ref="G36:R36">SUM(G37:G38)</f>
        <v>575637.4519999999</v>
      </c>
      <c r="H36" s="271">
        <f t="shared" si="5"/>
        <v>0</v>
      </c>
      <c r="I36" s="290">
        <f t="shared" si="5"/>
        <v>28.6</v>
      </c>
      <c r="J36" s="270">
        <f t="shared" si="5"/>
        <v>166631.894</v>
      </c>
      <c r="K36" s="271">
        <f t="shared" si="5"/>
        <v>0</v>
      </c>
      <c r="L36" s="290">
        <f t="shared" si="5"/>
        <v>8.299999999999999</v>
      </c>
      <c r="M36" s="270">
        <f t="shared" si="5"/>
        <v>50969.55299999999</v>
      </c>
      <c r="N36" s="271">
        <f t="shared" si="5"/>
        <v>0</v>
      </c>
      <c r="O36" s="290">
        <f t="shared" si="5"/>
        <v>83.39999999999999</v>
      </c>
      <c r="P36" s="270">
        <f t="shared" si="5"/>
        <v>512151.894</v>
      </c>
      <c r="Q36" s="271">
        <f t="shared" si="5"/>
        <v>219.1</v>
      </c>
      <c r="R36" s="270">
        <f t="shared" si="5"/>
        <v>1305390.7929999998</v>
      </c>
      <c r="S36" s="94"/>
      <c r="T36" s="96"/>
      <c r="U36" s="96"/>
      <c r="V36" s="95"/>
    </row>
    <row r="37" spans="1:22" s="97" customFormat="1" ht="27" customHeight="1">
      <c r="A37" s="267"/>
      <c r="B37" s="366" t="s">
        <v>97</v>
      </c>
      <c r="C37" s="406"/>
      <c r="D37" s="407"/>
      <c r="E37" s="286"/>
      <c r="F37" s="301">
        <v>3.6</v>
      </c>
      <c r="G37" s="276">
        <f>SUM(F37)*F42</f>
        <v>20974.644</v>
      </c>
      <c r="H37" s="277"/>
      <c r="I37" s="302">
        <v>1.3</v>
      </c>
      <c r="J37" s="276">
        <f>SUM(I37)*F42</f>
        <v>7574.177000000001</v>
      </c>
      <c r="K37" s="277"/>
      <c r="L37" s="302">
        <v>0.28</v>
      </c>
      <c r="M37" s="276">
        <f>SUM(L37)*G42</f>
        <v>1719.4548000000002</v>
      </c>
      <c r="N37" s="277"/>
      <c r="O37" s="302">
        <v>3.1</v>
      </c>
      <c r="P37" s="276">
        <f>SUM(O37)*G42</f>
        <v>19036.821</v>
      </c>
      <c r="Q37" s="277">
        <f t="shared" si="4"/>
        <v>8.280000000000001</v>
      </c>
      <c r="R37" s="276">
        <f>SUM(G37)+J37+M37+P37</f>
        <v>49305.0968</v>
      </c>
      <c r="S37" s="94"/>
      <c r="T37" s="96"/>
      <c r="U37" s="96"/>
      <c r="V37" s="95"/>
    </row>
    <row r="38" spans="1:22" s="97" customFormat="1" ht="27" customHeight="1">
      <c r="A38" s="267"/>
      <c r="B38" s="366" t="s">
        <v>98</v>
      </c>
      <c r="C38" s="406"/>
      <c r="D38" s="407"/>
      <c r="E38" s="286"/>
      <c r="F38" s="301">
        <v>95.2</v>
      </c>
      <c r="G38" s="276">
        <f>SUM(F38)*F42</f>
        <v>554662.808</v>
      </c>
      <c r="H38" s="277"/>
      <c r="I38" s="302">
        <v>27.3</v>
      </c>
      <c r="J38" s="276">
        <f>SUM(I38)*F42</f>
        <v>159057.717</v>
      </c>
      <c r="K38" s="277"/>
      <c r="L38" s="302">
        <v>8.02</v>
      </c>
      <c r="M38" s="276">
        <f>SUM(L38)*G42</f>
        <v>49250.09819999999</v>
      </c>
      <c r="N38" s="277"/>
      <c r="O38" s="302">
        <v>80.3</v>
      </c>
      <c r="P38" s="276">
        <f>SUM(O38)*G42</f>
        <v>493115.073</v>
      </c>
      <c r="Q38" s="277">
        <f t="shared" si="4"/>
        <v>210.82</v>
      </c>
      <c r="R38" s="276">
        <f>SUM(G38)+J38+M38+P38</f>
        <v>1256085.6962</v>
      </c>
      <c r="S38" s="94"/>
      <c r="T38" s="96"/>
      <c r="U38" s="96"/>
      <c r="V38" s="95"/>
    </row>
    <row r="39" spans="1:22" ht="26.25" customHeight="1">
      <c r="A39" s="281"/>
      <c r="B39" s="430" t="s">
        <v>19</v>
      </c>
      <c r="C39" s="431"/>
      <c r="D39" s="432"/>
      <c r="E39" s="274" t="e">
        <f>E11+#REF!+#REF!+E13+E14+E15+E16+E17+E18+E28+#REF!+#REF!+#REF!</f>
        <v>#REF!</v>
      </c>
      <c r="F39" s="291">
        <f aca="true" t="shared" si="6" ref="F39:R39">F11+F12+F19+F20+F24+F29+F33+F36</f>
        <v>4918.468</v>
      </c>
      <c r="G39" s="292">
        <f t="shared" si="6"/>
        <v>28656420.92372</v>
      </c>
      <c r="H39" s="293">
        <f t="shared" si="6"/>
        <v>7.9</v>
      </c>
      <c r="I39" s="291">
        <f t="shared" si="6"/>
        <v>1847.152</v>
      </c>
      <c r="J39" s="292">
        <f t="shared" si="6"/>
        <v>10762043.22608</v>
      </c>
      <c r="K39" s="293">
        <f t="shared" si="6"/>
        <v>2.9</v>
      </c>
      <c r="L39" s="291">
        <f t="shared" si="6"/>
        <v>678.501</v>
      </c>
      <c r="M39" s="292">
        <f t="shared" si="6"/>
        <v>4166613.575909999</v>
      </c>
      <c r="N39" s="293">
        <f t="shared" si="6"/>
        <v>20.6</v>
      </c>
      <c r="O39" s="291">
        <f t="shared" si="6"/>
        <v>4119.464999999999</v>
      </c>
      <c r="P39" s="292">
        <f t="shared" si="6"/>
        <v>25297263.81315</v>
      </c>
      <c r="Q39" s="293">
        <f t="shared" si="6"/>
        <v>11563.586000000001</v>
      </c>
      <c r="R39" s="292">
        <f t="shared" si="6"/>
        <v>68882341.53886</v>
      </c>
      <c r="S39" s="69"/>
      <c r="T39" s="19"/>
      <c r="U39" s="12"/>
      <c r="V39" s="12"/>
    </row>
    <row r="40" spans="1:22" ht="25.5" customHeight="1">
      <c r="A40" s="294"/>
      <c r="B40" s="433" t="s">
        <v>8</v>
      </c>
      <c r="C40" s="434"/>
      <c r="D40" s="435"/>
      <c r="E40" s="420" t="s">
        <v>102</v>
      </c>
      <c r="F40" s="421"/>
      <c r="G40" s="421"/>
      <c r="H40" s="421"/>
      <c r="I40" s="421"/>
      <c r="J40" s="421"/>
      <c r="K40" s="421"/>
      <c r="L40" s="421"/>
      <c r="M40" s="421"/>
      <c r="N40" s="421"/>
      <c r="O40" s="421"/>
      <c r="P40" s="421"/>
      <c r="Q40" s="421"/>
      <c r="R40" s="422"/>
      <c r="T40" s="12"/>
      <c r="U40" s="12"/>
      <c r="V40" s="12"/>
    </row>
    <row r="41" spans="1:22" ht="15.75" customHeight="1">
      <c r="A41" s="21"/>
      <c r="B41" s="22"/>
      <c r="C41" s="171"/>
      <c r="D41" s="171"/>
      <c r="E41" s="172"/>
      <c r="F41" s="173"/>
      <c r="G41" s="174"/>
      <c r="H41" s="172"/>
      <c r="I41" s="172"/>
      <c r="J41" s="174"/>
      <c r="K41" s="23"/>
      <c r="L41" s="23"/>
      <c r="M41" s="107"/>
      <c r="N41" s="23"/>
      <c r="O41" s="23"/>
      <c r="P41" s="107"/>
      <c r="Q41" s="23"/>
      <c r="R41" s="107"/>
      <c r="T41" s="12"/>
      <c r="U41" s="12"/>
      <c r="V41" s="12"/>
    </row>
    <row r="42" spans="1:22" ht="28.5" customHeight="1">
      <c r="A42" s="24"/>
      <c r="B42" s="25"/>
      <c r="C42" s="175"/>
      <c r="D42" s="176"/>
      <c r="E42" s="177" t="s">
        <v>11</v>
      </c>
      <c r="F42" s="178">
        <v>5826.29</v>
      </c>
      <c r="G42" s="179">
        <v>6140.91</v>
      </c>
      <c r="H42" s="177"/>
      <c r="I42" s="177"/>
      <c r="J42" s="180"/>
      <c r="K42" s="27"/>
      <c r="L42" s="27"/>
      <c r="M42" s="108"/>
      <c r="N42" s="28"/>
      <c r="O42" s="28"/>
      <c r="P42" s="108"/>
      <c r="Q42" s="28"/>
      <c r="R42" s="108"/>
      <c r="T42" s="12"/>
      <c r="U42" s="12"/>
      <c r="V42" s="12"/>
    </row>
    <row r="43" spans="1:22" ht="31.5" customHeight="1">
      <c r="A43" s="405" t="s">
        <v>86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T43" s="12"/>
      <c r="U43" s="12"/>
      <c r="V43" s="12"/>
    </row>
    <row r="44" spans="1:22" ht="27.75" customHeight="1">
      <c r="A44" s="449" t="s">
        <v>15</v>
      </c>
      <c r="B44" s="450" t="s">
        <v>0</v>
      </c>
      <c r="C44" s="451"/>
      <c r="D44" s="452"/>
      <c r="E44" s="377" t="s">
        <v>1</v>
      </c>
      <c r="F44" s="377"/>
      <c r="G44" s="377"/>
      <c r="H44" s="377" t="s">
        <v>3</v>
      </c>
      <c r="I44" s="377"/>
      <c r="J44" s="377"/>
      <c r="K44" s="377" t="s">
        <v>4</v>
      </c>
      <c r="L44" s="377"/>
      <c r="M44" s="377"/>
      <c r="N44" s="377" t="s">
        <v>6</v>
      </c>
      <c r="O44" s="377"/>
      <c r="P44" s="377"/>
      <c r="Q44" s="377" t="s">
        <v>7</v>
      </c>
      <c r="R44" s="377"/>
      <c r="T44" s="12"/>
      <c r="U44" s="12"/>
      <c r="V44" s="12"/>
    </row>
    <row r="45" spans="1:22" ht="30" customHeight="1">
      <c r="A45" s="449"/>
      <c r="B45" s="453"/>
      <c r="C45" s="454"/>
      <c r="D45" s="455"/>
      <c r="E45" s="64"/>
      <c r="F45" s="64" t="s">
        <v>9</v>
      </c>
      <c r="G45" s="109" t="s">
        <v>5</v>
      </c>
      <c r="H45" s="64" t="s">
        <v>9</v>
      </c>
      <c r="I45" s="64" t="s">
        <v>9</v>
      </c>
      <c r="J45" s="109" t="s">
        <v>5</v>
      </c>
      <c r="K45" s="64" t="s">
        <v>9</v>
      </c>
      <c r="L45" s="64" t="s">
        <v>9</v>
      </c>
      <c r="M45" s="109" t="s">
        <v>5</v>
      </c>
      <c r="N45" s="64" t="s">
        <v>9</v>
      </c>
      <c r="O45" s="64" t="s">
        <v>9</v>
      </c>
      <c r="P45" s="109" t="s">
        <v>5</v>
      </c>
      <c r="Q45" s="64" t="s">
        <v>9</v>
      </c>
      <c r="R45" s="109" t="s">
        <v>5</v>
      </c>
      <c r="T45" s="12"/>
      <c r="U45" s="12"/>
      <c r="V45" s="12"/>
    </row>
    <row r="46" spans="1:22" s="97" customFormat="1" ht="30" customHeight="1">
      <c r="A46" s="102">
        <v>1</v>
      </c>
      <c r="B46" s="436" t="s">
        <v>33</v>
      </c>
      <c r="C46" s="437"/>
      <c r="D46" s="438"/>
      <c r="E46" s="103">
        <v>1800</v>
      </c>
      <c r="F46" s="243">
        <v>1750</v>
      </c>
      <c r="G46" s="227">
        <f>F46*F75</f>
        <v>9450</v>
      </c>
      <c r="H46" s="227">
        <v>1200</v>
      </c>
      <c r="I46" s="243">
        <v>1750</v>
      </c>
      <c r="J46" s="227">
        <f>I46*F75</f>
        <v>9450</v>
      </c>
      <c r="K46" s="227">
        <v>1500</v>
      </c>
      <c r="L46" s="243">
        <v>1750</v>
      </c>
      <c r="M46" s="227">
        <f>L46*G75</f>
        <v>9957.5</v>
      </c>
      <c r="N46" s="227">
        <v>1500</v>
      </c>
      <c r="O46" s="243">
        <v>1751.1</v>
      </c>
      <c r="P46" s="227">
        <f>O46*G75</f>
        <v>9963.759</v>
      </c>
      <c r="Q46" s="227">
        <f>F46+I46+L46+O46</f>
        <v>7001.1</v>
      </c>
      <c r="R46" s="227">
        <f>G46+J46+M46+P46</f>
        <v>38821.259</v>
      </c>
      <c r="S46" s="94"/>
      <c r="T46" s="95"/>
      <c r="U46" s="96"/>
      <c r="V46" s="95"/>
    </row>
    <row r="47" spans="1:22" s="97" customFormat="1" ht="30" customHeight="1">
      <c r="A47" s="104">
        <v>2</v>
      </c>
      <c r="B47" s="371" t="s">
        <v>41</v>
      </c>
      <c r="C47" s="372"/>
      <c r="D47" s="373"/>
      <c r="E47" s="103"/>
      <c r="F47" s="243">
        <f>F48+F49+F50+F51+F52+F53</f>
        <v>133250</v>
      </c>
      <c r="G47" s="227">
        <f>G48+G49+G50+G51+G52+G53</f>
        <v>719550</v>
      </c>
      <c r="H47" s="227"/>
      <c r="I47" s="243">
        <f>I48+I49+I50+I51+I52+I53</f>
        <v>113820</v>
      </c>
      <c r="J47" s="227">
        <f>J48+J49+J50+J51+J52+J53</f>
        <v>614628</v>
      </c>
      <c r="K47" s="227"/>
      <c r="L47" s="243">
        <f>L48+L49+L50+L51+L52+L53</f>
        <v>113149</v>
      </c>
      <c r="M47" s="227">
        <f>M48+M49+M50+M51+M52+M53</f>
        <v>643817.81</v>
      </c>
      <c r="N47" s="227"/>
      <c r="O47" s="243">
        <f>O48+O49+O50+O51+O52+O53</f>
        <v>198010</v>
      </c>
      <c r="P47" s="227">
        <f>P48+P49+P50+P51+P52+P53</f>
        <v>1126676.9</v>
      </c>
      <c r="Q47" s="227">
        <f>Q48+Q49+Q50+Q51+Q52+Q53</f>
        <v>558229</v>
      </c>
      <c r="R47" s="227">
        <f>R48+R49+R50+R51+R52+R53</f>
        <v>3104672.71</v>
      </c>
      <c r="S47" s="94"/>
      <c r="T47" s="95"/>
      <c r="U47" s="96"/>
      <c r="V47" s="95"/>
    </row>
    <row r="48" spans="1:21" s="17" customFormat="1" ht="64.5" customHeight="1">
      <c r="A48" s="32"/>
      <c r="B48" s="374" t="s">
        <v>34</v>
      </c>
      <c r="C48" s="375"/>
      <c r="D48" s="376"/>
      <c r="E48" s="14">
        <v>53000</v>
      </c>
      <c r="F48" s="232">
        <v>40000</v>
      </c>
      <c r="G48" s="230">
        <f>F48*F75</f>
        <v>216000</v>
      </c>
      <c r="H48" s="231">
        <v>36000</v>
      </c>
      <c r="I48" s="232">
        <v>30000</v>
      </c>
      <c r="J48" s="230">
        <f>I48*F75</f>
        <v>162000</v>
      </c>
      <c r="K48" s="231">
        <v>24000</v>
      </c>
      <c r="L48" s="232">
        <v>26600</v>
      </c>
      <c r="M48" s="230">
        <f>L48*G75</f>
        <v>151354</v>
      </c>
      <c r="N48" s="231">
        <v>50000</v>
      </c>
      <c r="O48" s="232">
        <v>64000</v>
      </c>
      <c r="P48" s="230">
        <f>O48*G75</f>
        <v>364160</v>
      </c>
      <c r="Q48" s="231">
        <f aca="true" t="shared" si="7" ref="Q48:Q54">F48+I48+L48+O48</f>
        <v>160600</v>
      </c>
      <c r="R48" s="230">
        <f aca="true" t="shared" si="8" ref="R48:R54">G48+J48+M48+P48</f>
        <v>893514</v>
      </c>
      <c r="S48" s="67" t="s">
        <v>82</v>
      </c>
      <c r="U48" s="16"/>
    </row>
    <row r="49" spans="1:22" ht="45.75" customHeight="1">
      <c r="A49" s="29"/>
      <c r="B49" s="399" t="s">
        <v>35</v>
      </c>
      <c r="C49" s="400"/>
      <c r="D49" s="401"/>
      <c r="E49" s="30">
        <v>27000</v>
      </c>
      <c r="F49" s="244">
        <v>23250</v>
      </c>
      <c r="G49" s="230">
        <f>F49*F75</f>
        <v>125550.00000000001</v>
      </c>
      <c r="H49" s="230">
        <v>17000</v>
      </c>
      <c r="I49" s="244">
        <v>17820</v>
      </c>
      <c r="J49" s="230">
        <f>I49*F75</f>
        <v>96228</v>
      </c>
      <c r="K49" s="230">
        <v>19000</v>
      </c>
      <c r="L49" s="244">
        <v>18549</v>
      </c>
      <c r="M49" s="230">
        <f>L49*G75</f>
        <v>105543.81000000001</v>
      </c>
      <c r="N49" s="230">
        <v>41000</v>
      </c>
      <c r="O49" s="244">
        <v>35010</v>
      </c>
      <c r="P49" s="230">
        <f>O49*G75</f>
        <v>199206.90000000002</v>
      </c>
      <c r="Q49" s="230">
        <f t="shared" si="7"/>
        <v>94629</v>
      </c>
      <c r="R49" s="230">
        <f t="shared" si="8"/>
        <v>526528.71</v>
      </c>
      <c r="S49" s="67"/>
      <c r="T49" s="12"/>
      <c r="U49" s="11"/>
      <c r="V49" s="12"/>
    </row>
    <row r="50" spans="1:22" ht="54.75" customHeight="1">
      <c r="A50" s="32"/>
      <c r="B50" s="374" t="s">
        <v>36</v>
      </c>
      <c r="C50" s="375"/>
      <c r="D50" s="376"/>
      <c r="E50" s="14">
        <v>70000</v>
      </c>
      <c r="F50" s="232">
        <v>20000</v>
      </c>
      <c r="G50" s="230">
        <f>F50*F75</f>
        <v>108000</v>
      </c>
      <c r="H50" s="231">
        <v>55000</v>
      </c>
      <c r="I50" s="232">
        <v>20000</v>
      </c>
      <c r="J50" s="230">
        <f>I50*F75</f>
        <v>108000</v>
      </c>
      <c r="K50" s="231">
        <v>45000</v>
      </c>
      <c r="L50" s="232">
        <v>20000</v>
      </c>
      <c r="M50" s="230">
        <f>L50*G75</f>
        <v>113800.00000000001</v>
      </c>
      <c r="N50" s="231">
        <v>70000</v>
      </c>
      <c r="O50" s="232">
        <v>30000</v>
      </c>
      <c r="P50" s="230">
        <f>O50*G75</f>
        <v>170700</v>
      </c>
      <c r="Q50" s="231">
        <f t="shared" si="7"/>
        <v>90000</v>
      </c>
      <c r="R50" s="230">
        <f t="shared" si="8"/>
        <v>500500</v>
      </c>
      <c r="S50" s="67" t="s">
        <v>82</v>
      </c>
      <c r="T50" s="12"/>
      <c r="U50" s="11"/>
      <c r="V50" s="12"/>
    </row>
    <row r="51" spans="1:22" ht="30.75" customHeight="1">
      <c r="A51" s="34"/>
      <c r="B51" s="370" t="s">
        <v>37</v>
      </c>
      <c r="C51" s="370"/>
      <c r="D51" s="370"/>
      <c r="E51" s="8">
        <v>17000</v>
      </c>
      <c r="F51" s="232">
        <v>20000</v>
      </c>
      <c r="G51" s="230">
        <f>F51*F75</f>
        <v>108000</v>
      </c>
      <c r="H51" s="231">
        <v>14000</v>
      </c>
      <c r="I51" s="232">
        <v>17000</v>
      </c>
      <c r="J51" s="230">
        <f>I51*F75</f>
        <v>91800</v>
      </c>
      <c r="K51" s="231">
        <v>13000</v>
      </c>
      <c r="L51" s="232">
        <v>16000</v>
      </c>
      <c r="M51" s="230">
        <f>L51*G75</f>
        <v>91040</v>
      </c>
      <c r="N51" s="231">
        <v>24000</v>
      </c>
      <c r="O51" s="232">
        <v>26000</v>
      </c>
      <c r="P51" s="230">
        <f>O51*G75</f>
        <v>147940</v>
      </c>
      <c r="Q51" s="231">
        <f t="shared" si="7"/>
        <v>79000</v>
      </c>
      <c r="R51" s="230">
        <f t="shared" si="8"/>
        <v>438780</v>
      </c>
      <c r="S51" s="67" t="s">
        <v>82</v>
      </c>
      <c r="T51" s="12"/>
      <c r="U51" s="11"/>
      <c r="V51" s="12"/>
    </row>
    <row r="52" spans="1:22" ht="38.25" customHeight="1">
      <c r="A52" s="34"/>
      <c r="B52" s="370" t="s">
        <v>38</v>
      </c>
      <c r="C52" s="370"/>
      <c r="D52" s="370"/>
      <c r="E52" s="8">
        <v>31000</v>
      </c>
      <c r="F52" s="232">
        <v>24000</v>
      </c>
      <c r="G52" s="230">
        <f>F52*F75</f>
        <v>129600.00000000001</v>
      </c>
      <c r="H52" s="231">
        <v>27000</v>
      </c>
      <c r="I52" s="232">
        <v>23000</v>
      </c>
      <c r="J52" s="230">
        <f>I52*F75</f>
        <v>124200.00000000001</v>
      </c>
      <c r="K52" s="231">
        <v>58000</v>
      </c>
      <c r="L52" s="232">
        <v>26000</v>
      </c>
      <c r="M52" s="230">
        <f>L52*G75</f>
        <v>147940</v>
      </c>
      <c r="N52" s="231">
        <v>44000</v>
      </c>
      <c r="O52" s="232">
        <v>37000</v>
      </c>
      <c r="P52" s="230">
        <f>O52*G75</f>
        <v>210530</v>
      </c>
      <c r="Q52" s="231">
        <f t="shared" si="7"/>
        <v>110000</v>
      </c>
      <c r="R52" s="230">
        <f t="shared" si="8"/>
        <v>612270</v>
      </c>
      <c r="S52" s="67" t="s">
        <v>82</v>
      </c>
      <c r="T52" s="12"/>
      <c r="U52" s="11"/>
      <c r="V52" s="12"/>
    </row>
    <row r="53" spans="1:22" ht="59.25" customHeight="1">
      <c r="A53" s="34"/>
      <c r="B53" s="370" t="s">
        <v>39</v>
      </c>
      <c r="C53" s="370"/>
      <c r="D53" s="370"/>
      <c r="E53" s="8">
        <v>8000</v>
      </c>
      <c r="F53" s="232">
        <v>6000</v>
      </c>
      <c r="G53" s="230">
        <f>F53*F75</f>
        <v>32400.000000000004</v>
      </c>
      <c r="H53" s="231">
        <v>12000</v>
      </c>
      <c r="I53" s="232">
        <v>6000</v>
      </c>
      <c r="J53" s="230">
        <f>I53*F75</f>
        <v>32400.000000000004</v>
      </c>
      <c r="K53" s="231">
        <v>9000</v>
      </c>
      <c r="L53" s="232">
        <v>6000</v>
      </c>
      <c r="M53" s="230">
        <f>L53*G75</f>
        <v>34140</v>
      </c>
      <c r="N53" s="231">
        <v>15000</v>
      </c>
      <c r="O53" s="232">
        <v>6000</v>
      </c>
      <c r="P53" s="230">
        <f>O53*G75</f>
        <v>34140</v>
      </c>
      <c r="Q53" s="231">
        <f t="shared" si="7"/>
        <v>24000</v>
      </c>
      <c r="R53" s="230">
        <f t="shared" si="8"/>
        <v>133080</v>
      </c>
      <c r="S53" s="67" t="s">
        <v>82</v>
      </c>
      <c r="T53" s="12"/>
      <c r="U53" s="11"/>
      <c r="V53" s="12"/>
    </row>
    <row r="54" spans="1:22" s="97" customFormat="1" ht="27" customHeight="1">
      <c r="A54" s="104">
        <v>3</v>
      </c>
      <c r="B54" s="371" t="s">
        <v>42</v>
      </c>
      <c r="C54" s="372"/>
      <c r="D54" s="373"/>
      <c r="E54" s="91">
        <v>9000</v>
      </c>
      <c r="F54" s="228">
        <v>32644</v>
      </c>
      <c r="G54" s="227">
        <f>F54*F75</f>
        <v>176277.6</v>
      </c>
      <c r="H54" s="93"/>
      <c r="I54" s="228">
        <v>22964</v>
      </c>
      <c r="J54" s="227">
        <f>I54*F75</f>
        <v>124005.6</v>
      </c>
      <c r="K54" s="93"/>
      <c r="L54" s="228">
        <v>24392</v>
      </c>
      <c r="M54" s="227">
        <f>L54*G75</f>
        <v>138790.48</v>
      </c>
      <c r="N54" s="93"/>
      <c r="O54" s="228">
        <v>34672</v>
      </c>
      <c r="P54" s="227">
        <f>O54*G75</f>
        <v>197283.68000000002</v>
      </c>
      <c r="Q54" s="93">
        <f t="shared" si="7"/>
        <v>114672</v>
      </c>
      <c r="R54" s="227">
        <f t="shared" si="8"/>
        <v>636357.3600000001</v>
      </c>
      <c r="S54" s="94"/>
      <c r="T54" s="95"/>
      <c r="U54" s="96"/>
      <c r="V54" s="95"/>
    </row>
    <row r="55" spans="1:22" s="97" customFormat="1" ht="28.5" customHeight="1">
      <c r="A55" s="104">
        <v>4</v>
      </c>
      <c r="B55" s="371" t="s">
        <v>43</v>
      </c>
      <c r="C55" s="372"/>
      <c r="D55" s="373"/>
      <c r="E55" s="91">
        <v>20000</v>
      </c>
      <c r="F55" s="228">
        <f>F56+F57+F58</f>
        <v>48495.8</v>
      </c>
      <c r="G55" s="227">
        <f>G56+G57+G58</f>
        <v>261877.32</v>
      </c>
      <c r="H55" s="93"/>
      <c r="I55" s="228">
        <f>I56+I57+I58</f>
        <v>18430.3</v>
      </c>
      <c r="J55" s="227">
        <f>J56+J57+J58</f>
        <v>99523.62</v>
      </c>
      <c r="K55" s="93"/>
      <c r="L55" s="228">
        <f>L56+L57+L58</f>
        <v>13436.5</v>
      </c>
      <c r="M55" s="227">
        <f>M56+M57+M58</f>
        <v>76453.685</v>
      </c>
      <c r="N55" s="93"/>
      <c r="O55" s="228">
        <f>O56+O57+O58</f>
        <v>58719.1</v>
      </c>
      <c r="P55" s="227">
        <f>P56+P57+P58</f>
        <v>334111.67900000006</v>
      </c>
      <c r="Q55" s="93">
        <f>Q56+Q57+Q58</f>
        <v>139081.7</v>
      </c>
      <c r="R55" s="227">
        <f>R56+R57+R58</f>
        <v>771966.3040000002</v>
      </c>
      <c r="S55" s="94"/>
      <c r="T55" s="95"/>
      <c r="U55" s="96"/>
      <c r="V55" s="95"/>
    </row>
    <row r="56" spans="1:22" ht="37.5" customHeight="1">
      <c r="A56" s="34"/>
      <c r="B56" s="374" t="s">
        <v>44</v>
      </c>
      <c r="C56" s="375"/>
      <c r="D56" s="376"/>
      <c r="E56" s="8"/>
      <c r="F56" s="232">
        <v>5377.8</v>
      </c>
      <c r="G56" s="230">
        <f>F56*F75</f>
        <v>29040.120000000003</v>
      </c>
      <c r="H56" s="231"/>
      <c r="I56" s="232">
        <v>4645.3</v>
      </c>
      <c r="J56" s="230">
        <f>I56*F75</f>
        <v>25084.620000000003</v>
      </c>
      <c r="K56" s="231"/>
      <c r="L56" s="232">
        <v>4901.5</v>
      </c>
      <c r="M56" s="230">
        <f>L56*G75</f>
        <v>27889.535000000003</v>
      </c>
      <c r="N56" s="231"/>
      <c r="O56" s="232">
        <v>5942.1</v>
      </c>
      <c r="P56" s="230">
        <f>O56*G75</f>
        <v>33810.549000000006</v>
      </c>
      <c r="Q56" s="231">
        <f aca="true" t="shared" si="9" ref="Q56:R58">F56+I56+L56+O56</f>
        <v>20866.7</v>
      </c>
      <c r="R56" s="230">
        <f t="shared" si="9"/>
        <v>115824.82400000002</v>
      </c>
      <c r="S56" s="67" t="s">
        <v>83</v>
      </c>
      <c r="T56" s="12"/>
      <c r="U56" s="11"/>
      <c r="V56" s="12"/>
    </row>
    <row r="57" spans="1:22" ht="34.5" customHeight="1">
      <c r="A57" s="34"/>
      <c r="B57" s="374" t="s">
        <v>58</v>
      </c>
      <c r="C57" s="375"/>
      <c r="D57" s="376"/>
      <c r="E57" s="8">
        <v>29400</v>
      </c>
      <c r="F57" s="232">
        <v>36914</v>
      </c>
      <c r="G57" s="230">
        <f>F57*F75</f>
        <v>199335.6</v>
      </c>
      <c r="H57" s="231"/>
      <c r="I57" s="232">
        <v>11449</v>
      </c>
      <c r="J57" s="230">
        <f>I57*F75</f>
        <v>61824.600000000006</v>
      </c>
      <c r="K57" s="231"/>
      <c r="L57" s="232">
        <v>5138</v>
      </c>
      <c r="M57" s="230">
        <f>L57*G75</f>
        <v>29235.22</v>
      </c>
      <c r="N57" s="231"/>
      <c r="O57" s="232">
        <v>46542</v>
      </c>
      <c r="P57" s="230">
        <f>O57*G75</f>
        <v>264823.98000000004</v>
      </c>
      <c r="Q57" s="231">
        <f t="shared" si="9"/>
        <v>100043</v>
      </c>
      <c r="R57" s="230">
        <f t="shared" si="9"/>
        <v>555219.4000000001</v>
      </c>
      <c r="S57" s="67"/>
      <c r="T57" s="12"/>
      <c r="U57" s="11"/>
      <c r="V57" s="12"/>
    </row>
    <row r="58" spans="1:22" ht="33" customHeight="1">
      <c r="A58" s="34"/>
      <c r="B58" s="374" t="s">
        <v>59</v>
      </c>
      <c r="C58" s="375"/>
      <c r="D58" s="376"/>
      <c r="E58" s="8"/>
      <c r="F58" s="232">
        <v>6204</v>
      </c>
      <c r="G58" s="230">
        <f>F58*F75</f>
        <v>33501.600000000006</v>
      </c>
      <c r="H58" s="231"/>
      <c r="I58" s="232">
        <v>2336</v>
      </c>
      <c r="J58" s="230">
        <f>I58*F75</f>
        <v>12614.400000000001</v>
      </c>
      <c r="K58" s="231"/>
      <c r="L58" s="232">
        <v>3397</v>
      </c>
      <c r="M58" s="230">
        <f>L58*G75</f>
        <v>19328.93</v>
      </c>
      <c r="N58" s="231"/>
      <c r="O58" s="232">
        <v>6235</v>
      </c>
      <c r="P58" s="230">
        <f>O58*G75</f>
        <v>35477.15</v>
      </c>
      <c r="Q58" s="231">
        <f t="shared" si="9"/>
        <v>18172</v>
      </c>
      <c r="R58" s="230">
        <f t="shared" si="9"/>
        <v>100922.08000000002</v>
      </c>
      <c r="S58" s="67"/>
      <c r="T58" s="12"/>
      <c r="U58" s="11"/>
      <c r="V58" s="12"/>
    </row>
    <row r="59" spans="1:22" s="97" customFormat="1" ht="27" customHeight="1">
      <c r="A59" s="104">
        <v>5</v>
      </c>
      <c r="B59" s="371" t="s">
        <v>47</v>
      </c>
      <c r="C59" s="372"/>
      <c r="D59" s="373"/>
      <c r="E59" s="98"/>
      <c r="F59" s="228">
        <f>F60+F61+F62+F63</f>
        <v>27639</v>
      </c>
      <c r="G59" s="227">
        <f>G60+G61+G62+G63</f>
        <v>149250.6</v>
      </c>
      <c r="H59" s="93"/>
      <c r="I59" s="228">
        <f>I60+I61+I62+I63</f>
        <v>24645</v>
      </c>
      <c r="J59" s="227">
        <f>J60+J61+J62+J63</f>
        <v>133083</v>
      </c>
      <c r="K59" s="93"/>
      <c r="L59" s="228">
        <f>L60+L61+L62+L63</f>
        <v>26938</v>
      </c>
      <c r="M59" s="227">
        <f>M60+M61+M62+M63</f>
        <v>153277.22</v>
      </c>
      <c r="N59" s="93"/>
      <c r="O59" s="228">
        <f>O60+O61+O62+O63</f>
        <v>29247</v>
      </c>
      <c r="P59" s="227">
        <f>P60+P61+P62+P63</f>
        <v>166415.43</v>
      </c>
      <c r="Q59" s="93">
        <f>Q60+Q61+Q62+Q63</f>
        <v>108469</v>
      </c>
      <c r="R59" s="227">
        <f>R60+R61+R62++R63</f>
        <v>602026.25</v>
      </c>
      <c r="S59" s="94"/>
      <c r="T59" s="95"/>
      <c r="U59" s="96"/>
      <c r="V59" s="95"/>
    </row>
    <row r="60" spans="1:22" ht="33" customHeight="1">
      <c r="A60" s="34"/>
      <c r="B60" s="374" t="s">
        <v>48</v>
      </c>
      <c r="C60" s="375"/>
      <c r="D60" s="376"/>
      <c r="E60" s="8"/>
      <c r="F60" s="232">
        <v>3193</v>
      </c>
      <c r="G60" s="245">
        <f>F60*F75</f>
        <v>17242.2</v>
      </c>
      <c r="H60" s="231"/>
      <c r="I60" s="232">
        <v>2815</v>
      </c>
      <c r="J60" s="230">
        <f>I60*F75</f>
        <v>15201.000000000002</v>
      </c>
      <c r="K60" s="231"/>
      <c r="L60" s="232">
        <v>2814</v>
      </c>
      <c r="M60" s="230">
        <f>L60*G75</f>
        <v>16011.660000000002</v>
      </c>
      <c r="N60" s="231"/>
      <c r="O60" s="232">
        <v>2588</v>
      </c>
      <c r="P60" s="230">
        <f>O60*G75</f>
        <v>14725.720000000001</v>
      </c>
      <c r="Q60" s="231">
        <f aca="true" t="shared" si="10" ref="Q60:R63">F60+I60+L60+O60</f>
        <v>11410</v>
      </c>
      <c r="R60" s="230">
        <f t="shared" si="10"/>
        <v>63180.58000000001</v>
      </c>
      <c r="S60" s="67"/>
      <c r="T60" s="12"/>
      <c r="U60" s="11"/>
      <c r="V60" s="12"/>
    </row>
    <row r="61" spans="1:22" ht="36" customHeight="1">
      <c r="A61" s="34"/>
      <c r="B61" s="374" t="s">
        <v>49</v>
      </c>
      <c r="C61" s="375"/>
      <c r="D61" s="376"/>
      <c r="E61" s="8"/>
      <c r="F61" s="232">
        <v>13050</v>
      </c>
      <c r="G61" s="230">
        <f>F61*F75</f>
        <v>70470</v>
      </c>
      <c r="H61" s="231"/>
      <c r="I61" s="232">
        <v>13050</v>
      </c>
      <c r="J61" s="230">
        <f>I61*F75</f>
        <v>70470</v>
      </c>
      <c r="K61" s="231"/>
      <c r="L61" s="232">
        <v>12950</v>
      </c>
      <c r="M61" s="230">
        <f>L61*G75</f>
        <v>73685.5</v>
      </c>
      <c r="N61" s="231"/>
      <c r="O61" s="232">
        <v>13682.38</v>
      </c>
      <c r="P61" s="230">
        <f>O61*G75</f>
        <v>77852.74220000001</v>
      </c>
      <c r="Q61" s="231">
        <f t="shared" si="10"/>
        <v>52732.38</v>
      </c>
      <c r="R61" s="230">
        <f t="shared" si="10"/>
        <v>292478.2422</v>
      </c>
      <c r="S61" s="67"/>
      <c r="T61" s="12"/>
      <c r="U61" s="11"/>
      <c r="V61" s="12"/>
    </row>
    <row r="62" spans="1:22" ht="34.5" customHeight="1">
      <c r="A62" s="34"/>
      <c r="B62" s="374" t="s">
        <v>50</v>
      </c>
      <c r="C62" s="375"/>
      <c r="D62" s="376"/>
      <c r="E62" s="8"/>
      <c r="F62" s="232">
        <v>8118</v>
      </c>
      <c r="G62" s="230">
        <f>F62*F75</f>
        <v>43837.200000000004</v>
      </c>
      <c r="H62" s="231"/>
      <c r="I62" s="232">
        <v>7069</v>
      </c>
      <c r="J62" s="230">
        <f>I62*F75</f>
        <v>38172.600000000006</v>
      </c>
      <c r="K62" s="231"/>
      <c r="L62" s="232">
        <v>8715</v>
      </c>
      <c r="M62" s="230">
        <f>L62*G75</f>
        <v>49588.350000000006</v>
      </c>
      <c r="N62" s="231"/>
      <c r="O62" s="232">
        <v>9280.62</v>
      </c>
      <c r="P62" s="230">
        <f>O62*G75</f>
        <v>52806.72780000001</v>
      </c>
      <c r="Q62" s="231">
        <f t="shared" si="10"/>
        <v>33182.62</v>
      </c>
      <c r="R62" s="230">
        <f t="shared" si="10"/>
        <v>184404.87780000002</v>
      </c>
      <c r="S62" s="67"/>
      <c r="T62" s="12"/>
      <c r="U62" s="11"/>
      <c r="V62" s="12"/>
    </row>
    <row r="63" spans="1:22" ht="31.5" customHeight="1">
      <c r="A63" s="34"/>
      <c r="B63" s="370" t="s">
        <v>40</v>
      </c>
      <c r="C63" s="370"/>
      <c r="D63" s="370"/>
      <c r="E63" s="8"/>
      <c r="F63" s="232">
        <v>3278</v>
      </c>
      <c r="G63" s="230">
        <f>F63*F75</f>
        <v>17701.2</v>
      </c>
      <c r="H63" s="231"/>
      <c r="I63" s="232">
        <v>1711</v>
      </c>
      <c r="J63" s="230">
        <f>I63*F75</f>
        <v>9239.400000000001</v>
      </c>
      <c r="K63" s="231"/>
      <c r="L63" s="232">
        <v>2459</v>
      </c>
      <c r="M63" s="230">
        <f>L63*G75</f>
        <v>13991.710000000001</v>
      </c>
      <c r="N63" s="231"/>
      <c r="O63" s="232">
        <v>3696</v>
      </c>
      <c r="P63" s="230">
        <f>O63*G75</f>
        <v>21030.24</v>
      </c>
      <c r="Q63" s="231">
        <f t="shared" si="10"/>
        <v>11144</v>
      </c>
      <c r="R63" s="230">
        <f t="shared" si="10"/>
        <v>61962.55</v>
      </c>
      <c r="S63" s="67"/>
      <c r="T63" s="12"/>
      <c r="U63" s="11"/>
      <c r="V63" s="12"/>
    </row>
    <row r="64" spans="1:22" s="97" customFormat="1" ht="27" customHeight="1">
      <c r="A64" s="104">
        <v>6</v>
      </c>
      <c r="B64" s="371" t="s">
        <v>53</v>
      </c>
      <c r="C64" s="372"/>
      <c r="D64" s="373"/>
      <c r="E64" s="98"/>
      <c r="F64" s="228">
        <f>F65+F66+F67</f>
        <v>216845.17</v>
      </c>
      <c r="G64" s="227">
        <f>G65+G66+G67</f>
        <v>1170963.918</v>
      </c>
      <c r="H64" s="93"/>
      <c r="I64" s="228">
        <f>I65+I66+I67</f>
        <v>195445.17</v>
      </c>
      <c r="J64" s="227">
        <f>J65+J66+J67</f>
        <v>1055403.918</v>
      </c>
      <c r="K64" s="93"/>
      <c r="L64" s="228">
        <f>L65+L66+L67</f>
        <v>189645.17</v>
      </c>
      <c r="M64" s="227">
        <f>M65+M66+M67</f>
        <v>1079081.0173000002</v>
      </c>
      <c r="N64" s="93"/>
      <c r="O64" s="228">
        <f>O65+O66+O67</f>
        <v>204645.17</v>
      </c>
      <c r="P64" s="227">
        <f>P65+P66+P67</f>
        <v>1164431.0173000002</v>
      </c>
      <c r="Q64" s="93">
        <f>Q65+Q66+Q67</f>
        <v>806580.68</v>
      </c>
      <c r="R64" s="227">
        <f>R65+R66+R67</f>
        <v>4469879.870600001</v>
      </c>
      <c r="S64" s="94"/>
      <c r="T64" s="95"/>
      <c r="U64" s="96"/>
      <c r="V64" s="95"/>
    </row>
    <row r="65" spans="1:22" ht="36" customHeight="1">
      <c r="A65" s="34"/>
      <c r="B65" s="374" t="s">
        <v>73</v>
      </c>
      <c r="C65" s="375"/>
      <c r="D65" s="376"/>
      <c r="E65" s="8"/>
      <c r="F65" s="232">
        <v>5200</v>
      </c>
      <c r="G65" s="230">
        <f>F65*F75</f>
        <v>28080.000000000004</v>
      </c>
      <c r="H65" s="231"/>
      <c r="I65" s="232">
        <v>4800</v>
      </c>
      <c r="J65" s="230">
        <f>I65*F75</f>
        <v>25920</v>
      </c>
      <c r="K65" s="231"/>
      <c r="L65" s="232">
        <v>4000</v>
      </c>
      <c r="M65" s="230">
        <f>L65*G75</f>
        <v>22760</v>
      </c>
      <c r="N65" s="231"/>
      <c r="O65" s="232">
        <v>6000</v>
      </c>
      <c r="P65" s="230">
        <f>O65*G75</f>
        <v>34140</v>
      </c>
      <c r="Q65" s="231">
        <f>F65+I65+L65+O65</f>
        <v>20000</v>
      </c>
      <c r="R65" s="230">
        <f>G65+J65+M65+P65</f>
        <v>110900</v>
      </c>
      <c r="S65" s="67" t="s">
        <v>82</v>
      </c>
      <c r="T65" s="12"/>
      <c r="U65" s="11"/>
      <c r="V65" s="12"/>
    </row>
    <row r="66" spans="1:22" ht="31.5" customHeight="1">
      <c r="A66" s="34"/>
      <c r="B66" s="374" t="s">
        <v>55</v>
      </c>
      <c r="C66" s="375"/>
      <c r="D66" s="376"/>
      <c r="E66" s="8"/>
      <c r="F66" s="232">
        <v>30000</v>
      </c>
      <c r="G66" s="230">
        <f>F66*F75</f>
        <v>162000</v>
      </c>
      <c r="H66" s="231"/>
      <c r="I66" s="232">
        <v>9000</v>
      </c>
      <c r="J66" s="230">
        <f>I66*F75</f>
        <v>48600</v>
      </c>
      <c r="K66" s="231"/>
      <c r="L66" s="232">
        <v>4000</v>
      </c>
      <c r="M66" s="230">
        <f>L66*G75</f>
        <v>22760</v>
      </c>
      <c r="N66" s="231"/>
      <c r="O66" s="232">
        <v>17000</v>
      </c>
      <c r="P66" s="230">
        <f>O66*G75</f>
        <v>96730</v>
      </c>
      <c r="Q66" s="231">
        <f>F66+I66+L66+O66</f>
        <v>60000</v>
      </c>
      <c r="R66" s="230">
        <f>G66+J66+M66+P66</f>
        <v>330090</v>
      </c>
      <c r="S66" s="67" t="s">
        <v>82</v>
      </c>
      <c r="T66" s="12"/>
      <c r="U66" s="11"/>
      <c r="V66" s="12"/>
    </row>
    <row r="67" spans="1:22" ht="31.5" customHeight="1">
      <c r="A67" s="34"/>
      <c r="B67" s="374" t="s">
        <v>91</v>
      </c>
      <c r="C67" s="375"/>
      <c r="D67" s="376"/>
      <c r="E67" s="8"/>
      <c r="F67" s="232">
        <v>181645.17</v>
      </c>
      <c r="G67" s="230">
        <f>SUM(F67)*F75</f>
        <v>980883.9180000002</v>
      </c>
      <c r="H67" s="231"/>
      <c r="I67" s="232">
        <v>181645.17</v>
      </c>
      <c r="J67" s="230">
        <f>SUM(I67)*F75</f>
        <v>980883.9180000002</v>
      </c>
      <c r="K67" s="231"/>
      <c r="L67" s="232">
        <v>181645.17</v>
      </c>
      <c r="M67" s="230">
        <f>SUM(L67)*G75</f>
        <v>1033561.0173000002</v>
      </c>
      <c r="N67" s="231"/>
      <c r="O67" s="232">
        <v>181645.17</v>
      </c>
      <c r="P67" s="230">
        <f>SUM(O67)*G75</f>
        <v>1033561.0173000002</v>
      </c>
      <c r="Q67" s="231">
        <f>F67+I67+L67+O67</f>
        <v>726580.68</v>
      </c>
      <c r="R67" s="230">
        <f>SUM(G67)+J67+M67+P67</f>
        <v>4028889.870600001</v>
      </c>
      <c r="S67" s="67"/>
      <c r="T67" s="12"/>
      <c r="U67" s="11"/>
      <c r="V67" s="12"/>
    </row>
    <row r="68" spans="1:22" ht="31.5" customHeight="1">
      <c r="A68" s="100">
        <v>7</v>
      </c>
      <c r="B68" s="371" t="s">
        <v>96</v>
      </c>
      <c r="C68" s="372"/>
      <c r="D68" s="373"/>
      <c r="E68" s="8"/>
      <c r="F68" s="296">
        <f>SUM(F69:F70)</f>
        <v>5703</v>
      </c>
      <c r="G68" s="299">
        <f aca="true" t="shared" si="11" ref="G68:R68">SUM(G69:G70)</f>
        <v>30796.2</v>
      </c>
      <c r="H68" s="295">
        <f t="shared" si="11"/>
        <v>0</v>
      </c>
      <c r="I68" s="296">
        <f t="shared" si="11"/>
        <v>5447</v>
      </c>
      <c r="J68" s="299">
        <f t="shared" si="11"/>
        <v>29413.800000000003</v>
      </c>
      <c r="K68" s="295">
        <f t="shared" si="11"/>
        <v>0</v>
      </c>
      <c r="L68" s="296">
        <f t="shared" si="11"/>
        <v>6414</v>
      </c>
      <c r="M68" s="299">
        <f t="shared" si="11"/>
        <v>36495.66</v>
      </c>
      <c r="N68" s="295">
        <f t="shared" si="11"/>
        <v>0</v>
      </c>
      <c r="O68" s="296">
        <f t="shared" si="11"/>
        <v>5543</v>
      </c>
      <c r="P68" s="299">
        <f t="shared" si="11"/>
        <v>31539.670000000002</v>
      </c>
      <c r="Q68" s="295">
        <f t="shared" si="11"/>
        <v>23107</v>
      </c>
      <c r="R68" s="299">
        <f t="shared" si="11"/>
        <v>128245.33</v>
      </c>
      <c r="S68" s="67"/>
      <c r="T68" s="12"/>
      <c r="U68" s="11"/>
      <c r="V68" s="12"/>
    </row>
    <row r="69" spans="1:22" ht="31.5" customHeight="1">
      <c r="A69" s="100"/>
      <c r="B69" s="360" t="s">
        <v>97</v>
      </c>
      <c r="C69" s="441"/>
      <c r="D69" s="442"/>
      <c r="E69" s="8"/>
      <c r="F69" s="232">
        <v>0</v>
      </c>
      <c r="G69" s="230">
        <f>SUM(F69)*F75</f>
        <v>0</v>
      </c>
      <c r="H69" s="231"/>
      <c r="I69" s="232">
        <v>0</v>
      </c>
      <c r="J69" s="230">
        <f>SUM(I69)*F75</f>
        <v>0</v>
      </c>
      <c r="K69" s="231"/>
      <c r="L69" s="232">
        <v>0</v>
      </c>
      <c r="M69" s="230">
        <f>SUM(L69)*G75</f>
        <v>0</v>
      </c>
      <c r="N69" s="231"/>
      <c r="O69" s="232">
        <v>0</v>
      </c>
      <c r="P69" s="230">
        <f>SUM(O69)*G75</f>
        <v>0</v>
      </c>
      <c r="Q69" s="231">
        <f>SUM(F69)+I69+L69+O69</f>
        <v>0</v>
      </c>
      <c r="R69" s="230">
        <f>SUM(G69)+J69+M69+P69</f>
        <v>0</v>
      </c>
      <c r="S69" s="67"/>
      <c r="T69" s="12"/>
      <c r="U69" s="11"/>
      <c r="V69" s="12"/>
    </row>
    <row r="70" spans="1:22" ht="31.5" customHeight="1">
      <c r="A70" s="100"/>
      <c r="B70" s="360" t="s">
        <v>98</v>
      </c>
      <c r="C70" s="441"/>
      <c r="D70" s="442"/>
      <c r="E70" s="8"/>
      <c r="F70" s="232">
        <v>5703</v>
      </c>
      <c r="G70" s="230">
        <f>SUM(F70)*F75</f>
        <v>30796.2</v>
      </c>
      <c r="H70" s="231"/>
      <c r="I70" s="232">
        <v>5447</v>
      </c>
      <c r="J70" s="230">
        <f>SUM(I70)*F75</f>
        <v>29413.800000000003</v>
      </c>
      <c r="K70" s="231"/>
      <c r="L70" s="232">
        <v>6414</v>
      </c>
      <c r="M70" s="230">
        <f>SUM(L70)*G75</f>
        <v>36495.66</v>
      </c>
      <c r="N70" s="231"/>
      <c r="O70" s="232">
        <v>5543</v>
      </c>
      <c r="P70" s="230">
        <f>SUM(O70)*G75</f>
        <v>31539.670000000002</v>
      </c>
      <c r="Q70" s="231">
        <f>SUM(F70)+I70+L70+O70</f>
        <v>23107</v>
      </c>
      <c r="R70" s="230">
        <f>SUM(G70)+J70+M70+P70</f>
        <v>128245.33</v>
      </c>
      <c r="S70" s="67"/>
      <c r="T70" s="12"/>
      <c r="U70" s="11"/>
      <c r="V70" s="12"/>
    </row>
    <row r="71" spans="1:22" ht="31.5" customHeight="1">
      <c r="A71" s="100">
        <v>8</v>
      </c>
      <c r="B71" s="363" t="s">
        <v>56</v>
      </c>
      <c r="C71" s="364"/>
      <c r="D71" s="365"/>
      <c r="E71" s="91"/>
      <c r="F71" s="228">
        <f>SUM(F72)</f>
        <v>600</v>
      </c>
      <c r="G71" s="227">
        <f>SUM(G72)</f>
        <v>3240</v>
      </c>
      <c r="H71" s="93"/>
      <c r="I71" s="228">
        <f>SUM(I72)</f>
        <v>600</v>
      </c>
      <c r="J71" s="227">
        <f>SUM(J72)</f>
        <v>3240</v>
      </c>
      <c r="K71" s="93"/>
      <c r="L71" s="228">
        <f>SUM(L72)</f>
        <v>600</v>
      </c>
      <c r="M71" s="227">
        <f>SUM(M72)</f>
        <v>3414.0000000000005</v>
      </c>
      <c r="N71" s="93"/>
      <c r="O71" s="228">
        <f>SUM(O72)</f>
        <v>600</v>
      </c>
      <c r="P71" s="227">
        <f>SUM(P72)</f>
        <v>3414.0000000000005</v>
      </c>
      <c r="Q71" s="93">
        <f>SUM(Q72)</f>
        <v>2400</v>
      </c>
      <c r="R71" s="227">
        <f>SUM(R72)</f>
        <v>13308</v>
      </c>
      <c r="S71" s="67"/>
      <c r="T71" s="12"/>
      <c r="U71" s="11"/>
      <c r="V71" s="12"/>
    </row>
    <row r="72" spans="1:22" ht="31.5" customHeight="1">
      <c r="A72" s="100"/>
      <c r="B72" s="360" t="s">
        <v>101</v>
      </c>
      <c r="C72" s="361"/>
      <c r="D72" s="362"/>
      <c r="E72" s="8"/>
      <c r="F72" s="232">
        <v>600</v>
      </c>
      <c r="G72" s="230">
        <f>F72*F75</f>
        <v>3240</v>
      </c>
      <c r="H72" s="231"/>
      <c r="I72" s="232">
        <v>600</v>
      </c>
      <c r="J72" s="230">
        <f>I72*F75</f>
        <v>3240</v>
      </c>
      <c r="K72" s="231"/>
      <c r="L72" s="232">
        <v>600</v>
      </c>
      <c r="M72" s="230">
        <f>L72*G75</f>
        <v>3414.0000000000005</v>
      </c>
      <c r="N72" s="231"/>
      <c r="O72" s="232">
        <v>600</v>
      </c>
      <c r="P72" s="230">
        <f>O72*G75</f>
        <v>3414.0000000000005</v>
      </c>
      <c r="Q72" s="231">
        <f>F72+I72+L72+O72</f>
        <v>2400</v>
      </c>
      <c r="R72" s="230">
        <f>G72+J72+M72+P72</f>
        <v>13308</v>
      </c>
      <c r="S72" s="67"/>
      <c r="T72" s="12"/>
      <c r="U72" s="11"/>
      <c r="V72" s="12"/>
    </row>
    <row r="73" spans="1:22" ht="30" customHeight="1">
      <c r="A73" s="34"/>
      <c r="B73" s="394" t="s">
        <v>19</v>
      </c>
      <c r="C73" s="394"/>
      <c r="D73" s="394"/>
      <c r="E73" s="14">
        <f>SUM(E46:E57)</f>
        <v>266200</v>
      </c>
      <c r="F73" s="241">
        <f>F46+F47+F54+F55+F59+F64+F68+F71</f>
        <v>466926.97</v>
      </c>
      <c r="G73" s="242">
        <f aca="true" t="shared" si="12" ref="G73:R73">G46+G47+G54+G55+G59+G64+G68+G71</f>
        <v>2521405.6380000003</v>
      </c>
      <c r="H73" s="59">
        <f t="shared" si="12"/>
        <v>1200</v>
      </c>
      <c r="I73" s="241">
        <f t="shared" si="12"/>
        <v>383101.47</v>
      </c>
      <c r="J73" s="242">
        <f t="shared" si="12"/>
        <v>2068747.938</v>
      </c>
      <c r="K73" s="59">
        <f t="shared" si="12"/>
        <v>1500</v>
      </c>
      <c r="L73" s="241">
        <f t="shared" si="12"/>
        <v>376324.67000000004</v>
      </c>
      <c r="M73" s="242">
        <f t="shared" si="12"/>
        <v>2141287.3723000004</v>
      </c>
      <c r="N73" s="59">
        <f t="shared" si="12"/>
        <v>1500</v>
      </c>
      <c r="O73" s="241">
        <f t="shared" si="12"/>
        <v>533187.37</v>
      </c>
      <c r="P73" s="242">
        <f t="shared" si="12"/>
        <v>3033836.1353</v>
      </c>
      <c r="Q73" s="59">
        <f t="shared" si="12"/>
        <v>1759540.48</v>
      </c>
      <c r="R73" s="242">
        <f t="shared" si="12"/>
        <v>9765277.083600001</v>
      </c>
      <c r="S73" s="69"/>
      <c r="T73" s="36"/>
      <c r="U73" s="12"/>
      <c r="V73" s="12"/>
    </row>
    <row r="74" spans="1:22" ht="50.25" customHeight="1">
      <c r="A74" s="37"/>
      <c r="B74" s="439" t="s">
        <v>8</v>
      </c>
      <c r="C74" s="439"/>
      <c r="D74" s="439"/>
      <c r="E74" s="396" t="s">
        <v>118</v>
      </c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8"/>
      <c r="T74" s="12"/>
      <c r="U74" s="12"/>
      <c r="V74" s="12"/>
    </row>
    <row r="75" spans="1:22" ht="32.25" customHeight="1">
      <c r="A75" s="5"/>
      <c r="B75" s="5"/>
      <c r="C75" s="5"/>
      <c r="D75" s="5"/>
      <c r="E75" s="5"/>
      <c r="F75" s="181">
        <v>5.4</v>
      </c>
      <c r="G75" s="181">
        <v>5.69</v>
      </c>
      <c r="H75" s="181"/>
      <c r="I75" s="181"/>
      <c r="J75" s="182"/>
      <c r="K75" s="5"/>
      <c r="L75" s="5"/>
      <c r="M75" s="105"/>
      <c r="N75" s="5"/>
      <c r="O75" s="5"/>
      <c r="P75" s="112"/>
      <c r="Q75" s="38"/>
      <c r="R75" s="105"/>
      <c r="T75" s="12"/>
      <c r="U75" s="12"/>
      <c r="V75" s="12"/>
    </row>
    <row r="76" spans="1:22" ht="21" customHeight="1">
      <c r="A76" s="40"/>
      <c r="B76" s="41"/>
      <c r="C76" s="41"/>
      <c r="D76" s="41"/>
      <c r="E76" s="42" t="s">
        <v>13</v>
      </c>
      <c r="F76" s="181"/>
      <c r="G76" s="183"/>
      <c r="H76" s="184"/>
      <c r="I76" s="184"/>
      <c r="J76" s="185"/>
      <c r="K76" s="43"/>
      <c r="L76" s="43"/>
      <c r="M76" s="110"/>
      <c r="N76" s="43"/>
      <c r="O76" s="43"/>
      <c r="P76" s="110"/>
      <c r="Q76" s="43"/>
      <c r="R76" s="110"/>
      <c r="T76" s="12"/>
      <c r="U76" s="12"/>
      <c r="V76" s="12"/>
    </row>
    <row r="77" spans="1:22" ht="2.25" customHeight="1">
      <c r="A77" s="40"/>
      <c r="B77" s="41"/>
      <c r="C77" s="41"/>
      <c r="D77" s="41"/>
      <c r="E77" s="42"/>
      <c r="F77" s="186"/>
      <c r="G77" s="182"/>
      <c r="H77" s="186"/>
      <c r="I77" s="186"/>
      <c r="J77" s="185"/>
      <c r="K77" s="43"/>
      <c r="L77" s="43"/>
      <c r="M77" s="110"/>
      <c r="N77" s="43"/>
      <c r="O77" s="43"/>
      <c r="P77" s="112"/>
      <c r="Q77" s="44"/>
      <c r="R77" s="113"/>
      <c r="T77" s="12"/>
      <c r="U77" s="12"/>
      <c r="V77" s="12"/>
    </row>
    <row r="78" spans="1:22" ht="14.25" customHeight="1">
      <c r="A78" s="40"/>
      <c r="B78" s="45"/>
      <c r="C78" s="45"/>
      <c r="D78" s="45"/>
      <c r="E78" s="46"/>
      <c r="F78" s="181"/>
      <c r="G78" s="182"/>
      <c r="H78" s="181"/>
      <c r="I78" s="181"/>
      <c r="J78" s="185"/>
      <c r="K78" s="47"/>
      <c r="L78" s="47"/>
      <c r="M78" s="110"/>
      <c r="N78" s="48"/>
      <c r="O78" s="48"/>
      <c r="P78" s="395"/>
      <c r="Q78" s="395"/>
      <c r="R78" s="395"/>
      <c r="T78" s="12"/>
      <c r="U78" s="12"/>
      <c r="V78" s="12"/>
    </row>
    <row r="79" spans="1:22" ht="9.75" customHeight="1">
      <c r="A79" s="40"/>
      <c r="B79" s="45"/>
      <c r="C79" s="45"/>
      <c r="D79" s="45"/>
      <c r="E79" s="46"/>
      <c r="F79" s="5"/>
      <c r="G79" s="105"/>
      <c r="H79" s="5"/>
      <c r="I79" s="5"/>
      <c r="J79" s="110"/>
      <c r="K79" s="47"/>
      <c r="L79" s="47"/>
      <c r="M79" s="110"/>
      <c r="N79" s="48"/>
      <c r="O79" s="48"/>
      <c r="P79" s="395"/>
      <c r="Q79" s="395"/>
      <c r="R79" s="395"/>
      <c r="T79" s="12"/>
      <c r="U79" s="12"/>
      <c r="V79" s="12"/>
    </row>
    <row r="80" spans="1:22" ht="13.5" customHeight="1" hidden="1">
      <c r="A80" s="40"/>
      <c r="B80" s="45"/>
      <c r="C80" s="45"/>
      <c r="D80" s="45"/>
      <c r="E80" s="46"/>
      <c r="F80" s="5"/>
      <c r="G80" s="105"/>
      <c r="H80" s="5"/>
      <c r="I80" s="5"/>
      <c r="J80" s="110"/>
      <c r="K80" s="47"/>
      <c r="L80" s="47"/>
      <c r="M80" s="110"/>
      <c r="N80" s="48"/>
      <c r="O80" s="48"/>
      <c r="P80" s="395"/>
      <c r="Q80" s="395"/>
      <c r="R80" s="395"/>
      <c r="T80" s="12"/>
      <c r="U80" s="12"/>
      <c r="V80" s="12"/>
    </row>
    <row r="81" spans="1:22" ht="15.75" customHeight="1" hidden="1">
      <c r="A81" s="40"/>
      <c r="B81" s="45"/>
      <c r="C81" s="45"/>
      <c r="D81" s="45"/>
      <c r="E81" s="46"/>
      <c r="F81" s="5"/>
      <c r="G81" s="105"/>
      <c r="H81" s="5"/>
      <c r="I81" s="5"/>
      <c r="J81" s="110"/>
      <c r="K81" s="47"/>
      <c r="L81" s="47"/>
      <c r="M81" s="110"/>
      <c r="N81" s="48"/>
      <c r="O81" s="48"/>
      <c r="P81" s="110"/>
      <c r="Q81" s="48"/>
      <c r="R81" s="110"/>
      <c r="T81" s="12"/>
      <c r="U81" s="12"/>
      <c r="V81" s="12"/>
    </row>
    <row r="82" spans="1:22" ht="26.25" customHeight="1">
      <c r="A82" s="446" t="s">
        <v>93</v>
      </c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T82" s="12"/>
      <c r="U82" s="12"/>
      <c r="V82" s="12"/>
    </row>
    <row r="83" spans="1:18" ht="25.5">
      <c r="A83" s="381" t="s">
        <v>15</v>
      </c>
      <c r="B83" s="382" t="s">
        <v>0</v>
      </c>
      <c r="C83" s="383"/>
      <c r="D83" s="384"/>
      <c r="E83" s="377" t="s">
        <v>1</v>
      </c>
      <c r="F83" s="377"/>
      <c r="G83" s="377"/>
      <c r="H83" s="377" t="s">
        <v>3</v>
      </c>
      <c r="I83" s="377"/>
      <c r="J83" s="377"/>
      <c r="K83" s="377" t="s">
        <v>4</v>
      </c>
      <c r="L83" s="377"/>
      <c r="M83" s="377"/>
      <c r="N83" s="377" t="s">
        <v>6</v>
      </c>
      <c r="O83" s="377"/>
      <c r="P83" s="377"/>
      <c r="Q83" s="377" t="s">
        <v>7</v>
      </c>
      <c r="R83" s="377"/>
    </row>
    <row r="84" spans="1:18" ht="25.5">
      <c r="A84" s="381"/>
      <c r="B84" s="385"/>
      <c r="C84" s="386"/>
      <c r="D84" s="387"/>
      <c r="F84" s="64" t="s">
        <v>10</v>
      </c>
      <c r="G84" s="109" t="s">
        <v>5</v>
      </c>
      <c r="H84" s="64" t="s">
        <v>10</v>
      </c>
      <c r="I84" s="64" t="s">
        <v>10</v>
      </c>
      <c r="J84" s="109" t="s">
        <v>5</v>
      </c>
      <c r="K84" s="64" t="s">
        <v>10</v>
      </c>
      <c r="L84" s="64" t="s">
        <v>10</v>
      </c>
      <c r="M84" s="109" t="s">
        <v>5</v>
      </c>
      <c r="N84" s="64" t="s">
        <v>10</v>
      </c>
      <c r="O84" s="64" t="s">
        <v>10</v>
      </c>
      <c r="P84" s="109" t="s">
        <v>5</v>
      </c>
      <c r="Q84" s="64" t="s">
        <v>10</v>
      </c>
      <c r="R84" s="109" t="s">
        <v>5</v>
      </c>
    </row>
    <row r="85" spans="1:21" s="97" customFormat="1" ht="32.25" customHeight="1">
      <c r="A85" s="104">
        <v>1</v>
      </c>
      <c r="B85" s="371" t="s">
        <v>33</v>
      </c>
      <c r="C85" s="372"/>
      <c r="D85" s="373"/>
      <c r="E85" s="91">
        <v>14.8</v>
      </c>
      <c r="F85" s="228">
        <v>3.3</v>
      </c>
      <c r="G85" s="227">
        <f>F85*F112</f>
        <v>101.211</v>
      </c>
      <c r="H85" s="93">
        <v>14.8</v>
      </c>
      <c r="I85" s="228">
        <v>3.3</v>
      </c>
      <c r="J85" s="227">
        <f>I85*F112</f>
        <v>101.211</v>
      </c>
      <c r="K85" s="93">
        <v>15</v>
      </c>
      <c r="L85" s="228">
        <v>3.4</v>
      </c>
      <c r="M85" s="227">
        <f>L85*G112</f>
        <v>109.922</v>
      </c>
      <c r="N85" s="93">
        <v>15</v>
      </c>
      <c r="O85" s="228">
        <v>3.3</v>
      </c>
      <c r="P85" s="246">
        <f>O85*G112</f>
        <v>106.689</v>
      </c>
      <c r="Q85" s="247">
        <f>F85+I85+L85+O85</f>
        <v>13.3</v>
      </c>
      <c r="R85" s="246">
        <f>G85+J85+M85+P85</f>
        <v>419.033</v>
      </c>
      <c r="S85" s="94" t="s">
        <v>21</v>
      </c>
      <c r="T85" s="101"/>
      <c r="U85" s="101"/>
    </row>
    <row r="86" spans="1:21" s="97" customFormat="1" ht="32.25" customHeight="1">
      <c r="A86" s="104">
        <v>2</v>
      </c>
      <c r="B86" s="371" t="s">
        <v>41</v>
      </c>
      <c r="C86" s="372"/>
      <c r="D86" s="373"/>
      <c r="E86" s="98"/>
      <c r="F86" s="228">
        <f>F87+F88+F89+F90+F91+F92</f>
        <v>1459</v>
      </c>
      <c r="G86" s="227">
        <f>G87+G88+G89+G90+G91+G92</f>
        <v>54082.53</v>
      </c>
      <c r="H86" s="93"/>
      <c r="I86" s="228">
        <f>I87+I88+I89+I90+I91+I92</f>
        <v>1734.4</v>
      </c>
      <c r="J86" s="227">
        <f>J87+J88+J89+J90+J91+J92</f>
        <v>67009.848</v>
      </c>
      <c r="K86" s="93"/>
      <c r="L86" s="228">
        <f>L87+L88+L89+L90+L91+L92</f>
        <v>1872.8</v>
      </c>
      <c r="M86" s="227">
        <f>M87+M88+M89+M90+M91+M92</f>
        <v>78840.724</v>
      </c>
      <c r="N86" s="93"/>
      <c r="O86" s="228">
        <f>O87+O88+O89+O90+O91+O92</f>
        <v>1893.8</v>
      </c>
      <c r="P86" s="246">
        <f>P87+P88+P89+P90+P91+P92</f>
        <v>77552.654</v>
      </c>
      <c r="Q86" s="247">
        <f>Q87+Q88+Q89+Q90+Q91+Q92</f>
        <v>6960</v>
      </c>
      <c r="R86" s="246">
        <f>R87+R88+R89+R90+R91+R92</f>
        <v>277485.756</v>
      </c>
      <c r="S86" s="94"/>
      <c r="T86" s="101"/>
      <c r="U86" s="101"/>
    </row>
    <row r="87" spans="1:21" s="17" customFormat="1" ht="49.5" customHeight="1">
      <c r="A87" s="32"/>
      <c r="B87" s="374" t="s">
        <v>34</v>
      </c>
      <c r="C87" s="375"/>
      <c r="D87" s="376"/>
      <c r="E87" s="8">
        <v>3068.8</v>
      </c>
      <c r="F87" s="232">
        <v>350</v>
      </c>
      <c r="G87" s="230">
        <f>F87*F112</f>
        <v>10734.5</v>
      </c>
      <c r="H87" s="231">
        <v>2511</v>
      </c>
      <c r="I87" s="232">
        <v>268</v>
      </c>
      <c r="J87" s="230">
        <f>I87*F112</f>
        <v>8219.560000000001</v>
      </c>
      <c r="K87" s="231">
        <v>2511</v>
      </c>
      <c r="L87" s="232">
        <v>340</v>
      </c>
      <c r="M87" s="230">
        <f>L87*G112</f>
        <v>10992.199999999999</v>
      </c>
      <c r="N87" s="231">
        <v>2511</v>
      </c>
      <c r="O87" s="232">
        <v>342</v>
      </c>
      <c r="P87" s="248">
        <f>O87*G112</f>
        <v>11056.859999999999</v>
      </c>
      <c r="Q87" s="249">
        <f aca="true" t="shared" si="13" ref="Q87:Q94">F87+I87+L87+O87</f>
        <v>1300</v>
      </c>
      <c r="R87" s="248">
        <f aca="true" t="shared" si="14" ref="R87:R92">G87+J87+M87+P87</f>
        <v>41003.12</v>
      </c>
      <c r="S87" s="67" t="s">
        <v>82</v>
      </c>
      <c r="T87" s="16"/>
      <c r="U87" s="16"/>
    </row>
    <row r="88" spans="1:21" ht="48.75" customHeight="1">
      <c r="A88" s="29"/>
      <c r="B88" s="374" t="s">
        <v>35</v>
      </c>
      <c r="C88" s="375"/>
      <c r="D88" s="376"/>
      <c r="E88" s="49">
        <v>609</v>
      </c>
      <c r="F88" s="232">
        <v>170</v>
      </c>
      <c r="G88" s="230">
        <f>F88*F112</f>
        <v>5213.900000000001</v>
      </c>
      <c r="H88" s="231">
        <v>609</v>
      </c>
      <c r="I88" s="232">
        <v>150</v>
      </c>
      <c r="J88" s="230">
        <f>I88*F112</f>
        <v>4600.5</v>
      </c>
      <c r="K88" s="231">
        <v>609</v>
      </c>
      <c r="L88" s="232">
        <v>170</v>
      </c>
      <c r="M88" s="230">
        <f>L88*G112</f>
        <v>5496.099999999999</v>
      </c>
      <c r="N88" s="231">
        <v>609</v>
      </c>
      <c r="O88" s="232">
        <v>150</v>
      </c>
      <c r="P88" s="248">
        <f>O88*G112</f>
        <v>4849.5</v>
      </c>
      <c r="Q88" s="249">
        <f t="shared" si="13"/>
        <v>640</v>
      </c>
      <c r="R88" s="248">
        <f t="shared" si="14"/>
        <v>20160</v>
      </c>
      <c r="S88" s="67" t="s">
        <v>82</v>
      </c>
      <c r="T88" s="13"/>
      <c r="U88" s="13"/>
    </row>
    <row r="89" spans="1:21" ht="47.25" customHeight="1">
      <c r="A89" s="32"/>
      <c r="B89" s="374" t="s">
        <v>36</v>
      </c>
      <c r="C89" s="375"/>
      <c r="D89" s="376"/>
      <c r="E89" s="8">
        <v>725.1</v>
      </c>
      <c r="F89" s="232">
        <v>350</v>
      </c>
      <c r="G89" s="230">
        <f>F89*F113</f>
        <v>17269</v>
      </c>
      <c r="H89" s="231">
        <v>885.2</v>
      </c>
      <c r="I89" s="232">
        <v>300</v>
      </c>
      <c r="J89" s="230">
        <f>I89*F113</f>
        <v>14802.000000000002</v>
      </c>
      <c r="K89" s="231">
        <v>727.3</v>
      </c>
      <c r="L89" s="232">
        <v>200</v>
      </c>
      <c r="M89" s="230">
        <f>L89*G113</f>
        <v>10400</v>
      </c>
      <c r="N89" s="231">
        <v>892.61</v>
      </c>
      <c r="O89" s="232">
        <v>350</v>
      </c>
      <c r="P89" s="248">
        <f>O89*G113</f>
        <v>18200</v>
      </c>
      <c r="Q89" s="249">
        <f t="shared" si="13"/>
        <v>1200</v>
      </c>
      <c r="R89" s="248">
        <f t="shared" si="14"/>
        <v>60671</v>
      </c>
      <c r="S89" s="67" t="s">
        <v>82</v>
      </c>
      <c r="T89" s="13"/>
      <c r="U89" s="13"/>
    </row>
    <row r="90" spans="1:21" ht="30.75" customHeight="1">
      <c r="A90" s="32"/>
      <c r="B90" s="370" t="s">
        <v>37</v>
      </c>
      <c r="C90" s="370"/>
      <c r="D90" s="370"/>
      <c r="E90" s="8">
        <v>1639</v>
      </c>
      <c r="F90" s="232">
        <v>150</v>
      </c>
      <c r="G90" s="230">
        <f>F90*F113</f>
        <v>7401.000000000001</v>
      </c>
      <c r="H90" s="231">
        <v>1584</v>
      </c>
      <c r="I90" s="232">
        <v>440</v>
      </c>
      <c r="J90" s="230">
        <f>I90*F113</f>
        <v>21709.600000000002</v>
      </c>
      <c r="K90" s="231">
        <v>1344</v>
      </c>
      <c r="L90" s="232">
        <v>730</v>
      </c>
      <c r="M90" s="230">
        <f>L90*G113</f>
        <v>37960</v>
      </c>
      <c r="N90" s="231">
        <v>1639</v>
      </c>
      <c r="O90" s="232">
        <v>480</v>
      </c>
      <c r="P90" s="248">
        <f>O90*G113</f>
        <v>24960</v>
      </c>
      <c r="Q90" s="249">
        <f t="shared" si="13"/>
        <v>1800</v>
      </c>
      <c r="R90" s="248">
        <f t="shared" si="14"/>
        <v>92030.6</v>
      </c>
      <c r="S90" s="67" t="s">
        <v>82</v>
      </c>
      <c r="T90" s="13"/>
      <c r="U90" s="13"/>
    </row>
    <row r="91" spans="1:21" s="120" customFormat="1" ht="33" customHeight="1">
      <c r="A91" s="121"/>
      <c r="B91" s="440" t="s">
        <v>38</v>
      </c>
      <c r="C91" s="440"/>
      <c r="D91" s="440"/>
      <c r="E91" s="116">
        <v>53.7</v>
      </c>
      <c r="F91" s="250">
        <v>400</v>
      </c>
      <c r="G91" s="251">
        <f>F91*F112</f>
        <v>12268</v>
      </c>
      <c r="H91" s="252">
        <v>43.6</v>
      </c>
      <c r="I91" s="250">
        <v>550</v>
      </c>
      <c r="J91" s="251">
        <f>I91*F112</f>
        <v>16868.5</v>
      </c>
      <c r="K91" s="252">
        <v>43.8</v>
      </c>
      <c r="L91" s="250">
        <v>350</v>
      </c>
      <c r="M91" s="251">
        <f>L91*G112</f>
        <v>11315.5</v>
      </c>
      <c r="N91" s="252">
        <v>43.8</v>
      </c>
      <c r="O91" s="250">
        <v>550</v>
      </c>
      <c r="P91" s="253">
        <f>O91*G112</f>
        <v>17781.5</v>
      </c>
      <c r="Q91" s="254">
        <f t="shared" si="13"/>
        <v>1850</v>
      </c>
      <c r="R91" s="253">
        <f t="shared" si="14"/>
        <v>58233.5</v>
      </c>
      <c r="S91" s="117" t="s">
        <v>82</v>
      </c>
      <c r="T91" s="122"/>
      <c r="U91" s="122"/>
    </row>
    <row r="92" spans="1:21" s="120" customFormat="1" ht="54.75" customHeight="1">
      <c r="A92" s="121"/>
      <c r="B92" s="440" t="s">
        <v>39</v>
      </c>
      <c r="C92" s="440"/>
      <c r="D92" s="440"/>
      <c r="E92" s="116">
        <v>51</v>
      </c>
      <c r="F92" s="250">
        <v>39</v>
      </c>
      <c r="G92" s="251">
        <f>F92*F112</f>
        <v>1196.13</v>
      </c>
      <c r="H92" s="252">
        <v>48</v>
      </c>
      <c r="I92" s="250">
        <v>26.4</v>
      </c>
      <c r="J92" s="251">
        <f>I92*F112</f>
        <v>809.688</v>
      </c>
      <c r="K92" s="252">
        <v>48</v>
      </c>
      <c r="L92" s="250">
        <v>82.8</v>
      </c>
      <c r="M92" s="251">
        <f>L92*G112</f>
        <v>2676.924</v>
      </c>
      <c r="N92" s="252">
        <v>51</v>
      </c>
      <c r="O92" s="250">
        <v>21.8</v>
      </c>
      <c r="P92" s="253">
        <f>O92*G112</f>
        <v>704.794</v>
      </c>
      <c r="Q92" s="254">
        <f t="shared" si="13"/>
        <v>170</v>
      </c>
      <c r="R92" s="253">
        <f t="shared" si="14"/>
        <v>5387.536</v>
      </c>
      <c r="S92" s="117" t="s">
        <v>82</v>
      </c>
      <c r="T92" s="122"/>
      <c r="U92" s="122"/>
    </row>
    <row r="93" spans="1:21" s="97" customFormat="1" ht="55.5" customHeight="1">
      <c r="A93" s="104">
        <v>3</v>
      </c>
      <c r="B93" s="371" t="s">
        <v>42</v>
      </c>
      <c r="C93" s="372"/>
      <c r="D93" s="373"/>
      <c r="E93" s="98">
        <v>76.86</v>
      </c>
      <c r="F93" s="240">
        <f>F94+F95</f>
        <v>129.745</v>
      </c>
      <c r="G93" s="227">
        <f>G94+G95</f>
        <v>4161.2183</v>
      </c>
      <c r="H93" s="93">
        <v>76.86</v>
      </c>
      <c r="I93" s="240">
        <f>I94+I95</f>
        <v>129.745</v>
      </c>
      <c r="J93" s="227">
        <f>J94+J95</f>
        <v>4161.2183</v>
      </c>
      <c r="K93" s="93">
        <v>76.86</v>
      </c>
      <c r="L93" s="240">
        <f>L94+L95</f>
        <v>129.738</v>
      </c>
      <c r="M93" s="227">
        <f>M94+M95</f>
        <v>4385.976</v>
      </c>
      <c r="N93" s="93">
        <v>76.86</v>
      </c>
      <c r="O93" s="240">
        <f>O94+O95</f>
        <v>129.738</v>
      </c>
      <c r="P93" s="246">
        <f>P94+P95</f>
        <v>4385.976</v>
      </c>
      <c r="Q93" s="255">
        <f t="shared" si="13"/>
        <v>518.966</v>
      </c>
      <c r="R93" s="246">
        <f>R94+R95</f>
        <v>17094.3886</v>
      </c>
      <c r="S93" s="94" t="s">
        <v>21</v>
      </c>
      <c r="T93" s="101"/>
      <c r="U93" s="101"/>
    </row>
    <row r="94" spans="1:21" ht="40.5" customHeight="1">
      <c r="A94" s="32"/>
      <c r="B94" s="391" t="s">
        <v>76</v>
      </c>
      <c r="C94" s="392"/>
      <c r="D94" s="393"/>
      <c r="E94" s="8"/>
      <c r="F94" s="232">
        <v>120</v>
      </c>
      <c r="G94" s="230">
        <f>F94*F112</f>
        <v>3680.4</v>
      </c>
      <c r="H94" s="231"/>
      <c r="I94" s="232">
        <v>120</v>
      </c>
      <c r="J94" s="230">
        <f>I94*F112</f>
        <v>3680.4</v>
      </c>
      <c r="K94" s="231"/>
      <c r="L94" s="232">
        <v>120</v>
      </c>
      <c r="M94" s="230">
        <f>L94*G112</f>
        <v>3879.6</v>
      </c>
      <c r="N94" s="231"/>
      <c r="O94" s="232">
        <v>120</v>
      </c>
      <c r="P94" s="248">
        <f>O94*G112</f>
        <v>3879.6</v>
      </c>
      <c r="Q94" s="249">
        <f t="shared" si="13"/>
        <v>480</v>
      </c>
      <c r="R94" s="248">
        <f>G94+J94+M94+P94</f>
        <v>15120</v>
      </c>
      <c r="S94" s="67"/>
      <c r="T94" s="13"/>
      <c r="U94" s="13"/>
    </row>
    <row r="95" spans="1:21" ht="38.25" customHeight="1">
      <c r="A95" s="32"/>
      <c r="B95" s="391" t="s">
        <v>77</v>
      </c>
      <c r="C95" s="392"/>
      <c r="D95" s="393"/>
      <c r="E95" s="8"/>
      <c r="F95" s="256">
        <v>9.745</v>
      </c>
      <c r="G95" s="230">
        <f>F95*F113</f>
        <v>480.8183</v>
      </c>
      <c r="H95" s="59"/>
      <c r="I95" s="256">
        <v>9.745</v>
      </c>
      <c r="J95" s="230">
        <f>I95*F113</f>
        <v>480.8183</v>
      </c>
      <c r="K95" s="59"/>
      <c r="L95" s="256">
        <v>9.738</v>
      </c>
      <c r="M95" s="230">
        <f>L95*G113</f>
        <v>506.376</v>
      </c>
      <c r="N95" s="59"/>
      <c r="O95" s="256">
        <v>9.738</v>
      </c>
      <c r="P95" s="248">
        <f>O95*G113</f>
        <v>506.376</v>
      </c>
      <c r="Q95" s="249">
        <f>F95+I95+L95+O95</f>
        <v>38.965999999999994</v>
      </c>
      <c r="R95" s="248">
        <f>G95+J95+M95+P95</f>
        <v>1974.3886</v>
      </c>
      <c r="S95" s="67"/>
      <c r="T95" s="13"/>
      <c r="U95" s="13"/>
    </row>
    <row r="96" spans="1:21" s="97" customFormat="1" ht="30.75" customHeight="1">
      <c r="A96" s="104">
        <v>4</v>
      </c>
      <c r="B96" s="371" t="s">
        <v>43</v>
      </c>
      <c r="C96" s="372"/>
      <c r="D96" s="373"/>
      <c r="E96" s="98">
        <v>172</v>
      </c>
      <c r="F96" s="228">
        <f>F97</f>
        <v>23.4</v>
      </c>
      <c r="G96" s="227">
        <f>G97</f>
        <v>717.678</v>
      </c>
      <c r="H96" s="93"/>
      <c r="I96" s="228">
        <f>I97</f>
        <v>23.4</v>
      </c>
      <c r="J96" s="227">
        <f>J97</f>
        <v>717.678</v>
      </c>
      <c r="K96" s="93"/>
      <c r="L96" s="228">
        <f>L97</f>
        <v>23.7</v>
      </c>
      <c r="M96" s="227">
        <f>M97</f>
        <v>766.2209999999999</v>
      </c>
      <c r="N96" s="93"/>
      <c r="O96" s="228">
        <f>O97</f>
        <v>23.1</v>
      </c>
      <c r="P96" s="246">
        <f>P97</f>
        <v>746.823</v>
      </c>
      <c r="Q96" s="247">
        <f>Q97</f>
        <v>93.6</v>
      </c>
      <c r="R96" s="246">
        <f>R97</f>
        <v>2948.3999999999996</v>
      </c>
      <c r="S96" s="94" t="s">
        <v>21</v>
      </c>
      <c r="T96" s="101"/>
      <c r="U96" s="101"/>
    </row>
    <row r="97" spans="1:21" ht="36.75" customHeight="1">
      <c r="A97" s="32"/>
      <c r="B97" s="374" t="s">
        <v>44</v>
      </c>
      <c r="C97" s="375"/>
      <c r="D97" s="376"/>
      <c r="E97" s="8"/>
      <c r="F97" s="232">
        <v>23.4</v>
      </c>
      <c r="G97" s="230">
        <f>F97*F112</f>
        <v>717.678</v>
      </c>
      <c r="H97" s="231"/>
      <c r="I97" s="232">
        <v>23.4</v>
      </c>
      <c r="J97" s="230">
        <f>I97*F112</f>
        <v>717.678</v>
      </c>
      <c r="K97" s="231"/>
      <c r="L97" s="232">
        <v>23.7</v>
      </c>
      <c r="M97" s="230">
        <f>L97*G112</f>
        <v>766.2209999999999</v>
      </c>
      <c r="N97" s="231"/>
      <c r="O97" s="232">
        <v>23.1</v>
      </c>
      <c r="P97" s="248">
        <f>O97*G112</f>
        <v>746.823</v>
      </c>
      <c r="Q97" s="249">
        <f>F97+I97+L97+O97</f>
        <v>93.6</v>
      </c>
      <c r="R97" s="248">
        <f>G97+J97+M97+P97</f>
        <v>2948.3999999999996</v>
      </c>
      <c r="S97" s="67"/>
      <c r="T97" s="13"/>
      <c r="U97" s="13"/>
    </row>
    <row r="98" spans="1:21" s="97" customFormat="1" ht="48.75" customHeight="1">
      <c r="A98" s="104">
        <v>5</v>
      </c>
      <c r="B98" s="371" t="s">
        <v>47</v>
      </c>
      <c r="C98" s="372"/>
      <c r="D98" s="373"/>
      <c r="E98" s="98"/>
      <c r="F98" s="228">
        <f>F99+F100+F101+F102</f>
        <v>132.91</v>
      </c>
      <c r="G98" s="227">
        <f>G99+G100+G101+G102</f>
        <v>4311.591700000001</v>
      </c>
      <c r="H98" s="93"/>
      <c r="I98" s="228">
        <f>I99+I100+I101+I102</f>
        <v>93.46000000000001</v>
      </c>
      <c r="J98" s="227">
        <f>J99+J100+J101+J102</f>
        <v>3043.7832000000008</v>
      </c>
      <c r="K98" s="93"/>
      <c r="L98" s="228">
        <f>L99+L100+L101+L102</f>
        <v>106.78999999999999</v>
      </c>
      <c r="M98" s="227">
        <f>M99+M100+M101+M102</f>
        <v>4052.4557</v>
      </c>
      <c r="N98" s="93"/>
      <c r="O98" s="228">
        <f>O99+O100+O101+O102</f>
        <v>245.81</v>
      </c>
      <c r="P98" s="246">
        <f>P99+P100+P101+P102</f>
        <v>8185.0443</v>
      </c>
      <c r="Q98" s="247">
        <f>Q99+Q100+Q101+Q102</f>
        <v>578.97</v>
      </c>
      <c r="R98" s="246">
        <f>R99+R100+R101+R102</f>
        <v>19592.8749</v>
      </c>
      <c r="S98" s="94"/>
      <c r="T98" s="101"/>
      <c r="U98" s="101"/>
    </row>
    <row r="99" spans="1:21" ht="33.75" customHeight="1">
      <c r="A99" s="32"/>
      <c r="B99" s="374" t="s">
        <v>48</v>
      </c>
      <c r="C99" s="375"/>
      <c r="D99" s="376"/>
      <c r="E99" s="8"/>
      <c r="F99" s="232">
        <v>7.71</v>
      </c>
      <c r="G99" s="230">
        <f>F99*F112</f>
        <v>236.4657</v>
      </c>
      <c r="H99" s="231"/>
      <c r="I99" s="232">
        <v>6.36</v>
      </c>
      <c r="J99" s="230">
        <f>I99*F112</f>
        <v>195.0612</v>
      </c>
      <c r="K99" s="231"/>
      <c r="L99" s="232">
        <v>3.69</v>
      </c>
      <c r="M99" s="230">
        <f>L99*G112</f>
        <v>119.29769999999999</v>
      </c>
      <c r="N99" s="231"/>
      <c r="O99" s="232">
        <v>32.91</v>
      </c>
      <c r="P99" s="248">
        <f>O99*G112</f>
        <v>1063.9803</v>
      </c>
      <c r="Q99" s="249">
        <f aca="true" t="shared" si="15" ref="Q99:R102">F99+I99+L99+O99</f>
        <v>50.67</v>
      </c>
      <c r="R99" s="248">
        <f t="shared" si="15"/>
        <v>1614.8049</v>
      </c>
      <c r="S99" s="67"/>
      <c r="T99" s="13"/>
      <c r="U99" s="13"/>
    </row>
    <row r="100" spans="1:21" ht="33.75" customHeight="1">
      <c r="A100" s="32"/>
      <c r="B100" s="374" t="s">
        <v>49</v>
      </c>
      <c r="C100" s="375"/>
      <c r="D100" s="376"/>
      <c r="E100" s="8"/>
      <c r="F100" s="232">
        <v>48</v>
      </c>
      <c r="G100" s="230">
        <f>40*F112+8*F113</f>
        <v>1621.5200000000002</v>
      </c>
      <c r="H100" s="231"/>
      <c r="I100" s="232">
        <v>48</v>
      </c>
      <c r="J100" s="230">
        <f>40*F112+8*F113</f>
        <v>1621.5200000000002</v>
      </c>
      <c r="K100" s="231"/>
      <c r="L100" s="232">
        <v>69</v>
      </c>
      <c r="M100" s="230">
        <f>40*G112+29*G113</f>
        <v>2801.2</v>
      </c>
      <c r="N100" s="231"/>
      <c r="O100" s="232">
        <v>48</v>
      </c>
      <c r="P100" s="248">
        <f>40*G112+8*G113</f>
        <v>1709.1999999999998</v>
      </c>
      <c r="Q100" s="249">
        <f t="shared" si="15"/>
        <v>213</v>
      </c>
      <c r="R100" s="248">
        <f t="shared" si="15"/>
        <v>7753.44</v>
      </c>
      <c r="S100" s="67"/>
      <c r="T100" s="13"/>
      <c r="U100" s="13"/>
    </row>
    <row r="101" spans="1:21" ht="33.75" customHeight="1">
      <c r="A101" s="32"/>
      <c r="B101" s="374" t="s">
        <v>50</v>
      </c>
      <c r="C101" s="375"/>
      <c r="D101" s="376"/>
      <c r="E101" s="8"/>
      <c r="F101" s="232">
        <v>32.2</v>
      </c>
      <c r="G101" s="230">
        <f>27.6*F112+4.6*F113</f>
        <v>1073.4560000000001</v>
      </c>
      <c r="H101" s="231"/>
      <c r="I101" s="232">
        <v>29.1</v>
      </c>
      <c r="J101" s="230">
        <f>27.6*F112+1.5*F113</f>
        <v>920.5020000000001</v>
      </c>
      <c r="K101" s="231"/>
      <c r="L101" s="232">
        <v>29.1</v>
      </c>
      <c r="M101" s="230">
        <f>27.6*G112+1.5*G113</f>
        <v>970.308</v>
      </c>
      <c r="N101" s="231"/>
      <c r="O101" s="232">
        <v>31.7</v>
      </c>
      <c r="P101" s="248">
        <f>27.6*G112+4.1*G113</f>
        <v>1105.508</v>
      </c>
      <c r="Q101" s="249">
        <f t="shared" si="15"/>
        <v>122.10000000000001</v>
      </c>
      <c r="R101" s="248">
        <f t="shared" si="15"/>
        <v>4069.7740000000003</v>
      </c>
      <c r="S101" s="67"/>
      <c r="T101" s="13"/>
      <c r="U101" s="13"/>
    </row>
    <row r="102" spans="1:21" ht="35.25" customHeight="1">
      <c r="A102" s="32"/>
      <c r="B102" s="370" t="s">
        <v>40</v>
      </c>
      <c r="C102" s="370"/>
      <c r="D102" s="370"/>
      <c r="E102" s="8"/>
      <c r="F102" s="232">
        <v>45</v>
      </c>
      <c r="G102" s="230">
        <f>F102*F112</f>
        <v>1380.15</v>
      </c>
      <c r="H102" s="231"/>
      <c r="I102" s="232">
        <v>10</v>
      </c>
      <c r="J102" s="230">
        <f>I102*F112</f>
        <v>306.70000000000005</v>
      </c>
      <c r="K102" s="231"/>
      <c r="L102" s="232">
        <v>5</v>
      </c>
      <c r="M102" s="230">
        <f>L102*G112</f>
        <v>161.64999999999998</v>
      </c>
      <c r="N102" s="231"/>
      <c r="O102" s="232">
        <v>133.2</v>
      </c>
      <c r="P102" s="248">
        <f>O102*G112</f>
        <v>4306.356</v>
      </c>
      <c r="Q102" s="249">
        <f t="shared" si="15"/>
        <v>193.2</v>
      </c>
      <c r="R102" s="248">
        <f t="shared" si="15"/>
        <v>6154.856</v>
      </c>
      <c r="S102" s="67" t="s">
        <v>83</v>
      </c>
      <c r="T102" s="13"/>
      <c r="U102" s="13"/>
    </row>
    <row r="103" spans="1:21" s="97" customFormat="1" ht="30.75" customHeight="1">
      <c r="A103" s="104">
        <v>6</v>
      </c>
      <c r="B103" s="371" t="s">
        <v>53</v>
      </c>
      <c r="C103" s="372"/>
      <c r="D103" s="373"/>
      <c r="E103" s="98"/>
      <c r="F103" s="228">
        <f>F104+F105+F106</f>
        <v>2682</v>
      </c>
      <c r="G103" s="227">
        <f>G104+G105+G106</f>
        <v>82256.94</v>
      </c>
      <c r="H103" s="93"/>
      <c r="I103" s="228">
        <f>I104+I105+I106</f>
        <v>2575</v>
      </c>
      <c r="J103" s="227">
        <f>J104+J105+J106</f>
        <v>78975.25</v>
      </c>
      <c r="K103" s="93"/>
      <c r="L103" s="228">
        <f>L104+L105+L106</f>
        <v>2376</v>
      </c>
      <c r="M103" s="227">
        <f>M104+M105+M106</f>
        <v>76816.08</v>
      </c>
      <c r="N103" s="93"/>
      <c r="O103" s="228">
        <f>O104+O105+O106</f>
        <v>2710</v>
      </c>
      <c r="P103" s="246">
        <f>P104+P105+P106</f>
        <v>87614.29999999999</v>
      </c>
      <c r="Q103" s="247">
        <f>Q104+Q105+Q106</f>
        <v>10343</v>
      </c>
      <c r="R103" s="246">
        <f>R104+R105+R106</f>
        <v>325662.57</v>
      </c>
      <c r="S103" s="94"/>
      <c r="T103" s="101"/>
      <c r="U103" s="101"/>
    </row>
    <row r="104" spans="1:21" ht="36.75" customHeight="1">
      <c r="A104" s="34"/>
      <c r="B104" s="374" t="s">
        <v>73</v>
      </c>
      <c r="C104" s="375"/>
      <c r="D104" s="376"/>
      <c r="E104" s="8"/>
      <c r="F104" s="232">
        <v>192</v>
      </c>
      <c r="G104" s="230">
        <f>F104*F112</f>
        <v>5888.64</v>
      </c>
      <c r="H104" s="231"/>
      <c r="I104" s="232">
        <v>185</v>
      </c>
      <c r="J104" s="230">
        <f>I104*F112</f>
        <v>5673.950000000001</v>
      </c>
      <c r="K104" s="231"/>
      <c r="L104" s="232">
        <v>86</v>
      </c>
      <c r="M104" s="230">
        <f>L104*G112</f>
        <v>2780.3799999999997</v>
      </c>
      <c r="N104" s="231"/>
      <c r="O104" s="232">
        <v>220</v>
      </c>
      <c r="P104" s="248">
        <f>O104*G112</f>
        <v>7112.599999999999</v>
      </c>
      <c r="Q104" s="249">
        <f>F104+I104+L104+O104</f>
        <v>683</v>
      </c>
      <c r="R104" s="248">
        <f>G104+J104+M104+P104</f>
        <v>21455.57</v>
      </c>
      <c r="S104" s="67"/>
      <c r="T104" s="13"/>
      <c r="U104" s="13"/>
    </row>
    <row r="105" spans="1:21" ht="35.25" customHeight="1">
      <c r="A105" s="34"/>
      <c r="B105" s="374" t="s">
        <v>55</v>
      </c>
      <c r="C105" s="375"/>
      <c r="D105" s="376"/>
      <c r="E105" s="8"/>
      <c r="F105" s="232">
        <v>300</v>
      </c>
      <c r="G105" s="230">
        <f>F105*F112</f>
        <v>9201</v>
      </c>
      <c r="H105" s="231"/>
      <c r="I105" s="232">
        <v>200</v>
      </c>
      <c r="J105" s="230">
        <f>I105*F112</f>
        <v>6134</v>
      </c>
      <c r="K105" s="231"/>
      <c r="L105" s="232">
        <v>100</v>
      </c>
      <c r="M105" s="230">
        <f>L105*G112</f>
        <v>3233</v>
      </c>
      <c r="N105" s="231"/>
      <c r="O105" s="232">
        <v>300</v>
      </c>
      <c r="P105" s="248">
        <f>O105*G112</f>
        <v>9699</v>
      </c>
      <c r="Q105" s="249">
        <f>F105+I105+L105+O105</f>
        <v>900</v>
      </c>
      <c r="R105" s="248">
        <f>G105+J105+M105+P105</f>
        <v>28267</v>
      </c>
      <c r="S105" s="67"/>
      <c r="T105" s="13"/>
      <c r="U105" s="13"/>
    </row>
    <row r="106" spans="1:21" ht="36.75" customHeight="1">
      <c r="A106" s="34"/>
      <c r="B106" s="374" t="s">
        <v>91</v>
      </c>
      <c r="C106" s="375"/>
      <c r="D106" s="376"/>
      <c r="E106" s="8"/>
      <c r="F106" s="232">
        <v>2190</v>
      </c>
      <c r="G106" s="230">
        <f>SUM(F106)*F112</f>
        <v>67167.3</v>
      </c>
      <c r="H106" s="231"/>
      <c r="I106" s="232">
        <v>2190</v>
      </c>
      <c r="J106" s="230">
        <f>SUM(I106)*F112</f>
        <v>67167.3</v>
      </c>
      <c r="K106" s="231"/>
      <c r="L106" s="232">
        <v>2190</v>
      </c>
      <c r="M106" s="230">
        <f>SUM(L106)*G112</f>
        <v>70802.7</v>
      </c>
      <c r="N106" s="231"/>
      <c r="O106" s="232">
        <v>2190</v>
      </c>
      <c r="P106" s="248">
        <f>SUM(O106)*G112</f>
        <v>70802.7</v>
      </c>
      <c r="Q106" s="249">
        <f>F106+I106+L106+O106</f>
        <v>8760</v>
      </c>
      <c r="R106" s="248">
        <f>SUM(G106)+J106+M106+P106</f>
        <v>275940</v>
      </c>
      <c r="S106" s="67"/>
      <c r="T106" s="13"/>
      <c r="U106" s="13"/>
    </row>
    <row r="107" spans="1:21" ht="36.75" customHeight="1">
      <c r="A107" s="100">
        <v>7</v>
      </c>
      <c r="B107" s="371" t="s">
        <v>96</v>
      </c>
      <c r="C107" s="372"/>
      <c r="D107" s="373"/>
      <c r="E107" s="8"/>
      <c r="F107" s="296">
        <f>SUM(F108:F109)</f>
        <v>30</v>
      </c>
      <c r="G107" s="299">
        <f aca="true" t="shared" si="16" ref="G107:R107">SUM(G108:G109)</f>
        <v>920.1</v>
      </c>
      <c r="H107" s="295">
        <f t="shared" si="16"/>
        <v>0</v>
      </c>
      <c r="I107" s="296">
        <f t="shared" si="16"/>
        <v>30</v>
      </c>
      <c r="J107" s="299">
        <f t="shared" si="16"/>
        <v>920.1</v>
      </c>
      <c r="K107" s="295">
        <f t="shared" si="16"/>
        <v>0</v>
      </c>
      <c r="L107" s="296">
        <f t="shared" si="16"/>
        <v>30</v>
      </c>
      <c r="M107" s="299">
        <f t="shared" si="16"/>
        <v>969.9</v>
      </c>
      <c r="N107" s="295">
        <f t="shared" si="16"/>
        <v>0</v>
      </c>
      <c r="O107" s="296">
        <f t="shared" si="16"/>
        <v>30</v>
      </c>
      <c r="P107" s="297">
        <f t="shared" si="16"/>
        <v>969.9</v>
      </c>
      <c r="Q107" s="300">
        <f t="shared" si="16"/>
        <v>120</v>
      </c>
      <c r="R107" s="297">
        <f t="shared" si="16"/>
        <v>3780</v>
      </c>
      <c r="S107" s="67"/>
      <c r="T107" s="13"/>
      <c r="U107" s="13"/>
    </row>
    <row r="108" spans="1:21" ht="36.75" customHeight="1">
      <c r="A108" s="100"/>
      <c r="B108" s="360" t="s">
        <v>97</v>
      </c>
      <c r="C108" s="441"/>
      <c r="D108" s="442"/>
      <c r="E108" s="8"/>
      <c r="F108" s="232">
        <v>0</v>
      </c>
      <c r="G108" s="230"/>
      <c r="H108" s="231"/>
      <c r="I108" s="232">
        <v>0</v>
      </c>
      <c r="J108" s="230"/>
      <c r="K108" s="231"/>
      <c r="L108" s="232">
        <v>0</v>
      </c>
      <c r="M108" s="230"/>
      <c r="N108" s="231"/>
      <c r="O108" s="232">
        <v>0</v>
      </c>
      <c r="P108" s="248"/>
      <c r="Q108" s="249"/>
      <c r="R108" s="248"/>
      <c r="S108" s="67"/>
      <c r="T108" s="13"/>
      <c r="U108" s="13"/>
    </row>
    <row r="109" spans="1:21" ht="36.75" customHeight="1">
      <c r="A109" s="100"/>
      <c r="B109" s="360" t="s">
        <v>98</v>
      </c>
      <c r="C109" s="441"/>
      <c r="D109" s="442"/>
      <c r="E109" s="8"/>
      <c r="F109" s="232">
        <v>30</v>
      </c>
      <c r="G109" s="230">
        <f>SUM(F109)*F112</f>
        <v>920.1</v>
      </c>
      <c r="H109" s="231"/>
      <c r="I109" s="232">
        <v>30</v>
      </c>
      <c r="J109" s="230">
        <f>SUM(I109)*F112</f>
        <v>920.1</v>
      </c>
      <c r="K109" s="231"/>
      <c r="L109" s="232">
        <v>30</v>
      </c>
      <c r="M109" s="230">
        <f>SUM(L109)*G112</f>
        <v>969.9</v>
      </c>
      <c r="N109" s="231"/>
      <c r="O109" s="232">
        <v>30</v>
      </c>
      <c r="P109" s="248">
        <f>SUM(O109)*G112</f>
        <v>969.9</v>
      </c>
      <c r="Q109" s="249">
        <f>F109+I109+L109+O109</f>
        <v>120</v>
      </c>
      <c r="R109" s="248">
        <f>SUM(G109)+J109+M109+P109</f>
        <v>3780</v>
      </c>
      <c r="S109" s="67"/>
      <c r="T109" s="13"/>
      <c r="U109" s="13"/>
    </row>
    <row r="110" spans="1:22" ht="31.5" customHeight="1">
      <c r="A110" s="37"/>
      <c r="B110" s="443" t="s">
        <v>19</v>
      </c>
      <c r="C110" s="444"/>
      <c r="D110" s="445"/>
      <c r="E110" s="14" t="e">
        <f>E85+#REF!+#REF!+E87+E88+E89+#REF!+E90+E91+E92+E93+E96+#REF!</f>
        <v>#REF!</v>
      </c>
      <c r="F110" s="241">
        <f>F85+F86+F93+F96+F98+F103+F107</f>
        <v>4460.3550000000005</v>
      </c>
      <c r="G110" s="242">
        <f aca="true" t="shared" si="17" ref="G110:R110">G85+G86+G93+G96+G98+G103+G107</f>
        <v>146551.269</v>
      </c>
      <c r="H110" s="59">
        <f t="shared" si="17"/>
        <v>91.66</v>
      </c>
      <c r="I110" s="59">
        <f t="shared" si="17"/>
        <v>4589.305</v>
      </c>
      <c r="J110" s="242">
        <f t="shared" si="17"/>
        <v>154929.08849999998</v>
      </c>
      <c r="K110" s="59">
        <f t="shared" si="17"/>
        <v>91.86</v>
      </c>
      <c r="L110" s="241">
        <f t="shared" si="17"/>
        <v>4542.428</v>
      </c>
      <c r="M110" s="242">
        <f t="shared" si="17"/>
        <v>165941.2787</v>
      </c>
      <c r="N110" s="59">
        <f t="shared" si="17"/>
        <v>91.86</v>
      </c>
      <c r="O110" s="241">
        <f t="shared" si="17"/>
        <v>5035.748</v>
      </c>
      <c r="P110" s="257">
        <f t="shared" si="17"/>
        <v>179561.38629999998</v>
      </c>
      <c r="Q110" s="258">
        <f t="shared" si="17"/>
        <v>18627.836000000003</v>
      </c>
      <c r="R110" s="257">
        <f t="shared" si="17"/>
        <v>646983.0225</v>
      </c>
      <c r="T110" s="12"/>
      <c r="U110" s="12"/>
      <c r="V110" s="12"/>
    </row>
    <row r="111" spans="1:22" ht="26.25" customHeight="1">
      <c r="A111" s="37"/>
      <c r="B111" s="439" t="s">
        <v>17</v>
      </c>
      <c r="C111" s="439"/>
      <c r="D111" s="439"/>
      <c r="E111" s="377" t="s">
        <v>119</v>
      </c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T111" s="12"/>
      <c r="U111" s="12"/>
      <c r="V111" s="12"/>
    </row>
    <row r="112" spans="1:22" ht="25.5" customHeight="1">
      <c r="A112" s="46"/>
      <c r="B112" s="46"/>
      <c r="C112" s="46"/>
      <c r="D112" s="187"/>
      <c r="E112" s="187"/>
      <c r="F112" s="181">
        <v>30.67</v>
      </c>
      <c r="G112" s="184">
        <v>32.33</v>
      </c>
      <c r="H112" s="184"/>
      <c r="I112" s="184"/>
      <c r="J112" s="183"/>
      <c r="K112" s="42"/>
      <c r="L112" s="42"/>
      <c r="M112" s="105"/>
      <c r="N112" s="42"/>
      <c r="O112" s="42"/>
      <c r="P112" s="105"/>
      <c r="Q112" s="42"/>
      <c r="R112" s="105"/>
      <c r="T112" s="12"/>
      <c r="U112" s="12"/>
      <c r="V112" s="12"/>
    </row>
    <row r="113" spans="1:22" ht="33" customHeight="1">
      <c r="A113" s="46"/>
      <c r="B113" s="46"/>
      <c r="C113" s="46"/>
      <c r="D113" s="187"/>
      <c r="E113" s="187"/>
      <c r="F113" s="188">
        <v>49.34</v>
      </c>
      <c r="G113" s="184">
        <v>52</v>
      </c>
      <c r="H113" s="184"/>
      <c r="I113" s="184"/>
      <c r="J113" s="183"/>
      <c r="K113" s="42"/>
      <c r="L113" s="42"/>
      <c r="M113" s="105"/>
      <c r="N113" s="42"/>
      <c r="O113" s="42"/>
      <c r="P113" s="112"/>
      <c r="Q113" s="44"/>
      <c r="R113" s="105"/>
      <c r="T113" s="12"/>
      <c r="U113" s="12"/>
      <c r="V113" s="12"/>
    </row>
    <row r="114" spans="1:22" ht="34.5" customHeight="1">
      <c r="A114" s="446" t="s">
        <v>94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T114" s="12"/>
      <c r="U114" s="12"/>
      <c r="V114" s="12"/>
    </row>
    <row r="115" spans="1:22" ht="25.5">
      <c r="A115" s="381" t="s">
        <v>15</v>
      </c>
      <c r="B115" s="382" t="s">
        <v>0</v>
      </c>
      <c r="C115" s="383"/>
      <c r="D115" s="384"/>
      <c r="E115" s="377" t="s">
        <v>1</v>
      </c>
      <c r="F115" s="377"/>
      <c r="G115" s="377"/>
      <c r="H115" s="377" t="s">
        <v>3</v>
      </c>
      <c r="I115" s="377"/>
      <c r="J115" s="377"/>
      <c r="K115" s="377" t="s">
        <v>4</v>
      </c>
      <c r="L115" s="377"/>
      <c r="M115" s="377"/>
      <c r="N115" s="377" t="s">
        <v>6</v>
      </c>
      <c r="O115" s="377"/>
      <c r="P115" s="377"/>
      <c r="Q115" s="377" t="s">
        <v>7</v>
      </c>
      <c r="R115" s="377"/>
      <c r="T115" s="12"/>
      <c r="U115" s="12"/>
      <c r="V115" s="12"/>
    </row>
    <row r="116" spans="1:22" ht="25.5">
      <c r="A116" s="381"/>
      <c r="B116" s="385"/>
      <c r="C116" s="386"/>
      <c r="D116" s="387"/>
      <c r="E116" s="64" t="s">
        <v>10</v>
      </c>
      <c r="F116" s="64" t="s">
        <v>10</v>
      </c>
      <c r="G116" s="109" t="s">
        <v>5</v>
      </c>
      <c r="H116" s="64" t="s">
        <v>10</v>
      </c>
      <c r="I116" s="64" t="s">
        <v>10</v>
      </c>
      <c r="J116" s="109" t="s">
        <v>5</v>
      </c>
      <c r="K116" s="64" t="s">
        <v>10</v>
      </c>
      <c r="L116" s="64" t="s">
        <v>10</v>
      </c>
      <c r="M116" s="109" t="s">
        <v>5</v>
      </c>
      <c r="N116" s="64" t="s">
        <v>10</v>
      </c>
      <c r="O116" s="64" t="s">
        <v>10</v>
      </c>
      <c r="P116" s="109" t="s">
        <v>5</v>
      </c>
      <c r="Q116" s="64" t="s">
        <v>10</v>
      </c>
      <c r="R116" s="109" t="s">
        <v>5</v>
      </c>
      <c r="T116" s="12"/>
      <c r="U116" s="12"/>
      <c r="V116" s="12"/>
    </row>
    <row r="117" spans="1:22" s="97" customFormat="1" ht="25.5" customHeight="1">
      <c r="A117" s="104">
        <v>1</v>
      </c>
      <c r="B117" s="371" t="s">
        <v>33</v>
      </c>
      <c r="C117" s="372"/>
      <c r="D117" s="373"/>
      <c r="E117" s="98">
        <v>17.5</v>
      </c>
      <c r="F117" s="228">
        <v>12.3</v>
      </c>
      <c r="G117" s="246">
        <f>F117*F144</f>
        <v>506.88300000000004</v>
      </c>
      <c r="H117" s="93">
        <v>17.5</v>
      </c>
      <c r="I117" s="228">
        <v>8.3</v>
      </c>
      <c r="J117" s="246">
        <f>I117*F144</f>
        <v>342.04300000000006</v>
      </c>
      <c r="K117" s="93">
        <v>17.5</v>
      </c>
      <c r="L117" s="228">
        <v>5.4</v>
      </c>
      <c r="M117" s="246">
        <f>L117*G144</f>
        <v>234.576</v>
      </c>
      <c r="N117" s="93">
        <v>17.5</v>
      </c>
      <c r="O117" s="228">
        <v>11.3</v>
      </c>
      <c r="P117" s="246">
        <f>O117*G144</f>
        <v>490.872</v>
      </c>
      <c r="Q117" s="93">
        <f>F117+I117+L117+O117</f>
        <v>37.3</v>
      </c>
      <c r="R117" s="227">
        <f>G117+J117+M117+P117</f>
        <v>1574.3740000000003</v>
      </c>
      <c r="S117" s="94"/>
      <c r="T117" s="96"/>
      <c r="U117" s="96"/>
      <c r="V117" s="95"/>
    </row>
    <row r="118" spans="1:22" s="97" customFormat="1" ht="36" customHeight="1">
      <c r="A118" s="104">
        <v>2</v>
      </c>
      <c r="B118" s="371" t="s">
        <v>41</v>
      </c>
      <c r="C118" s="372"/>
      <c r="D118" s="373"/>
      <c r="E118" s="98"/>
      <c r="F118" s="228">
        <f>F119+F120+F121+F122+F123+F124</f>
        <v>2325.56</v>
      </c>
      <c r="G118" s="246">
        <f>G119+G120+G121+G122+G124+G123</f>
        <v>77896.2276</v>
      </c>
      <c r="H118" s="93"/>
      <c r="I118" s="228">
        <f>I119+I120+I121+I122+I123+I124</f>
        <v>2397.88</v>
      </c>
      <c r="J118" s="246">
        <f>J119+J120+J121+J122+J123+J124</f>
        <v>70583.03480000001</v>
      </c>
      <c r="K118" s="93"/>
      <c r="L118" s="228">
        <f>L119+L120+L121+L122+L123+L124</f>
        <v>2361.08</v>
      </c>
      <c r="M118" s="246">
        <f>M119+M120+M121+M122+M123+M124</f>
        <v>72185.3152</v>
      </c>
      <c r="N118" s="93"/>
      <c r="O118" s="228">
        <f>O119+O120+O121+O122+O123+O124</f>
        <v>2343.7500000000005</v>
      </c>
      <c r="P118" s="246">
        <f>P119+P120+P121+P122+P123+P124</f>
        <v>72362.50000000001</v>
      </c>
      <c r="Q118" s="93">
        <f>Q119+Q120+Q122+Q123+Q124+Q121</f>
        <v>9428.27</v>
      </c>
      <c r="R118" s="227">
        <f>R119+R120+R121+R122+R123+R124</f>
        <v>293027.0776</v>
      </c>
      <c r="S118" s="94"/>
      <c r="T118" s="96"/>
      <c r="U118" s="96"/>
      <c r="V118" s="95"/>
    </row>
    <row r="119" spans="1:21" ht="51.75" customHeight="1">
      <c r="A119" s="34"/>
      <c r="B119" s="374" t="s">
        <v>34</v>
      </c>
      <c r="C119" s="375"/>
      <c r="D119" s="376"/>
      <c r="E119" s="8">
        <v>2715</v>
      </c>
      <c r="F119" s="232">
        <v>748.28</v>
      </c>
      <c r="G119" s="248">
        <f>F119*F144</f>
        <v>30836.6188</v>
      </c>
      <c r="H119" s="231">
        <v>2715</v>
      </c>
      <c r="I119" s="232">
        <v>409.15</v>
      </c>
      <c r="J119" s="248">
        <f>I119*F144</f>
        <v>16861.0715</v>
      </c>
      <c r="K119" s="231">
        <v>2715</v>
      </c>
      <c r="L119" s="232">
        <v>662.91</v>
      </c>
      <c r="M119" s="248">
        <f>L119*G144</f>
        <v>28796.8104</v>
      </c>
      <c r="N119" s="231">
        <v>2715</v>
      </c>
      <c r="O119" s="232">
        <v>464.93</v>
      </c>
      <c r="P119" s="248">
        <f>O119*G144</f>
        <v>20196.5592</v>
      </c>
      <c r="Q119" s="231">
        <f aca="true" t="shared" si="18" ref="Q119:Q127">F119+I119+L119+O119</f>
        <v>2285.2699999999995</v>
      </c>
      <c r="R119" s="230">
        <f aca="true" t="shared" si="19" ref="R119:R125">G119+J119+M119+P119</f>
        <v>96691.05990000001</v>
      </c>
      <c r="S119" s="67" t="s">
        <v>82</v>
      </c>
      <c r="T119" s="13"/>
      <c r="U119" s="13"/>
    </row>
    <row r="120" spans="1:22" ht="51.75" customHeight="1">
      <c r="A120" s="34"/>
      <c r="B120" s="399" t="s">
        <v>35</v>
      </c>
      <c r="C120" s="400"/>
      <c r="D120" s="401"/>
      <c r="E120" s="8">
        <v>816</v>
      </c>
      <c r="F120" s="232">
        <v>250</v>
      </c>
      <c r="G120" s="248">
        <f>F120*F144</f>
        <v>10302.5</v>
      </c>
      <c r="H120" s="231">
        <v>816</v>
      </c>
      <c r="I120" s="232">
        <v>230</v>
      </c>
      <c r="J120" s="248">
        <f>I120*F144</f>
        <v>9478.300000000001</v>
      </c>
      <c r="K120" s="231">
        <v>816</v>
      </c>
      <c r="L120" s="232">
        <v>230</v>
      </c>
      <c r="M120" s="248">
        <f>L120*G144</f>
        <v>9991.199999999999</v>
      </c>
      <c r="N120" s="231">
        <v>816</v>
      </c>
      <c r="O120" s="232">
        <v>250</v>
      </c>
      <c r="P120" s="248">
        <f>O120*G144</f>
        <v>10860</v>
      </c>
      <c r="Q120" s="231">
        <f t="shared" si="18"/>
        <v>960</v>
      </c>
      <c r="R120" s="230">
        <f t="shared" si="19"/>
        <v>40632</v>
      </c>
      <c r="S120" s="67" t="s">
        <v>82</v>
      </c>
      <c r="T120" s="11"/>
      <c r="U120" s="11"/>
      <c r="V120" s="12"/>
    </row>
    <row r="121" spans="1:22" ht="51" customHeight="1">
      <c r="A121" s="34"/>
      <c r="B121" s="374" t="s">
        <v>36</v>
      </c>
      <c r="C121" s="375"/>
      <c r="D121" s="376"/>
      <c r="E121" s="8">
        <v>910.2</v>
      </c>
      <c r="F121" s="232">
        <v>400</v>
      </c>
      <c r="G121" s="248">
        <f>F121*F145</f>
        <v>4720</v>
      </c>
      <c r="H121" s="231">
        <v>1072.5</v>
      </c>
      <c r="I121" s="232">
        <v>450</v>
      </c>
      <c r="J121" s="248">
        <f>I121*F145</f>
        <v>5310</v>
      </c>
      <c r="K121" s="231">
        <v>905.1</v>
      </c>
      <c r="L121" s="232">
        <v>200</v>
      </c>
      <c r="M121" s="248">
        <f>L121*G145</f>
        <v>2488</v>
      </c>
      <c r="N121" s="231">
        <v>1121.6</v>
      </c>
      <c r="O121" s="232">
        <v>400</v>
      </c>
      <c r="P121" s="248">
        <f>O121*G145</f>
        <v>4976</v>
      </c>
      <c r="Q121" s="231">
        <f t="shared" si="18"/>
        <v>1450</v>
      </c>
      <c r="R121" s="230">
        <f t="shared" si="19"/>
        <v>17494</v>
      </c>
      <c r="S121" s="67" t="s">
        <v>82</v>
      </c>
      <c r="T121" s="11"/>
      <c r="U121" s="11"/>
      <c r="V121" s="12"/>
    </row>
    <row r="122" spans="1:22" ht="36" customHeight="1">
      <c r="A122" s="34"/>
      <c r="B122" s="370" t="s">
        <v>37</v>
      </c>
      <c r="C122" s="370"/>
      <c r="D122" s="370"/>
      <c r="E122" s="8">
        <v>1845</v>
      </c>
      <c r="F122" s="232">
        <v>210</v>
      </c>
      <c r="G122" s="248">
        <f>F122*F145</f>
        <v>2478</v>
      </c>
      <c r="H122" s="231">
        <v>1803</v>
      </c>
      <c r="I122" s="232">
        <v>510</v>
      </c>
      <c r="J122" s="248">
        <f>I122*F145</f>
        <v>6018</v>
      </c>
      <c r="K122" s="231">
        <v>1803</v>
      </c>
      <c r="L122" s="232">
        <v>780</v>
      </c>
      <c r="M122" s="248">
        <f>L122*G145</f>
        <v>9703.199999999999</v>
      </c>
      <c r="N122" s="231">
        <v>1813.3</v>
      </c>
      <c r="O122" s="232">
        <v>550</v>
      </c>
      <c r="P122" s="248">
        <f>O122*G145</f>
        <v>6842</v>
      </c>
      <c r="Q122" s="231">
        <f t="shared" si="18"/>
        <v>2050</v>
      </c>
      <c r="R122" s="230">
        <f t="shared" si="19"/>
        <v>25041.199999999997</v>
      </c>
      <c r="S122" s="67" t="s">
        <v>82</v>
      </c>
      <c r="T122" s="11"/>
      <c r="U122" s="11"/>
      <c r="V122" s="12"/>
    </row>
    <row r="123" spans="1:22" s="120" customFormat="1" ht="33" customHeight="1">
      <c r="A123" s="123"/>
      <c r="B123" s="440" t="s">
        <v>38</v>
      </c>
      <c r="C123" s="440"/>
      <c r="D123" s="440"/>
      <c r="E123" s="116">
        <v>74.5</v>
      </c>
      <c r="F123" s="250">
        <v>675</v>
      </c>
      <c r="G123" s="253">
        <f>F123*F144</f>
        <v>27816.75</v>
      </c>
      <c r="H123" s="252">
        <v>72.8</v>
      </c>
      <c r="I123" s="250">
        <v>766.5</v>
      </c>
      <c r="J123" s="253">
        <f>I123*F144</f>
        <v>31587.465</v>
      </c>
      <c r="K123" s="252">
        <v>72.9</v>
      </c>
      <c r="L123" s="250">
        <v>400</v>
      </c>
      <c r="M123" s="253">
        <f>L123*G144</f>
        <v>17376</v>
      </c>
      <c r="N123" s="252">
        <v>72.9</v>
      </c>
      <c r="O123" s="250">
        <v>658.5</v>
      </c>
      <c r="P123" s="253">
        <f>O123*G144</f>
        <v>28605.239999999998</v>
      </c>
      <c r="Q123" s="252">
        <f t="shared" si="18"/>
        <v>2500</v>
      </c>
      <c r="R123" s="251">
        <f t="shared" si="19"/>
        <v>105385.45499999999</v>
      </c>
      <c r="S123" s="117" t="s">
        <v>82</v>
      </c>
      <c r="T123" s="119"/>
      <c r="U123" s="119"/>
      <c r="V123" s="118"/>
    </row>
    <row r="124" spans="1:22" s="120" customFormat="1" ht="55.5" customHeight="1">
      <c r="A124" s="123"/>
      <c r="B124" s="440" t="s">
        <v>39</v>
      </c>
      <c r="C124" s="440"/>
      <c r="D124" s="440"/>
      <c r="E124" s="116">
        <v>88.6</v>
      </c>
      <c r="F124" s="259">
        <v>42.28</v>
      </c>
      <c r="G124" s="253">
        <f>F124*F144</f>
        <v>1742.3588</v>
      </c>
      <c r="H124" s="252">
        <v>88.5</v>
      </c>
      <c r="I124" s="260">
        <v>32.23</v>
      </c>
      <c r="J124" s="253">
        <f>I124*F144</f>
        <v>1328.1982999999998</v>
      </c>
      <c r="K124" s="252">
        <v>88.5</v>
      </c>
      <c r="L124" s="250">
        <v>88.17</v>
      </c>
      <c r="M124" s="253">
        <f>L124*G144</f>
        <v>3830.1048</v>
      </c>
      <c r="N124" s="252">
        <v>88.5</v>
      </c>
      <c r="O124" s="260">
        <v>20.32</v>
      </c>
      <c r="P124" s="253">
        <f>O124*G144</f>
        <v>882.7008</v>
      </c>
      <c r="Q124" s="252">
        <f>F124+I124+L124+O124</f>
        <v>183</v>
      </c>
      <c r="R124" s="251">
        <f t="shared" si="19"/>
        <v>7783.3627</v>
      </c>
      <c r="S124" s="117" t="s">
        <v>82</v>
      </c>
      <c r="T124" s="119"/>
      <c r="U124" s="119"/>
      <c r="V124" s="118"/>
    </row>
    <row r="125" spans="1:22" s="97" customFormat="1" ht="51.75" customHeight="1">
      <c r="A125" s="104">
        <v>3</v>
      </c>
      <c r="B125" s="371" t="s">
        <v>42</v>
      </c>
      <c r="C125" s="372"/>
      <c r="D125" s="373"/>
      <c r="E125" s="98">
        <v>118.05</v>
      </c>
      <c r="F125" s="240">
        <f>F126+F127</f>
        <v>100.84700000000001</v>
      </c>
      <c r="G125" s="246">
        <f>G126+G127</f>
        <v>3542.7946</v>
      </c>
      <c r="H125" s="93">
        <v>118.05</v>
      </c>
      <c r="I125" s="240">
        <f>I126+I127</f>
        <v>100.84700000000001</v>
      </c>
      <c r="J125" s="246">
        <f>J126+J127</f>
        <v>3542.7946</v>
      </c>
      <c r="K125" s="93">
        <v>118.05</v>
      </c>
      <c r="L125" s="240">
        <f>L126+L127</f>
        <v>100.825</v>
      </c>
      <c r="M125" s="246">
        <f>M126+M127</f>
        <v>3734.263</v>
      </c>
      <c r="N125" s="93">
        <v>118.05</v>
      </c>
      <c r="O125" s="240">
        <f>O126+O127</f>
        <v>100.825</v>
      </c>
      <c r="P125" s="246">
        <f>P126+P127</f>
        <v>3734.263</v>
      </c>
      <c r="Q125" s="239">
        <f>Q126+Q127</f>
        <v>403.344</v>
      </c>
      <c r="R125" s="227">
        <f t="shared" si="19"/>
        <v>14554.1152</v>
      </c>
      <c r="S125" s="94"/>
      <c r="T125" s="96"/>
      <c r="U125" s="96"/>
      <c r="V125" s="95"/>
    </row>
    <row r="126" spans="1:22" ht="51.75" customHeight="1">
      <c r="A126" s="32"/>
      <c r="B126" s="391" t="s">
        <v>71</v>
      </c>
      <c r="C126" s="392"/>
      <c r="D126" s="393"/>
      <c r="E126" s="8"/>
      <c r="F126" s="232">
        <v>80</v>
      </c>
      <c r="G126" s="248">
        <f>F126*F144</f>
        <v>3296.8</v>
      </c>
      <c r="H126" s="59"/>
      <c r="I126" s="232">
        <v>80</v>
      </c>
      <c r="J126" s="248">
        <f>I126*F144</f>
        <v>3296.8</v>
      </c>
      <c r="K126" s="231"/>
      <c r="L126" s="232">
        <v>80</v>
      </c>
      <c r="M126" s="248">
        <f>L126*G144</f>
        <v>3475.2</v>
      </c>
      <c r="N126" s="231"/>
      <c r="O126" s="232">
        <v>80</v>
      </c>
      <c r="P126" s="248">
        <f>O126*G144</f>
        <v>3475.2</v>
      </c>
      <c r="Q126" s="231">
        <f t="shared" si="18"/>
        <v>320</v>
      </c>
      <c r="R126" s="230">
        <f>G126+J126+M126+P126</f>
        <v>13544</v>
      </c>
      <c r="S126" s="67"/>
      <c r="T126" s="11"/>
      <c r="U126" s="11"/>
      <c r="V126" s="12"/>
    </row>
    <row r="127" spans="1:22" ht="51.75" customHeight="1">
      <c r="A127" s="32"/>
      <c r="B127" s="391" t="s">
        <v>72</v>
      </c>
      <c r="C127" s="392"/>
      <c r="D127" s="393"/>
      <c r="E127" s="8"/>
      <c r="F127" s="256">
        <v>20.847</v>
      </c>
      <c r="G127" s="248">
        <f>F127*F145</f>
        <v>245.99460000000002</v>
      </c>
      <c r="H127" s="59"/>
      <c r="I127" s="256">
        <v>20.847</v>
      </c>
      <c r="J127" s="248">
        <f>I127*F145</f>
        <v>245.99460000000002</v>
      </c>
      <c r="K127" s="231"/>
      <c r="L127" s="256">
        <v>20.825</v>
      </c>
      <c r="M127" s="248">
        <f>L127*G145</f>
        <v>259.063</v>
      </c>
      <c r="N127" s="231"/>
      <c r="O127" s="256">
        <v>20.825</v>
      </c>
      <c r="P127" s="248">
        <f>O127*G145</f>
        <v>259.063</v>
      </c>
      <c r="Q127" s="231">
        <f t="shared" si="18"/>
        <v>83.34400000000001</v>
      </c>
      <c r="R127" s="230">
        <f>G127+J127+M127+P127</f>
        <v>1010.1152000000001</v>
      </c>
      <c r="S127" s="67"/>
      <c r="T127" s="11"/>
      <c r="U127" s="11"/>
      <c r="V127" s="12"/>
    </row>
    <row r="128" spans="1:22" s="97" customFormat="1" ht="33.75" customHeight="1">
      <c r="A128" s="104">
        <v>4</v>
      </c>
      <c r="B128" s="371" t="s">
        <v>43</v>
      </c>
      <c r="C128" s="372"/>
      <c r="D128" s="373"/>
      <c r="E128" s="98">
        <v>180</v>
      </c>
      <c r="F128" s="228">
        <f>F129</f>
        <v>23.4</v>
      </c>
      <c r="G128" s="246">
        <f>G129</f>
        <v>964.314</v>
      </c>
      <c r="H128" s="93"/>
      <c r="I128" s="228">
        <f>I129</f>
        <v>23.4</v>
      </c>
      <c r="J128" s="246">
        <f>J129</f>
        <v>964.314</v>
      </c>
      <c r="K128" s="93"/>
      <c r="L128" s="228">
        <f>L129</f>
        <v>23.7</v>
      </c>
      <c r="M128" s="246">
        <f>M129</f>
        <v>1029.528</v>
      </c>
      <c r="N128" s="93"/>
      <c r="O128" s="228">
        <f>O129</f>
        <v>23.1</v>
      </c>
      <c r="P128" s="246">
        <f>P129</f>
        <v>1003.464</v>
      </c>
      <c r="Q128" s="93">
        <f>Q129</f>
        <v>93.6</v>
      </c>
      <c r="R128" s="227">
        <f>R129</f>
        <v>3961.62</v>
      </c>
      <c r="S128" s="94"/>
      <c r="T128" s="96"/>
      <c r="U128" s="96"/>
      <c r="V128" s="95"/>
    </row>
    <row r="129" spans="1:22" ht="33.75" customHeight="1">
      <c r="A129" s="34"/>
      <c r="B129" s="374" t="s">
        <v>44</v>
      </c>
      <c r="C129" s="375"/>
      <c r="D129" s="376"/>
      <c r="E129" s="8"/>
      <c r="F129" s="232">
        <v>23.4</v>
      </c>
      <c r="G129" s="248">
        <f>F129*F144</f>
        <v>964.314</v>
      </c>
      <c r="H129" s="231"/>
      <c r="I129" s="232">
        <v>23.4</v>
      </c>
      <c r="J129" s="248">
        <f>I129*F144</f>
        <v>964.314</v>
      </c>
      <c r="K129" s="231"/>
      <c r="L129" s="232">
        <v>23.7</v>
      </c>
      <c r="M129" s="248">
        <f>L129*G144</f>
        <v>1029.528</v>
      </c>
      <c r="N129" s="231"/>
      <c r="O129" s="232">
        <v>23.1</v>
      </c>
      <c r="P129" s="248">
        <f>O129*G144</f>
        <v>1003.464</v>
      </c>
      <c r="Q129" s="231">
        <f>F129+I129+L129+O129</f>
        <v>93.6</v>
      </c>
      <c r="R129" s="230">
        <f>G129+J129+M129+P129</f>
        <v>3961.62</v>
      </c>
      <c r="S129" s="67"/>
      <c r="T129" s="11"/>
      <c r="U129" s="11"/>
      <c r="V129" s="12"/>
    </row>
    <row r="130" spans="1:22" s="97" customFormat="1" ht="53.25" customHeight="1">
      <c r="A130" s="104">
        <v>5</v>
      </c>
      <c r="B130" s="371" t="s">
        <v>47</v>
      </c>
      <c r="C130" s="372"/>
      <c r="D130" s="373"/>
      <c r="E130" s="98"/>
      <c r="F130" s="228">
        <f>F131+F132+F133+F134</f>
        <v>189.14</v>
      </c>
      <c r="G130" s="246">
        <f>G131+G132+G133+G134</f>
        <v>7006.2714</v>
      </c>
      <c r="H130" s="93"/>
      <c r="I130" s="228">
        <f>I131+I132+I133+I134</f>
        <v>171.2</v>
      </c>
      <c r="J130" s="246">
        <f>J131+J132+J133+J134</f>
        <v>6416.955</v>
      </c>
      <c r="K130" s="93"/>
      <c r="L130" s="228">
        <f>L131+L132+L133+L134</f>
        <v>152.42000000000002</v>
      </c>
      <c r="M130" s="246">
        <f>M131+M132+M133+M134</f>
        <v>5948.424799999999</v>
      </c>
      <c r="N130" s="93"/>
      <c r="O130" s="228">
        <f>O131+O132+O133+O134</f>
        <v>245.33999999999997</v>
      </c>
      <c r="P130" s="246">
        <f>P131+P132+P133+P134</f>
        <v>9805.069599999999</v>
      </c>
      <c r="Q130" s="93">
        <f>Q131+Q132+Q133+Q134</f>
        <v>758.0999999999999</v>
      </c>
      <c r="R130" s="227">
        <f>R131+R132+R133+R134</f>
        <v>29176.7208</v>
      </c>
      <c r="S130" s="94"/>
      <c r="T130" s="96"/>
      <c r="U130" s="96"/>
      <c r="V130" s="95"/>
    </row>
    <row r="131" spans="1:22" ht="33.75" customHeight="1">
      <c r="A131" s="32"/>
      <c r="B131" s="374" t="s">
        <v>48</v>
      </c>
      <c r="C131" s="375"/>
      <c r="D131" s="376"/>
      <c r="E131" s="8"/>
      <c r="F131" s="232">
        <v>8.64</v>
      </c>
      <c r="G131" s="248">
        <f>F131*F144</f>
        <v>356.05440000000004</v>
      </c>
      <c r="H131" s="231"/>
      <c r="I131" s="232">
        <v>10</v>
      </c>
      <c r="J131" s="248">
        <f>I131*F144</f>
        <v>412.1</v>
      </c>
      <c r="K131" s="231"/>
      <c r="L131" s="232">
        <v>14.42</v>
      </c>
      <c r="M131" s="248">
        <f>L131*G144</f>
        <v>626.4047999999999</v>
      </c>
      <c r="N131" s="231"/>
      <c r="O131" s="232">
        <v>32.88</v>
      </c>
      <c r="P131" s="248">
        <f>O131*G144</f>
        <v>1428.3072</v>
      </c>
      <c r="Q131" s="231">
        <f aca="true" t="shared" si="20" ref="Q131:R134">F131+I131+L131+O131</f>
        <v>65.94</v>
      </c>
      <c r="R131" s="230">
        <f t="shared" si="20"/>
        <v>2822.8664</v>
      </c>
      <c r="S131" s="67"/>
      <c r="T131" s="11"/>
      <c r="U131" s="11"/>
      <c r="V131" s="12"/>
    </row>
    <row r="132" spans="1:22" ht="33.75" customHeight="1">
      <c r="A132" s="32"/>
      <c r="B132" s="374" t="s">
        <v>49</v>
      </c>
      <c r="C132" s="375"/>
      <c r="D132" s="376"/>
      <c r="E132" s="8"/>
      <c r="F132" s="232">
        <v>73</v>
      </c>
      <c r="G132" s="248">
        <f>53.5*F144+19.5*F145</f>
        <v>2434.835</v>
      </c>
      <c r="H132" s="231"/>
      <c r="I132" s="232">
        <v>72</v>
      </c>
      <c r="J132" s="248">
        <f>52.5*F144+19.5*F145</f>
        <v>2393.625</v>
      </c>
      <c r="K132" s="231"/>
      <c r="L132" s="232">
        <v>62</v>
      </c>
      <c r="M132" s="248">
        <f>42.5*G144+19.5*G145</f>
        <v>2088.7799999999997</v>
      </c>
      <c r="N132" s="231"/>
      <c r="O132" s="232">
        <v>71</v>
      </c>
      <c r="P132" s="248">
        <f>51.5*G144+19.5*G145</f>
        <v>2479.74</v>
      </c>
      <c r="Q132" s="231">
        <f t="shared" si="20"/>
        <v>278</v>
      </c>
      <c r="R132" s="230">
        <f t="shared" si="20"/>
        <v>9396.98</v>
      </c>
      <c r="S132" s="67"/>
      <c r="T132" s="11"/>
      <c r="U132" s="11"/>
      <c r="V132" s="12"/>
    </row>
    <row r="133" spans="1:22" ht="33.75" customHeight="1">
      <c r="A133" s="32"/>
      <c r="B133" s="374" t="s">
        <v>50</v>
      </c>
      <c r="C133" s="375"/>
      <c r="D133" s="376"/>
      <c r="E133" s="8"/>
      <c r="F133" s="232">
        <v>47.3</v>
      </c>
      <c r="G133" s="248">
        <f>40*F144+7.3*F145</f>
        <v>1734.5400000000002</v>
      </c>
      <c r="H133" s="231"/>
      <c r="I133" s="232">
        <v>42.2</v>
      </c>
      <c r="J133" s="248">
        <f>40*F144+2.2*F145</f>
        <v>1674.3600000000001</v>
      </c>
      <c r="K133" s="231"/>
      <c r="L133" s="232">
        <v>41.1</v>
      </c>
      <c r="M133" s="248">
        <f>38.9*G144+2.2*G145</f>
        <v>1717.1839999999997</v>
      </c>
      <c r="N133" s="231"/>
      <c r="O133" s="232">
        <v>47.5</v>
      </c>
      <c r="P133" s="248">
        <f>39.5*G144+8*G145</f>
        <v>1815.3999999999999</v>
      </c>
      <c r="Q133" s="231">
        <f t="shared" si="20"/>
        <v>178.1</v>
      </c>
      <c r="R133" s="230">
        <f t="shared" si="20"/>
        <v>6941.484</v>
      </c>
      <c r="S133" s="67" t="s">
        <v>82</v>
      </c>
      <c r="T133" s="11"/>
      <c r="U133" s="11"/>
      <c r="V133" s="12"/>
    </row>
    <row r="134" spans="1:22" ht="33.75" customHeight="1">
      <c r="A134" s="32"/>
      <c r="B134" s="370" t="s">
        <v>40</v>
      </c>
      <c r="C134" s="370"/>
      <c r="D134" s="370"/>
      <c r="E134" s="8"/>
      <c r="F134" s="232">
        <v>60.2</v>
      </c>
      <c r="G134" s="248">
        <f>F134*F144</f>
        <v>2480.842</v>
      </c>
      <c r="H134" s="231"/>
      <c r="I134" s="232">
        <v>47</v>
      </c>
      <c r="J134" s="248">
        <f>I134*F144</f>
        <v>1936.8700000000001</v>
      </c>
      <c r="K134" s="231"/>
      <c r="L134" s="232">
        <v>34.9</v>
      </c>
      <c r="M134" s="248">
        <f>L134*G144</f>
        <v>1516.0559999999998</v>
      </c>
      <c r="N134" s="231"/>
      <c r="O134" s="232">
        <v>93.96</v>
      </c>
      <c r="P134" s="248">
        <f>O134*G144</f>
        <v>4081.6223999999993</v>
      </c>
      <c r="Q134" s="231">
        <f t="shared" si="20"/>
        <v>236.06</v>
      </c>
      <c r="R134" s="230">
        <f t="shared" si="20"/>
        <v>10015.3904</v>
      </c>
      <c r="S134" s="67" t="s">
        <v>82</v>
      </c>
      <c r="T134" s="11"/>
      <c r="U134" s="11"/>
      <c r="V134" s="12"/>
    </row>
    <row r="135" spans="1:22" s="97" customFormat="1" ht="33.75" customHeight="1">
      <c r="A135" s="104">
        <v>6</v>
      </c>
      <c r="B135" s="371" t="s">
        <v>53</v>
      </c>
      <c r="C135" s="372"/>
      <c r="D135" s="373"/>
      <c r="E135" s="98"/>
      <c r="F135" s="228">
        <f>F136+F137+F138</f>
        <v>3319.1</v>
      </c>
      <c r="G135" s="246">
        <f>G136+G137+G138</f>
        <v>136780.111</v>
      </c>
      <c r="H135" s="93"/>
      <c r="I135" s="228">
        <f>I136+I137+I138</f>
        <v>3004.1</v>
      </c>
      <c r="J135" s="246">
        <f>J136+J137+J138</f>
        <v>123798.961</v>
      </c>
      <c r="K135" s="93"/>
      <c r="L135" s="228">
        <f>L136+L137+L138</f>
        <v>2722.1</v>
      </c>
      <c r="M135" s="246">
        <f>M136+M137+M138</f>
        <v>118248.02399999999</v>
      </c>
      <c r="N135" s="93"/>
      <c r="O135" s="228">
        <f>O136+O137+O138</f>
        <v>3046.1</v>
      </c>
      <c r="P135" s="246">
        <f>P136+P137+P138</f>
        <v>132322.584</v>
      </c>
      <c r="Q135" s="93">
        <f>Q136+Q137+Q138</f>
        <v>12091.4</v>
      </c>
      <c r="R135" s="227">
        <f>R136+R137+R138</f>
        <v>511149.68</v>
      </c>
      <c r="S135" s="94"/>
      <c r="T135" s="96"/>
      <c r="U135" s="96"/>
      <c r="V135" s="95"/>
    </row>
    <row r="136" spans="1:22" ht="38.25" customHeight="1">
      <c r="A136" s="34"/>
      <c r="B136" s="374" t="s">
        <v>73</v>
      </c>
      <c r="C136" s="375"/>
      <c r="D136" s="376"/>
      <c r="E136" s="8"/>
      <c r="F136" s="232">
        <v>233</v>
      </c>
      <c r="G136" s="248">
        <f>F136*F144</f>
        <v>9601.93</v>
      </c>
      <c r="H136" s="231"/>
      <c r="I136" s="232">
        <v>218</v>
      </c>
      <c r="J136" s="248">
        <f>I136*F144</f>
        <v>8983.78</v>
      </c>
      <c r="K136" s="231"/>
      <c r="L136" s="232">
        <v>96</v>
      </c>
      <c r="M136" s="248">
        <f>L136*G144</f>
        <v>4170.24</v>
      </c>
      <c r="N136" s="231"/>
      <c r="O136" s="232">
        <v>260</v>
      </c>
      <c r="P136" s="248">
        <f>O136*G144</f>
        <v>11294.4</v>
      </c>
      <c r="Q136" s="231">
        <f>F136+I136+L136+O136</f>
        <v>807</v>
      </c>
      <c r="R136" s="230">
        <f>G136+J136+M136+P136</f>
        <v>34050.35</v>
      </c>
      <c r="S136" s="67" t="s">
        <v>82</v>
      </c>
      <c r="T136" s="11"/>
      <c r="U136" s="11"/>
      <c r="V136" s="12"/>
    </row>
    <row r="137" spans="1:22" ht="36.75" customHeight="1">
      <c r="A137" s="34"/>
      <c r="B137" s="374" t="s">
        <v>55</v>
      </c>
      <c r="C137" s="375"/>
      <c r="D137" s="376"/>
      <c r="E137" s="8"/>
      <c r="F137" s="232">
        <v>600</v>
      </c>
      <c r="G137" s="248">
        <f>F137*F144</f>
        <v>24726</v>
      </c>
      <c r="H137" s="231"/>
      <c r="I137" s="232">
        <v>300</v>
      </c>
      <c r="J137" s="248">
        <f>I137*F144</f>
        <v>12363</v>
      </c>
      <c r="K137" s="231"/>
      <c r="L137" s="256">
        <v>140</v>
      </c>
      <c r="M137" s="248">
        <f>L137*G144</f>
        <v>6081.599999999999</v>
      </c>
      <c r="N137" s="231"/>
      <c r="O137" s="256">
        <v>300</v>
      </c>
      <c r="P137" s="248">
        <f>O137*G144</f>
        <v>13032</v>
      </c>
      <c r="Q137" s="231">
        <f>F137+I137+L137+O137</f>
        <v>1340</v>
      </c>
      <c r="R137" s="230">
        <f>G137+J137+M137+P137</f>
        <v>56202.6</v>
      </c>
      <c r="S137" s="67" t="s">
        <v>82</v>
      </c>
      <c r="T137" s="11"/>
      <c r="U137" s="11"/>
      <c r="V137" s="12"/>
    </row>
    <row r="138" spans="1:22" ht="33.75" customHeight="1">
      <c r="A138" s="34"/>
      <c r="B138" s="374" t="s">
        <v>91</v>
      </c>
      <c r="C138" s="375"/>
      <c r="D138" s="376"/>
      <c r="E138" s="8"/>
      <c r="F138" s="232">
        <v>2486.1</v>
      </c>
      <c r="G138" s="248">
        <f>SUM(F138)*F144</f>
        <v>102452.181</v>
      </c>
      <c r="H138" s="231"/>
      <c r="I138" s="232">
        <v>2486.1</v>
      </c>
      <c r="J138" s="248">
        <f>SUM(I138)*F144</f>
        <v>102452.181</v>
      </c>
      <c r="K138" s="231"/>
      <c r="L138" s="256">
        <v>2486.1</v>
      </c>
      <c r="M138" s="248">
        <f>SUM(L138)*G144</f>
        <v>107996.184</v>
      </c>
      <c r="N138" s="231"/>
      <c r="O138" s="256">
        <v>2486.1</v>
      </c>
      <c r="P138" s="248">
        <f>SUM(O138)*G144</f>
        <v>107996.184</v>
      </c>
      <c r="Q138" s="231">
        <f>F138+I138+L138+O138</f>
        <v>9944.4</v>
      </c>
      <c r="R138" s="230">
        <f>SUM(G138)+J138+M138+P138</f>
        <v>420896.73</v>
      </c>
      <c r="S138" s="67"/>
      <c r="T138" s="11"/>
      <c r="U138" s="11"/>
      <c r="V138" s="12"/>
    </row>
    <row r="139" spans="1:22" ht="33.75" customHeight="1">
      <c r="A139" s="100">
        <v>7</v>
      </c>
      <c r="B139" s="371" t="s">
        <v>96</v>
      </c>
      <c r="C139" s="372"/>
      <c r="D139" s="373"/>
      <c r="E139" s="8"/>
      <c r="F139" s="296">
        <f>SUM(F140:F141)</f>
        <v>25</v>
      </c>
      <c r="G139" s="297">
        <f aca="true" t="shared" si="21" ref="G139:R139">SUM(G140:G141)</f>
        <v>1030.25</v>
      </c>
      <c r="H139" s="295">
        <f t="shared" si="21"/>
        <v>0</v>
      </c>
      <c r="I139" s="296">
        <f t="shared" si="21"/>
        <v>25</v>
      </c>
      <c r="J139" s="297">
        <f t="shared" si="21"/>
        <v>1030.25</v>
      </c>
      <c r="K139" s="295">
        <f t="shared" si="21"/>
        <v>0</v>
      </c>
      <c r="L139" s="298">
        <f t="shared" si="21"/>
        <v>25</v>
      </c>
      <c r="M139" s="297">
        <f t="shared" si="21"/>
        <v>1086</v>
      </c>
      <c r="N139" s="295">
        <f t="shared" si="21"/>
        <v>0</v>
      </c>
      <c r="O139" s="298">
        <f t="shared" si="21"/>
        <v>25</v>
      </c>
      <c r="P139" s="297">
        <f t="shared" si="21"/>
        <v>1086</v>
      </c>
      <c r="Q139" s="295">
        <f t="shared" si="21"/>
        <v>100</v>
      </c>
      <c r="R139" s="299">
        <f t="shared" si="21"/>
        <v>4232.5</v>
      </c>
      <c r="S139" s="67"/>
      <c r="T139" s="11"/>
      <c r="U139" s="11"/>
      <c r="V139" s="12"/>
    </row>
    <row r="140" spans="1:22" ht="33.75" customHeight="1">
      <c r="A140" s="100"/>
      <c r="B140" s="360" t="s">
        <v>97</v>
      </c>
      <c r="C140" s="441"/>
      <c r="D140" s="442"/>
      <c r="E140" s="8"/>
      <c r="F140" s="232">
        <v>0</v>
      </c>
      <c r="G140" s="248">
        <f>SUM(F140)*F144</f>
        <v>0</v>
      </c>
      <c r="H140" s="231"/>
      <c r="I140" s="232">
        <v>0</v>
      </c>
      <c r="J140" s="248">
        <f>SUM(I140)*F144</f>
        <v>0</v>
      </c>
      <c r="K140" s="231"/>
      <c r="L140" s="256">
        <v>0</v>
      </c>
      <c r="M140" s="248">
        <f>SUM(L140)*G144</f>
        <v>0</v>
      </c>
      <c r="N140" s="231"/>
      <c r="O140" s="256">
        <v>0</v>
      </c>
      <c r="P140" s="248">
        <f>SUM(O140)*G144</f>
        <v>0</v>
      </c>
      <c r="Q140" s="231">
        <f>F140+I140+L140+O140</f>
        <v>0</v>
      </c>
      <c r="R140" s="230">
        <f>SUM(G140)+J140+M140+P140</f>
        <v>0</v>
      </c>
      <c r="S140" s="67"/>
      <c r="T140" s="11"/>
      <c r="U140" s="11"/>
      <c r="V140" s="12"/>
    </row>
    <row r="141" spans="1:22" ht="33.75" customHeight="1">
      <c r="A141" s="100"/>
      <c r="B141" s="360" t="s">
        <v>98</v>
      </c>
      <c r="C141" s="441"/>
      <c r="D141" s="442"/>
      <c r="E141" s="8"/>
      <c r="F141" s="232">
        <v>25</v>
      </c>
      <c r="G141" s="248">
        <f>SUM(F141)*F144</f>
        <v>1030.25</v>
      </c>
      <c r="H141" s="231"/>
      <c r="I141" s="232">
        <v>25</v>
      </c>
      <c r="J141" s="248">
        <f>SUM(I141)*F144</f>
        <v>1030.25</v>
      </c>
      <c r="K141" s="231"/>
      <c r="L141" s="256">
        <v>25</v>
      </c>
      <c r="M141" s="248">
        <f>SUM(L141)*G144</f>
        <v>1086</v>
      </c>
      <c r="N141" s="231"/>
      <c r="O141" s="256">
        <v>25</v>
      </c>
      <c r="P141" s="248">
        <f>SUM(O141)*G144</f>
        <v>1086</v>
      </c>
      <c r="Q141" s="231">
        <f>F141+I141+L141+O141</f>
        <v>100</v>
      </c>
      <c r="R141" s="230">
        <f>SUM(G141)+J141+M141+P141</f>
        <v>4232.5</v>
      </c>
      <c r="S141" s="67"/>
      <c r="T141" s="11"/>
      <c r="U141" s="11"/>
      <c r="V141" s="12"/>
    </row>
    <row r="142" spans="1:22" ht="35.25">
      <c r="A142" s="51"/>
      <c r="B142" s="394" t="s">
        <v>19</v>
      </c>
      <c r="C142" s="394"/>
      <c r="D142" s="394"/>
      <c r="E142" s="14">
        <f>SUM(E117:E128)</f>
        <v>6764.85</v>
      </c>
      <c r="F142" s="241">
        <f aca="true" t="shared" si="22" ref="F142:P142">F117+F118+F125+F128+F130+F135+F139</f>
        <v>5995.347</v>
      </c>
      <c r="G142" s="257">
        <f t="shared" si="22"/>
        <v>227726.8516</v>
      </c>
      <c r="H142" s="59">
        <f t="shared" si="22"/>
        <v>135.55</v>
      </c>
      <c r="I142" s="241">
        <f t="shared" si="22"/>
        <v>5730.727000000001</v>
      </c>
      <c r="J142" s="257">
        <f t="shared" si="22"/>
        <v>206678.3524</v>
      </c>
      <c r="K142" s="59">
        <f t="shared" si="22"/>
        <v>135.55</v>
      </c>
      <c r="L142" s="241">
        <f t="shared" si="22"/>
        <v>5390.525</v>
      </c>
      <c r="M142" s="257">
        <f t="shared" si="22"/>
        <v>202466.131</v>
      </c>
      <c r="N142" s="59">
        <f t="shared" si="22"/>
        <v>135.55</v>
      </c>
      <c r="O142" s="241">
        <f t="shared" si="22"/>
        <v>5795.415000000001</v>
      </c>
      <c r="P142" s="257">
        <f t="shared" si="22"/>
        <v>220804.75260000004</v>
      </c>
      <c r="Q142" s="59">
        <f>Q117+Q118+Q125+Q128+Q130+Q135+Q139</f>
        <v>22912.014</v>
      </c>
      <c r="R142" s="242">
        <f>R117+R118+R125+R128+R130+R135+R139</f>
        <v>857676.0876</v>
      </c>
      <c r="S142" s="67"/>
      <c r="T142" s="52"/>
      <c r="U142" s="52"/>
      <c r="V142" s="52"/>
    </row>
    <row r="143" spans="1:18" ht="26.25">
      <c r="A143" s="37"/>
      <c r="B143" s="388" t="s">
        <v>17</v>
      </c>
      <c r="C143" s="389"/>
      <c r="D143" s="390"/>
      <c r="E143" s="377" t="s">
        <v>120</v>
      </c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</row>
    <row r="144" spans="1:18" ht="26.25">
      <c r="A144" s="46"/>
      <c r="B144" s="42"/>
      <c r="C144" s="42"/>
      <c r="D144" s="187"/>
      <c r="E144" s="187"/>
      <c r="F144" s="181">
        <v>41.21</v>
      </c>
      <c r="G144" s="184">
        <v>43.44</v>
      </c>
      <c r="H144" s="184"/>
      <c r="I144" s="184"/>
      <c r="J144" s="183"/>
      <c r="K144" s="6"/>
      <c r="L144" s="6"/>
      <c r="M144" s="105"/>
      <c r="N144" s="42"/>
      <c r="O144" s="42"/>
      <c r="P144" s="105"/>
      <c r="Q144" s="42"/>
      <c r="R144" s="105"/>
    </row>
    <row r="145" spans="1:18" ht="26.25">
      <c r="A145" s="46"/>
      <c r="B145" s="42"/>
      <c r="C145" s="42"/>
      <c r="D145" s="187"/>
      <c r="E145" s="187"/>
      <c r="F145" s="181">
        <v>11.8</v>
      </c>
      <c r="G145" s="189">
        <v>12.44</v>
      </c>
      <c r="H145" s="184"/>
      <c r="I145" s="184"/>
      <c r="J145" s="183"/>
      <c r="K145" s="6"/>
      <c r="L145" s="6"/>
      <c r="M145" s="105"/>
      <c r="N145" s="42"/>
      <c r="O145" s="42"/>
      <c r="P145" s="105"/>
      <c r="Q145" s="42"/>
      <c r="R145" s="105"/>
    </row>
    <row r="146" spans="1:18" ht="26.25">
      <c r="A146" s="46"/>
      <c r="B146" s="42"/>
      <c r="C146" s="42"/>
      <c r="D146" s="187"/>
      <c r="E146" s="187"/>
      <c r="F146" s="187"/>
      <c r="G146" s="182"/>
      <c r="H146" s="120"/>
      <c r="I146" s="187"/>
      <c r="J146" s="182"/>
      <c r="K146" s="42"/>
      <c r="L146" s="42"/>
      <c r="M146" s="105"/>
      <c r="N146" s="42"/>
      <c r="O146" s="42"/>
      <c r="P146" s="105"/>
      <c r="Q146" s="42"/>
      <c r="R146" s="105"/>
    </row>
    <row r="147" spans="1:18" ht="26.25">
      <c r="A147" s="50"/>
      <c r="B147" s="42"/>
      <c r="C147" s="42"/>
      <c r="D147" s="42"/>
      <c r="E147" s="42"/>
      <c r="F147" s="42"/>
      <c r="G147" s="105"/>
      <c r="H147" s="6"/>
      <c r="I147" s="6"/>
      <c r="J147" s="105"/>
      <c r="K147" s="42"/>
      <c r="L147" s="42"/>
      <c r="M147" s="105"/>
      <c r="N147" s="42"/>
      <c r="O147" s="42"/>
      <c r="P147" s="105"/>
      <c r="Q147" s="42"/>
      <c r="R147" s="105"/>
    </row>
    <row r="148" spans="1:18" ht="26.25">
      <c r="A148" s="6"/>
      <c r="B148" s="42"/>
      <c r="C148" s="42"/>
      <c r="D148" s="42"/>
      <c r="E148" s="42"/>
      <c r="F148" s="42"/>
      <c r="G148" s="105"/>
      <c r="H148" s="42"/>
      <c r="I148" s="42"/>
      <c r="J148" s="105"/>
      <c r="K148" s="42"/>
      <c r="L148" s="42"/>
      <c r="M148" s="105"/>
      <c r="N148" s="42"/>
      <c r="O148" s="42"/>
      <c r="P148" s="105"/>
      <c r="Q148" s="42"/>
      <c r="R148" s="105"/>
    </row>
    <row r="149" spans="1:18" ht="26.25">
      <c r="A149" s="6"/>
      <c r="B149" s="6"/>
      <c r="C149" s="6"/>
      <c r="D149" s="6"/>
      <c r="E149" s="6"/>
      <c r="F149" s="6"/>
      <c r="G149" s="105"/>
      <c r="H149" s="6"/>
      <c r="I149" s="6"/>
      <c r="J149" s="105"/>
      <c r="K149" s="6"/>
      <c r="L149" s="6"/>
      <c r="M149" s="105"/>
      <c r="N149" s="6"/>
      <c r="O149" s="6"/>
      <c r="P149" s="105"/>
      <c r="Q149" s="6"/>
      <c r="R149" s="105"/>
    </row>
    <row r="150" spans="1:18" ht="26.25">
      <c r="A150" s="6"/>
      <c r="B150" s="6"/>
      <c r="C150" s="6"/>
      <c r="D150" s="6"/>
      <c r="E150" s="6"/>
      <c r="F150" s="6"/>
      <c r="G150" s="105"/>
      <c r="H150" s="6"/>
      <c r="I150" s="6"/>
      <c r="J150" s="105"/>
      <c r="K150" s="6"/>
      <c r="L150" s="6"/>
      <c r="M150" s="105"/>
      <c r="N150" s="6"/>
      <c r="O150" s="6"/>
      <c r="P150" s="105"/>
      <c r="Q150" s="6"/>
      <c r="R150" s="105"/>
    </row>
    <row r="151" spans="1:18" ht="26.25">
      <c r="A151" s="6"/>
      <c r="B151" s="6"/>
      <c r="C151" s="6"/>
      <c r="D151" s="6"/>
      <c r="E151" s="53"/>
      <c r="K151" s="6"/>
      <c r="L151" s="6"/>
      <c r="M151" s="105"/>
      <c r="N151" s="6"/>
      <c r="O151" s="6"/>
      <c r="P151" s="105"/>
      <c r="Q151" s="6"/>
      <c r="R151" s="105"/>
    </row>
    <row r="152" ht="25.5">
      <c r="E152" s="54" t="s">
        <v>22</v>
      </c>
    </row>
    <row r="153" ht="25.5">
      <c r="E153" s="54" t="s">
        <v>23</v>
      </c>
    </row>
    <row r="154" ht="25.5">
      <c r="E154" s="54" t="s">
        <v>24</v>
      </c>
    </row>
    <row r="155" ht="25.5">
      <c r="E155" s="54" t="s">
        <v>25</v>
      </c>
    </row>
    <row r="156" ht="25.5">
      <c r="E156" s="54" t="s">
        <v>26</v>
      </c>
    </row>
    <row r="157" ht="25.5">
      <c r="E157" s="54" t="s">
        <v>27</v>
      </c>
    </row>
    <row r="158" ht="25.5">
      <c r="E158" s="54" t="s">
        <v>29</v>
      </c>
    </row>
    <row r="159" ht="25.5">
      <c r="E159" s="54" t="s">
        <v>30</v>
      </c>
    </row>
    <row r="160" ht="25.5">
      <c r="E160" s="54" t="s">
        <v>28</v>
      </c>
    </row>
  </sheetData>
  <sheetProtection/>
  <mergeCells count="166">
    <mergeCell ref="B108:D108"/>
    <mergeCell ref="B109:D109"/>
    <mergeCell ref="B131:D131"/>
    <mergeCell ref="A7:R7"/>
    <mergeCell ref="B135:D135"/>
    <mergeCell ref="B100:D100"/>
    <mergeCell ref="B115:D116"/>
    <mergeCell ref="A44:A45"/>
    <mergeCell ref="B44:D45"/>
    <mergeCell ref="B136:D136"/>
    <mergeCell ref="B137:D137"/>
    <mergeCell ref="B101:D101"/>
    <mergeCell ref="E111:R111"/>
    <mergeCell ref="A114:R114"/>
    <mergeCell ref="A115:A116"/>
    <mergeCell ref="B129:D129"/>
    <mergeCell ref="B132:D132"/>
    <mergeCell ref="B111:D111"/>
    <mergeCell ref="B127:D127"/>
    <mergeCell ref="E143:R143"/>
    <mergeCell ref="B121:D121"/>
    <mergeCell ref="B122:D122"/>
    <mergeCell ref="B123:D123"/>
    <mergeCell ref="B124:D124"/>
    <mergeCell ref="K115:M115"/>
    <mergeCell ref="Q115:R115"/>
    <mergeCell ref="B139:D139"/>
    <mergeCell ref="B140:D140"/>
    <mergeCell ref="B141:D141"/>
    <mergeCell ref="B68:D68"/>
    <mergeCell ref="B69:D69"/>
    <mergeCell ref="B70:D70"/>
    <mergeCell ref="H115:J115"/>
    <mergeCell ref="B110:D110"/>
    <mergeCell ref="B102:D102"/>
    <mergeCell ref="B90:D90"/>
    <mergeCell ref="A82:R82"/>
    <mergeCell ref="E115:G115"/>
    <mergeCell ref="B107:D107"/>
    <mergeCell ref="Q83:R83"/>
    <mergeCell ref="K83:M83"/>
    <mergeCell ref="H83:J83"/>
    <mergeCell ref="N115:P115"/>
    <mergeCell ref="P80:R80"/>
    <mergeCell ref="B99:D99"/>
    <mergeCell ref="B85:D85"/>
    <mergeCell ref="E83:G83"/>
    <mergeCell ref="B91:D91"/>
    <mergeCell ref="B92:D92"/>
    <mergeCell ref="P79:R79"/>
    <mergeCell ref="B59:D59"/>
    <mergeCell ref="B27:D27"/>
    <mergeCell ref="B29:D29"/>
    <mergeCell ref="B73:D73"/>
    <mergeCell ref="B66:D66"/>
    <mergeCell ref="B52:D52"/>
    <mergeCell ref="B57:D57"/>
    <mergeCell ref="B74:D74"/>
    <mergeCell ref="Q44:R44"/>
    <mergeCell ref="B63:D63"/>
    <mergeCell ref="B64:D64"/>
    <mergeCell ref="B47:D47"/>
    <mergeCell ref="B50:D50"/>
    <mergeCell ref="B58:D58"/>
    <mergeCell ref="B61:D61"/>
    <mergeCell ref="B48:D48"/>
    <mergeCell ref="B49:D49"/>
    <mergeCell ref="B60:D60"/>
    <mergeCell ref="B56:D56"/>
    <mergeCell ref="B55:D55"/>
    <mergeCell ref="E44:G44"/>
    <mergeCell ref="H44:J44"/>
    <mergeCell ref="B24:D24"/>
    <mergeCell ref="B28:D28"/>
    <mergeCell ref="B31:D31"/>
    <mergeCell ref="B46:D46"/>
    <mergeCell ref="B30:D30"/>
    <mergeCell ref="B33:D33"/>
    <mergeCell ref="B51:D51"/>
    <mergeCell ref="B12:D12"/>
    <mergeCell ref="K44:M44"/>
    <mergeCell ref="B17:D17"/>
    <mergeCell ref="B18:D18"/>
    <mergeCell ref="B16:D16"/>
    <mergeCell ref="B39:D39"/>
    <mergeCell ref="B40:D40"/>
    <mergeCell ref="E40:R40"/>
    <mergeCell ref="K9:M9"/>
    <mergeCell ref="N9:P9"/>
    <mergeCell ref="Q9:R9"/>
    <mergeCell ref="B25:D25"/>
    <mergeCell ref="B26:D26"/>
    <mergeCell ref="B13:D13"/>
    <mergeCell ref="B14:D14"/>
    <mergeCell ref="P2:R2"/>
    <mergeCell ref="P3:R3"/>
    <mergeCell ref="P5:R5"/>
    <mergeCell ref="A8:R8"/>
    <mergeCell ref="B37:D37"/>
    <mergeCell ref="B38:D38"/>
    <mergeCell ref="A21:A22"/>
    <mergeCell ref="B21:D22"/>
    <mergeCell ref="A9:A10"/>
    <mergeCell ref="H9:J9"/>
    <mergeCell ref="B15:D15"/>
    <mergeCell ref="E9:G9"/>
    <mergeCell ref="B9:D10"/>
    <mergeCell ref="B11:D11"/>
    <mergeCell ref="B98:D98"/>
    <mergeCell ref="B95:D95"/>
    <mergeCell ref="B94:D94"/>
    <mergeCell ref="N83:P83"/>
    <mergeCell ref="B19:D19"/>
    <mergeCell ref="B20:D20"/>
    <mergeCell ref="A43:R43"/>
    <mergeCell ref="B23:D23"/>
    <mergeCell ref="B32:D32"/>
    <mergeCell ref="B36:D36"/>
    <mergeCell ref="B105:D105"/>
    <mergeCell ref="B117:D117"/>
    <mergeCell ref="B130:D130"/>
    <mergeCell ref="B142:D142"/>
    <mergeCell ref="P78:R78"/>
    <mergeCell ref="B62:D62"/>
    <mergeCell ref="B65:D65"/>
    <mergeCell ref="E74:R74"/>
    <mergeCell ref="B120:D120"/>
    <mergeCell ref="B97:D97"/>
    <mergeCell ref="B88:D88"/>
    <mergeCell ref="B106:D106"/>
    <mergeCell ref="B138:D138"/>
    <mergeCell ref="B128:D128"/>
    <mergeCell ref="B143:D143"/>
    <mergeCell ref="B103:D103"/>
    <mergeCell ref="B104:D104"/>
    <mergeCell ref="B134:D134"/>
    <mergeCell ref="B126:D126"/>
    <mergeCell ref="B133:D133"/>
    <mergeCell ref="A83:A84"/>
    <mergeCell ref="B83:D84"/>
    <mergeCell ref="B96:D96"/>
    <mergeCell ref="B119:D119"/>
    <mergeCell ref="B89:D89"/>
    <mergeCell ref="B125:D125"/>
    <mergeCell ref="B118:D118"/>
    <mergeCell ref="B93:D93"/>
    <mergeCell ref="B86:D86"/>
    <mergeCell ref="B87:D87"/>
    <mergeCell ref="Q21:Q22"/>
    <mergeCell ref="R21:R22"/>
    <mergeCell ref="F21:F22"/>
    <mergeCell ref="G21:G22"/>
    <mergeCell ref="I21:I22"/>
    <mergeCell ref="J21:J22"/>
    <mergeCell ref="L21:L22"/>
    <mergeCell ref="M21:M22"/>
    <mergeCell ref="B72:D72"/>
    <mergeCell ref="B71:D71"/>
    <mergeCell ref="B34:D34"/>
    <mergeCell ref="B35:D35"/>
    <mergeCell ref="O21:O22"/>
    <mergeCell ref="P21:P22"/>
    <mergeCell ref="B53:D53"/>
    <mergeCell ref="B54:D54"/>
    <mergeCell ref="B67:D67"/>
    <mergeCell ref="N44:P44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7" r:id="rId1"/>
  <rowBreaks count="4" manualBreakCount="4">
    <brk id="41" max="17" man="1"/>
    <brk id="75" max="17" man="1"/>
    <brk id="113" max="17" man="1"/>
    <brk id="146" max="18" man="1"/>
  </rowBreaks>
  <colBreaks count="1" manualBreakCount="1">
    <brk id="19" max="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view="pageBreakPreview" zoomScale="42" zoomScaleNormal="85" zoomScaleSheetLayoutView="42" zoomScalePageLayoutView="0" workbookViewId="0" topLeftCell="A1">
      <selection activeCell="H147" sqref="H147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51.281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29.8515625" style="10" customWidth="1"/>
    <col min="9" max="9" width="9.8515625" style="10" hidden="1" customWidth="1"/>
    <col min="10" max="10" width="29.421875" style="10" customWidth="1"/>
    <col min="11" max="11" width="31.421875" style="10" customWidth="1"/>
    <col min="12" max="12" width="9.8515625" style="10" hidden="1" customWidth="1"/>
    <col min="13" max="13" width="28.140625" style="10" customWidth="1"/>
    <col min="14" max="14" width="30.421875" style="10" customWidth="1"/>
    <col min="15" max="15" width="9.8515625" style="10" hidden="1" customWidth="1"/>
    <col min="16" max="16" width="27.00390625" style="10" customWidth="1"/>
    <col min="17" max="18" width="29.28125" style="10" customWidth="1"/>
    <col min="19" max="19" width="35.0039062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281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0"/>
      <c r="P1" s="70"/>
      <c r="Q1" s="55"/>
      <c r="R1" s="55"/>
      <c r="S1" s="70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0"/>
      <c r="P2" s="70"/>
      <c r="Q2" s="395"/>
      <c r="R2" s="395"/>
      <c r="S2" s="395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0"/>
      <c r="P3" s="70"/>
      <c r="Q3" s="395"/>
      <c r="R3" s="395"/>
      <c r="S3" s="395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0"/>
      <c r="P4" s="70"/>
      <c r="Q4" s="395"/>
      <c r="R4" s="395"/>
      <c r="S4" s="395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0"/>
      <c r="P5" s="70"/>
      <c r="Q5" s="70"/>
      <c r="R5" s="70"/>
      <c r="S5" s="70"/>
      <c r="U5" s="12"/>
      <c r="V5" s="12"/>
      <c r="W5" s="12"/>
    </row>
    <row r="6" spans="1:23" ht="33.75" customHeight="1" hidden="1">
      <c r="A6" s="447" t="s">
        <v>66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U6" s="12"/>
      <c r="V6" s="12"/>
      <c r="W6" s="12"/>
    </row>
    <row r="7" spans="1:23" ht="18.75" customHeight="1" hidden="1">
      <c r="A7" s="456" t="s">
        <v>15</v>
      </c>
      <c r="B7" s="450" t="s">
        <v>0</v>
      </c>
      <c r="C7" s="451"/>
      <c r="D7" s="452"/>
      <c r="E7" s="71"/>
      <c r="F7" s="396" t="s">
        <v>1</v>
      </c>
      <c r="G7" s="397"/>
      <c r="H7" s="398"/>
      <c r="I7" s="396" t="s">
        <v>3</v>
      </c>
      <c r="J7" s="397"/>
      <c r="K7" s="398"/>
      <c r="L7" s="396" t="s">
        <v>4</v>
      </c>
      <c r="M7" s="397"/>
      <c r="N7" s="398"/>
      <c r="O7" s="396" t="s">
        <v>6</v>
      </c>
      <c r="P7" s="397"/>
      <c r="Q7" s="398"/>
      <c r="R7" s="396" t="s">
        <v>7</v>
      </c>
      <c r="S7" s="398"/>
      <c r="V7" s="12"/>
      <c r="W7" s="12"/>
    </row>
    <row r="8" spans="1:23" ht="53.25" hidden="1">
      <c r="A8" s="457"/>
      <c r="B8" s="453"/>
      <c r="C8" s="454"/>
      <c r="D8" s="455"/>
      <c r="E8" s="73"/>
      <c r="F8" s="74"/>
      <c r="G8" s="74" t="s">
        <v>2</v>
      </c>
      <c r="H8" s="74" t="s">
        <v>5</v>
      </c>
      <c r="I8" s="74"/>
      <c r="J8" s="74" t="s">
        <v>2</v>
      </c>
      <c r="K8" s="74" t="s">
        <v>5</v>
      </c>
      <c r="L8" s="74"/>
      <c r="M8" s="74" t="s">
        <v>2</v>
      </c>
      <c r="N8" s="74" t="s">
        <v>5</v>
      </c>
      <c r="O8" s="74" t="s">
        <v>2</v>
      </c>
      <c r="P8" s="74" t="s">
        <v>2</v>
      </c>
      <c r="Q8" s="74" t="s">
        <v>5</v>
      </c>
      <c r="R8" s="74" t="s">
        <v>2</v>
      </c>
      <c r="S8" s="74" t="s">
        <v>5</v>
      </c>
      <c r="V8" s="12"/>
      <c r="W8" s="12"/>
    </row>
    <row r="9" spans="1:23" ht="30" customHeight="1" hidden="1">
      <c r="A9" s="14">
        <v>1</v>
      </c>
      <c r="B9" s="458" t="s">
        <v>33</v>
      </c>
      <c r="C9" s="459"/>
      <c r="D9" s="460"/>
      <c r="E9" s="78"/>
      <c r="F9" s="14">
        <v>22.6</v>
      </c>
      <c r="G9" s="56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4">
        <v>2</v>
      </c>
      <c r="B10" s="458" t="s">
        <v>41</v>
      </c>
      <c r="C10" s="459"/>
      <c r="D10" s="460"/>
      <c r="E10" s="78"/>
      <c r="F10" s="14"/>
      <c r="G10" s="56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4"/>
      <c r="B11" s="461" t="s">
        <v>34</v>
      </c>
      <c r="C11" s="462"/>
      <c r="D11" s="463"/>
      <c r="E11" s="79"/>
      <c r="F11" s="14">
        <v>968.6</v>
      </c>
      <c r="G11" s="57">
        <v>780</v>
      </c>
      <c r="H11" s="15">
        <f>G11*G36</f>
        <v>2088855.6</v>
      </c>
      <c r="I11" s="15">
        <v>347.1</v>
      </c>
      <c r="J11" s="15">
        <v>150</v>
      </c>
      <c r="K11" s="15">
        <f>J11*G36</f>
        <v>401703</v>
      </c>
      <c r="L11" s="15">
        <v>138.9</v>
      </c>
      <c r="M11" s="15">
        <v>50</v>
      </c>
      <c r="N11" s="15">
        <f>M11*H36</f>
        <v>149473.5</v>
      </c>
      <c r="O11" s="15">
        <v>879.1</v>
      </c>
      <c r="P11" s="15">
        <v>290</v>
      </c>
      <c r="Q11" s="15">
        <f>P11*H36</f>
        <v>866946.2999999999</v>
      </c>
      <c r="R11" s="15">
        <f t="shared" si="0"/>
        <v>1270</v>
      </c>
      <c r="S11" s="15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4"/>
      <c r="B12" s="461" t="s">
        <v>35</v>
      </c>
      <c r="C12" s="462"/>
      <c r="D12" s="463"/>
      <c r="E12" s="79"/>
      <c r="F12" s="14">
        <v>275.5</v>
      </c>
      <c r="G12" s="57">
        <v>260.8</v>
      </c>
      <c r="H12" s="15">
        <f>G12*G36</f>
        <v>698427.616</v>
      </c>
      <c r="I12" s="15">
        <v>101.3</v>
      </c>
      <c r="J12" s="15">
        <v>82.4</v>
      </c>
      <c r="K12" s="15">
        <f>J12*G36</f>
        <v>220668.84800000003</v>
      </c>
      <c r="L12" s="15">
        <v>40.3</v>
      </c>
      <c r="M12" s="15">
        <v>24.8</v>
      </c>
      <c r="N12" s="15">
        <f>M12*H36</f>
        <v>74138.856</v>
      </c>
      <c r="O12" s="15">
        <v>245.5</v>
      </c>
      <c r="P12" s="15">
        <v>214.4</v>
      </c>
      <c r="Q12" s="15">
        <f>P12*H36</f>
        <v>640942.368</v>
      </c>
      <c r="R12" s="15">
        <f t="shared" si="0"/>
        <v>582.4000000000001</v>
      </c>
      <c r="S12" s="15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4"/>
      <c r="B13" s="461" t="s">
        <v>36</v>
      </c>
      <c r="C13" s="462"/>
      <c r="D13" s="463"/>
      <c r="E13" s="79"/>
      <c r="F13" s="14">
        <v>1020.1</v>
      </c>
      <c r="G13" s="57">
        <v>993.2</v>
      </c>
      <c r="H13" s="15">
        <f>G13*G36</f>
        <v>2659809.464</v>
      </c>
      <c r="I13" s="15">
        <v>343</v>
      </c>
      <c r="J13" s="15">
        <v>313.8</v>
      </c>
      <c r="K13" s="15">
        <f>J13*G36</f>
        <v>840362.676</v>
      </c>
      <c r="L13" s="15">
        <v>122.2</v>
      </c>
      <c r="M13" s="15">
        <v>95.1</v>
      </c>
      <c r="N13" s="15">
        <f>M13*H36</f>
        <v>284298.59699999995</v>
      </c>
      <c r="O13" s="15">
        <v>920.9</v>
      </c>
      <c r="P13" s="15">
        <v>816.6</v>
      </c>
      <c r="Q13" s="15">
        <f>P13*H36</f>
        <v>2441201.202</v>
      </c>
      <c r="R13" s="15">
        <f t="shared" si="0"/>
        <v>2218.7</v>
      </c>
      <c r="S13" s="15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61" t="s">
        <v>37</v>
      </c>
      <c r="C14" s="462"/>
      <c r="D14" s="463"/>
      <c r="E14" s="79"/>
      <c r="F14" s="8">
        <v>186.3</v>
      </c>
      <c r="G14" s="57">
        <v>215.9</v>
      </c>
      <c r="H14" s="15">
        <f>G14*G36</f>
        <v>578184.518</v>
      </c>
      <c r="I14" s="15">
        <v>55.3</v>
      </c>
      <c r="J14" s="15">
        <v>74.5</v>
      </c>
      <c r="K14" s="15">
        <f>J14*G36</f>
        <v>199512.49</v>
      </c>
      <c r="L14" s="15">
        <v>2.8</v>
      </c>
      <c r="M14" s="15">
        <v>24.7</v>
      </c>
      <c r="N14" s="15">
        <f>M14*H36</f>
        <v>73839.909</v>
      </c>
      <c r="O14" s="15">
        <v>158.5</v>
      </c>
      <c r="P14" s="15">
        <v>181.1</v>
      </c>
      <c r="Q14" s="15">
        <f>P14*H36</f>
        <v>541393.017</v>
      </c>
      <c r="R14" s="15">
        <f t="shared" si="0"/>
        <v>496.19999999999993</v>
      </c>
      <c r="S14" s="15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61" t="s">
        <v>38</v>
      </c>
      <c r="C15" s="462"/>
      <c r="D15" s="463"/>
      <c r="E15" s="79"/>
      <c r="F15" s="8">
        <v>619</v>
      </c>
      <c r="G15" s="57">
        <v>550.4</v>
      </c>
      <c r="H15" s="15">
        <f>G15*G36</f>
        <v>1473982.2079999999</v>
      </c>
      <c r="I15" s="15">
        <v>532.4</v>
      </c>
      <c r="J15" s="15">
        <v>193.1</v>
      </c>
      <c r="K15" s="15">
        <f>J15*G36</f>
        <v>517125.66199999995</v>
      </c>
      <c r="L15" s="15">
        <v>142.3</v>
      </c>
      <c r="M15" s="15">
        <v>65</v>
      </c>
      <c r="N15" s="15">
        <f>M15*H36</f>
        <v>194315.55</v>
      </c>
      <c r="O15" s="15">
        <v>646.5</v>
      </c>
      <c r="P15" s="15">
        <v>463.1</v>
      </c>
      <c r="Q15" s="15">
        <f>P15*H36</f>
        <v>1384423.557</v>
      </c>
      <c r="R15" s="15">
        <f t="shared" si="0"/>
        <v>1271.6</v>
      </c>
      <c r="S15" s="15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61" t="s">
        <v>39</v>
      </c>
      <c r="C16" s="462"/>
      <c r="D16" s="463"/>
      <c r="E16" s="79"/>
      <c r="F16" s="8">
        <v>277.52</v>
      </c>
      <c r="G16" s="57">
        <v>247.4</v>
      </c>
      <c r="H16" s="15">
        <f>G16*G36</f>
        <v>662542.148</v>
      </c>
      <c r="I16" s="15">
        <v>129</v>
      </c>
      <c r="J16" s="15">
        <v>80.4</v>
      </c>
      <c r="K16" s="15">
        <f>J16*G36</f>
        <v>215312.80800000002</v>
      </c>
      <c r="L16" s="15">
        <v>7.2</v>
      </c>
      <c r="M16" s="15">
        <v>24.7</v>
      </c>
      <c r="N16" s="15">
        <f>M16*H36</f>
        <v>73839.909</v>
      </c>
      <c r="O16" s="15">
        <v>182.6</v>
      </c>
      <c r="P16" s="15">
        <v>204.3</v>
      </c>
      <c r="Q16" s="15">
        <f>P16*H36</f>
        <v>610748.721</v>
      </c>
      <c r="R16" s="15">
        <f t="shared" si="0"/>
        <v>556.8</v>
      </c>
      <c r="S16" s="15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4">
        <v>3</v>
      </c>
      <c r="B17" s="458" t="s">
        <v>42</v>
      </c>
      <c r="C17" s="459"/>
      <c r="D17" s="460"/>
      <c r="E17" s="78"/>
      <c r="F17" s="8"/>
      <c r="G17" s="56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4">
        <v>4</v>
      </c>
      <c r="B18" s="458" t="s">
        <v>43</v>
      </c>
      <c r="C18" s="459"/>
      <c r="D18" s="460"/>
      <c r="E18" s="78"/>
      <c r="F18" s="8"/>
      <c r="G18" s="56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61" t="s">
        <v>44</v>
      </c>
      <c r="C19" s="462"/>
      <c r="D19" s="463"/>
      <c r="E19" s="79"/>
      <c r="F19" s="8"/>
      <c r="G19" s="57">
        <v>23.3</v>
      </c>
      <c r="H19" s="15">
        <f>G19*G36</f>
        <v>62397.866</v>
      </c>
      <c r="I19" s="15"/>
      <c r="J19" s="15">
        <v>7.5</v>
      </c>
      <c r="K19" s="15">
        <f>J19*G36</f>
        <v>20085.15</v>
      </c>
      <c r="L19" s="15"/>
      <c r="M19" s="15">
        <v>2.4</v>
      </c>
      <c r="N19" s="15">
        <f>M19*H36</f>
        <v>7174.727999999999</v>
      </c>
      <c r="O19" s="15"/>
      <c r="P19" s="15">
        <v>19.3</v>
      </c>
      <c r="Q19" s="15">
        <f>P19*H36</f>
        <v>57696.771</v>
      </c>
      <c r="R19" s="15">
        <f aca="true" t="shared" si="3" ref="R19:S21">G19+J19+M19+P19</f>
        <v>52.5</v>
      </c>
      <c r="S19" s="15">
        <f t="shared" si="3"/>
        <v>147354.515</v>
      </c>
      <c r="U19" s="11"/>
      <c r="V19" s="11"/>
      <c r="W19" s="12"/>
    </row>
    <row r="20" spans="1:23" ht="25.5" customHeight="1" hidden="1">
      <c r="A20" s="8"/>
      <c r="B20" s="461" t="s">
        <v>45</v>
      </c>
      <c r="C20" s="462"/>
      <c r="D20" s="463"/>
      <c r="E20" s="79"/>
      <c r="F20" s="8"/>
      <c r="G20" s="57">
        <v>2.4</v>
      </c>
      <c r="H20" s="15">
        <f>G20*G36</f>
        <v>6427.248</v>
      </c>
      <c r="I20" s="15"/>
      <c r="J20" s="15">
        <v>0.8</v>
      </c>
      <c r="K20" s="15">
        <f>J20*G36</f>
        <v>2142.416</v>
      </c>
      <c r="L20" s="15"/>
      <c r="M20" s="15">
        <v>0.2</v>
      </c>
      <c r="N20" s="15">
        <f>M20*H36</f>
        <v>597.894</v>
      </c>
      <c r="O20" s="15"/>
      <c r="P20" s="15">
        <v>2</v>
      </c>
      <c r="Q20" s="15">
        <f>P20*H36</f>
        <v>5978.94</v>
      </c>
      <c r="R20" s="15">
        <f t="shared" si="3"/>
        <v>5.4</v>
      </c>
      <c r="S20" s="15">
        <f t="shared" si="3"/>
        <v>15146.498</v>
      </c>
      <c r="U20" s="11"/>
      <c r="V20" s="11"/>
      <c r="W20" s="12"/>
    </row>
    <row r="21" spans="1:23" ht="26.25" customHeight="1" hidden="1">
      <c r="A21" s="8"/>
      <c r="B21" s="461" t="s">
        <v>46</v>
      </c>
      <c r="C21" s="462"/>
      <c r="D21" s="463"/>
      <c r="E21" s="79"/>
      <c r="F21" s="8"/>
      <c r="G21" s="57">
        <v>14.7</v>
      </c>
      <c r="H21" s="15">
        <f>G21*G36</f>
        <v>39366.894</v>
      </c>
      <c r="I21" s="15"/>
      <c r="J21" s="15">
        <v>4.9</v>
      </c>
      <c r="K21" s="15">
        <f>J21*G36</f>
        <v>13122.298</v>
      </c>
      <c r="L21" s="15"/>
      <c r="M21" s="15">
        <v>1.6</v>
      </c>
      <c r="N21" s="15">
        <f>M21*H36</f>
        <v>4783.152</v>
      </c>
      <c r="O21" s="15"/>
      <c r="P21" s="15">
        <v>12.2</v>
      </c>
      <c r="Q21" s="15">
        <f>P21*H36</f>
        <v>36471.53399999999</v>
      </c>
      <c r="R21" s="15">
        <f t="shared" si="3"/>
        <v>33.400000000000006</v>
      </c>
      <c r="S21" s="15">
        <f t="shared" si="3"/>
        <v>93743.878</v>
      </c>
      <c r="U21" s="11"/>
      <c r="V21" s="11"/>
      <c r="W21" s="12"/>
    </row>
    <row r="22" spans="1:23" ht="29.25" customHeight="1" hidden="1">
      <c r="A22" s="14">
        <v>5</v>
      </c>
      <c r="B22" s="458" t="s">
        <v>47</v>
      </c>
      <c r="C22" s="459"/>
      <c r="D22" s="460"/>
      <c r="E22" s="78"/>
      <c r="F22" s="8"/>
      <c r="G22" s="56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61" t="s">
        <v>48</v>
      </c>
      <c r="C23" s="462"/>
      <c r="D23" s="463"/>
      <c r="E23" s="79"/>
      <c r="F23" s="8"/>
      <c r="G23" s="57">
        <v>19.7</v>
      </c>
      <c r="H23" s="15">
        <f>G23*G36</f>
        <v>52756.994</v>
      </c>
      <c r="I23" s="15"/>
      <c r="J23" s="15">
        <v>6.7</v>
      </c>
      <c r="K23" s="15">
        <f>J23*G36</f>
        <v>17942.734</v>
      </c>
      <c r="L23" s="15"/>
      <c r="M23" s="15">
        <v>2.3</v>
      </c>
      <c r="N23" s="15">
        <f>M23*H36</f>
        <v>6875.780999999999</v>
      </c>
      <c r="O23" s="15"/>
      <c r="P23" s="15">
        <v>17.2</v>
      </c>
      <c r="Q23" s="15">
        <f>P23*H36</f>
        <v>51418.88399999999</v>
      </c>
      <c r="R23" s="15">
        <f aca="true" t="shared" si="4" ref="R23:S28">G23+J23+M23+P23</f>
        <v>45.9</v>
      </c>
      <c r="S23" s="15">
        <f t="shared" si="4"/>
        <v>128994.393</v>
      </c>
      <c r="U23" s="11"/>
      <c r="V23" s="11"/>
      <c r="W23" s="12"/>
    </row>
    <row r="24" spans="1:23" ht="28.5" customHeight="1" hidden="1">
      <c r="A24" s="8"/>
      <c r="B24" s="461" t="s">
        <v>49</v>
      </c>
      <c r="C24" s="462"/>
      <c r="D24" s="463"/>
      <c r="E24" s="79"/>
      <c r="F24" s="8"/>
      <c r="G24" s="57">
        <v>317.5</v>
      </c>
      <c r="H24" s="15">
        <f>G24*G36</f>
        <v>850271.35</v>
      </c>
      <c r="I24" s="15"/>
      <c r="J24" s="15">
        <v>111.7</v>
      </c>
      <c r="K24" s="15">
        <f>J24*G36</f>
        <v>299134.83400000003</v>
      </c>
      <c r="L24" s="15"/>
      <c r="M24" s="15">
        <v>5.7</v>
      </c>
      <c r="N24" s="15">
        <f>M24*H36</f>
        <v>17039.979</v>
      </c>
      <c r="O24" s="15"/>
      <c r="P24" s="15">
        <v>205.7</v>
      </c>
      <c r="Q24" s="15">
        <f>P24*H36</f>
        <v>614933.9789999999</v>
      </c>
      <c r="R24" s="15">
        <f t="shared" si="4"/>
        <v>640.5999999999999</v>
      </c>
      <c r="S24" s="15">
        <f t="shared" si="4"/>
        <v>1781380.142</v>
      </c>
      <c r="U24" s="11"/>
      <c r="V24" s="11"/>
      <c r="W24" s="12"/>
    </row>
    <row r="25" spans="1:23" ht="32.25" customHeight="1" hidden="1">
      <c r="A25" s="8"/>
      <c r="B25" s="461" t="s">
        <v>50</v>
      </c>
      <c r="C25" s="462"/>
      <c r="D25" s="463"/>
      <c r="E25" s="79"/>
      <c r="F25" s="8"/>
      <c r="G25" s="57">
        <v>88.5</v>
      </c>
      <c r="H25" s="15">
        <f>G25*G36</f>
        <v>237004.77</v>
      </c>
      <c r="I25" s="15"/>
      <c r="J25" s="15">
        <v>28.3</v>
      </c>
      <c r="K25" s="15">
        <f>J25*G36</f>
        <v>75787.966</v>
      </c>
      <c r="L25" s="15"/>
      <c r="M25" s="15">
        <v>4.8</v>
      </c>
      <c r="N25" s="15">
        <f>M25*H36</f>
        <v>14349.455999999998</v>
      </c>
      <c r="O25" s="15"/>
      <c r="P25" s="15">
        <v>76.4</v>
      </c>
      <c r="Q25" s="15">
        <f>P25*H36</f>
        <v>228395.508</v>
      </c>
      <c r="R25" s="15">
        <f t="shared" si="4"/>
        <v>198</v>
      </c>
      <c r="S25" s="15">
        <f t="shared" si="4"/>
        <v>555537.7</v>
      </c>
      <c r="U25" s="11"/>
      <c r="V25" s="11"/>
      <c r="W25" s="12"/>
    </row>
    <row r="26" spans="1:23" ht="28.5" customHeight="1" hidden="1">
      <c r="A26" s="8"/>
      <c r="B26" s="461" t="s">
        <v>40</v>
      </c>
      <c r="C26" s="462"/>
      <c r="D26" s="463"/>
      <c r="E26" s="79"/>
      <c r="F26" s="8">
        <v>112.1</v>
      </c>
      <c r="G26" s="57">
        <v>70.8</v>
      </c>
      <c r="H26" s="15">
        <f>G26*G36</f>
        <v>189603.816</v>
      </c>
      <c r="I26" s="15"/>
      <c r="J26" s="15">
        <v>33.6</v>
      </c>
      <c r="K26" s="15">
        <f>J26*G36</f>
        <v>89981.47200000001</v>
      </c>
      <c r="L26" s="15"/>
      <c r="M26" s="15">
        <v>6.8</v>
      </c>
      <c r="N26" s="15">
        <f>M26*H36</f>
        <v>20328.395999999997</v>
      </c>
      <c r="O26" s="15"/>
      <c r="P26" s="15">
        <v>40.5</v>
      </c>
      <c r="Q26" s="15">
        <f>P26*H36</f>
        <v>121073.53499999999</v>
      </c>
      <c r="R26" s="15">
        <f t="shared" si="4"/>
        <v>151.7</v>
      </c>
      <c r="S26" s="15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61" t="s">
        <v>51</v>
      </c>
      <c r="C27" s="462"/>
      <c r="D27" s="463"/>
      <c r="E27" s="79"/>
      <c r="F27" s="8">
        <v>87.8</v>
      </c>
      <c r="G27" s="57">
        <v>30.2</v>
      </c>
      <c r="H27" s="15">
        <f>G27*G36</f>
        <v>80876.204</v>
      </c>
      <c r="I27" s="15"/>
      <c r="J27" s="15">
        <v>9.6</v>
      </c>
      <c r="K27" s="15">
        <f>J27*G36</f>
        <v>25708.992</v>
      </c>
      <c r="L27" s="15"/>
      <c r="M27" s="15">
        <v>3.1</v>
      </c>
      <c r="N27" s="15">
        <f>M27*H36</f>
        <v>9267.357</v>
      </c>
      <c r="O27" s="15"/>
      <c r="P27" s="15">
        <v>25.9</v>
      </c>
      <c r="Q27" s="15">
        <f>P27*H36</f>
        <v>77427.27299999999</v>
      </c>
      <c r="R27" s="15">
        <f t="shared" si="4"/>
        <v>68.8</v>
      </c>
      <c r="S27" s="15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61" t="s">
        <v>52</v>
      </c>
      <c r="C28" s="462"/>
      <c r="D28" s="463"/>
      <c r="E28" s="79"/>
      <c r="F28" s="8">
        <v>331.5</v>
      </c>
      <c r="G28" s="57">
        <v>63</v>
      </c>
      <c r="H28" s="15">
        <f>G28*G36</f>
        <v>168715.26</v>
      </c>
      <c r="I28" s="15"/>
      <c r="J28" s="15">
        <v>27</v>
      </c>
      <c r="K28" s="15">
        <f>J28*G36</f>
        <v>72306.54</v>
      </c>
      <c r="L28" s="15"/>
      <c r="M28" s="15">
        <v>2.1</v>
      </c>
      <c r="N28" s="15">
        <f>M28*H36</f>
        <v>6277.887</v>
      </c>
      <c r="O28" s="15"/>
      <c r="P28" s="15">
        <v>42.2</v>
      </c>
      <c r="Q28" s="15">
        <f>P28*H36</f>
        <v>126155.634</v>
      </c>
      <c r="R28" s="15">
        <f t="shared" si="4"/>
        <v>134.3</v>
      </c>
      <c r="S28" s="15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4">
        <v>6</v>
      </c>
      <c r="B29" s="458" t="s">
        <v>53</v>
      </c>
      <c r="C29" s="459"/>
      <c r="D29" s="460"/>
      <c r="E29" s="78"/>
      <c r="F29" s="8"/>
      <c r="G29" s="56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61" t="s">
        <v>54</v>
      </c>
      <c r="C30" s="462"/>
      <c r="D30" s="463"/>
      <c r="E30" s="79"/>
      <c r="F30" s="8"/>
      <c r="G30" s="57">
        <v>87.6</v>
      </c>
      <c r="H30" s="15">
        <f>G30*G36</f>
        <v>234594.552</v>
      </c>
      <c r="I30" s="15"/>
      <c r="J30" s="15">
        <v>30.2</v>
      </c>
      <c r="K30" s="15">
        <f>J30*G36</f>
        <v>80876.204</v>
      </c>
      <c r="L30" s="15"/>
      <c r="M30" s="15">
        <v>10.1</v>
      </c>
      <c r="N30" s="15">
        <f>M30*H36</f>
        <v>30193.646999999997</v>
      </c>
      <c r="O30" s="15"/>
      <c r="P30" s="15">
        <v>73.6</v>
      </c>
      <c r="Q30" s="15">
        <f>P30*H36</f>
        <v>220024.99199999997</v>
      </c>
      <c r="R30" s="15">
        <f aca="true" t="shared" si="5" ref="R30:S32">G30+J30+M30+P30</f>
        <v>201.5</v>
      </c>
      <c r="S30" s="15">
        <f t="shared" si="5"/>
        <v>565689.395</v>
      </c>
      <c r="U30" s="11"/>
      <c r="V30" s="11"/>
      <c r="W30" s="12"/>
    </row>
    <row r="31" spans="1:23" ht="27" customHeight="1" hidden="1">
      <c r="A31" s="8"/>
      <c r="B31" s="461" t="s">
        <v>55</v>
      </c>
      <c r="C31" s="462"/>
      <c r="D31" s="463"/>
      <c r="E31" s="79"/>
      <c r="F31" s="8"/>
      <c r="G31" s="57">
        <v>137.2</v>
      </c>
      <c r="H31" s="15">
        <f>G31*G36</f>
        <v>367424.344</v>
      </c>
      <c r="I31" s="15"/>
      <c r="J31" s="15">
        <v>43.4</v>
      </c>
      <c r="K31" s="15">
        <f>J31*G36</f>
        <v>116226.068</v>
      </c>
      <c r="L31" s="15"/>
      <c r="M31" s="15">
        <v>13.1</v>
      </c>
      <c r="N31" s="15">
        <f>M31*H36</f>
        <v>39162.05699999999</v>
      </c>
      <c r="O31" s="15"/>
      <c r="P31" s="15">
        <v>112.8</v>
      </c>
      <c r="Q31" s="15">
        <f>P31*H36</f>
        <v>337212.21599999996</v>
      </c>
      <c r="R31" s="15">
        <f t="shared" si="5"/>
        <v>306.5</v>
      </c>
      <c r="S31" s="15">
        <f t="shared" si="5"/>
        <v>860024.6849999999</v>
      </c>
      <c r="U31" s="11"/>
      <c r="V31" s="11"/>
      <c r="W31" s="12"/>
    </row>
    <row r="32" spans="1:23" ht="27" customHeight="1" hidden="1">
      <c r="A32" s="14">
        <v>7</v>
      </c>
      <c r="B32" s="458" t="s">
        <v>56</v>
      </c>
      <c r="C32" s="459"/>
      <c r="D32" s="460"/>
      <c r="E32" s="78"/>
      <c r="F32" s="8"/>
      <c r="G32" s="56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64" t="s">
        <v>19</v>
      </c>
      <c r="C33" s="465"/>
      <c r="D33" s="466"/>
      <c r="E33" s="80"/>
      <c r="F33" s="14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19"/>
      <c r="V33" s="12"/>
      <c r="W33" s="12"/>
    </row>
    <row r="34" spans="1:23" ht="25.5" customHeight="1" hidden="1">
      <c r="A34" s="58"/>
      <c r="B34" s="467" t="s">
        <v>8</v>
      </c>
      <c r="C34" s="468"/>
      <c r="D34" s="469"/>
      <c r="E34" s="81"/>
      <c r="F34" s="396" t="s">
        <v>64</v>
      </c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8"/>
      <c r="U34" s="12"/>
      <c r="V34" s="12"/>
      <c r="W34" s="12"/>
    </row>
    <row r="35" spans="1:23" ht="15.75" customHeight="1" hidden="1">
      <c r="A35" s="21"/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U35" s="12"/>
      <c r="V35" s="12"/>
      <c r="W35" s="12"/>
    </row>
    <row r="36" spans="1:23" ht="28.5" customHeight="1" hidden="1">
      <c r="A36" s="24"/>
      <c r="B36" s="25"/>
      <c r="C36" s="25"/>
      <c r="D36" s="26"/>
      <c r="E36" s="26"/>
      <c r="F36" s="27" t="s">
        <v>11</v>
      </c>
      <c r="G36" s="3">
        <v>2678.02</v>
      </c>
      <c r="H36" s="4">
        <v>2989.47</v>
      </c>
      <c r="I36" s="27" t="s">
        <v>16</v>
      </c>
      <c r="J36" s="27"/>
      <c r="K36" s="27"/>
      <c r="L36" s="27"/>
      <c r="M36" s="27"/>
      <c r="N36" s="25"/>
      <c r="O36" s="28"/>
      <c r="P36" s="28"/>
      <c r="Q36" s="28"/>
      <c r="R36" s="28"/>
      <c r="S36" s="28"/>
      <c r="U36" s="12"/>
      <c r="V36" s="12"/>
      <c r="W36" s="12"/>
    </row>
    <row r="37" spans="1:23" ht="20.25" customHeight="1" hidden="1">
      <c r="A37" s="447" t="s">
        <v>67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U37" s="12"/>
      <c r="V37" s="12"/>
      <c r="W37" s="12"/>
    </row>
    <row r="38" spans="1:23" ht="19.5" customHeight="1" hidden="1">
      <c r="A38" s="449" t="s">
        <v>15</v>
      </c>
      <c r="B38" s="450" t="s">
        <v>0</v>
      </c>
      <c r="C38" s="451"/>
      <c r="D38" s="452"/>
      <c r="E38" s="72"/>
      <c r="F38" s="377" t="s">
        <v>1</v>
      </c>
      <c r="G38" s="377"/>
      <c r="H38" s="377"/>
      <c r="I38" s="377" t="s">
        <v>3</v>
      </c>
      <c r="J38" s="377"/>
      <c r="K38" s="377"/>
      <c r="L38" s="377" t="s">
        <v>4</v>
      </c>
      <c r="M38" s="377"/>
      <c r="N38" s="377"/>
      <c r="O38" s="377" t="s">
        <v>6</v>
      </c>
      <c r="P38" s="377"/>
      <c r="Q38" s="377"/>
      <c r="R38" s="377" t="s">
        <v>7</v>
      </c>
      <c r="S38" s="377"/>
      <c r="U38" s="12"/>
      <c r="V38" s="12"/>
      <c r="W38" s="12"/>
    </row>
    <row r="39" spans="1:23" ht="30" customHeight="1" hidden="1">
      <c r="A39" s="449"/>
      <c r="B39" s="453"/>
      <c r="C39" s="454"/>
      <c r="D39" s="455"/>
      <c r="E39" s="73"/>
      <c r="F39" s="75"/>
      <c r="G39" s="75" t="s">
        <v>9</v>
      </c>
      <c r="H39" s="75" t="s">
        <v>5</v>
      </c>
      <c r="I39" s="75" t="s">
        <v>9</v>
      </c>
      <c r="J39" s="75" t="s">
        <v>9</v>
      </c>
      <c r="K39" s="75" t="s">
        <v>5</v>
      </c>
      <c r="L39" s="75" t="s">
        <v>9</v>
      </c>
      <c r="M39" s="75" t="s">
        <v>9</v>
      </c>
      <c r="N39" s="75" t="s">
        <v>5</v>
      </c>
      <c r="O39" s="75" t="s">
        <v>9</v>
      </c>
      <c r="P39" s="75" t="s">
        <v>9</v>
      </c>
      <c r="Q39" s="75" t="s">
        <v>5</v>
      </c>
      <c r="R39" s="75" t="s">
        <v>9</v>
      </c>
      <c r="S39" s="75" t="s">
        <v>5</v>
      </c>
      <c r="U39" s="12"/>
      <c r="V39" s="12"/>
      <c r="W39" s="12"/>
    </row>
    <row r="40" spans="1:23" ht="30" customHeight="1" hidden="1">
      <c r="A40" s="30">
        <v>1</v>
      </c>
      <c r="B40" s="470" t="s">
        <v>33</v>
      </c>
      <c r="C40" s="471"/>
      <c r="D40" s="472"/>
      <c r="E40" s="82"/>
      <c r="F40" s="30">
        <v>1800</v>
      </c>
      <c r="G40" s="31">
        <v>1750</v>
      </c>
      <c r="H40" s="31">
        <f>G40*G65</f>
        <v>8792.7</v>
      </c>
      <c r="I40" s="31">
        <v>1200</v>
      </c>
      <c r="J40" s="31">
        <v>1750</v>
      </c>
      <c r="K40" s="31">
        <f>J40*G65</f>
        <v>8792.7</v>
      </c>
      <c r="L40" s="31">
        <v>1500</v>
      </c>
      <c r="M40" s="31">
        <v>1750</v>
      </c>
      <c r="N40" s="31">
        <f>M40*H65</f>
        <v>9759.75</v>
      </c>
      <c r="O40" s="31">
        <v>1500</v>
      </c>
      <c r="P40" s="31">
        <v>1751.1</v>
      </c>
      <c r="Q40" s="31">
        <f>P40*H65</f>
        <v>9765.884699999999</v>
      </c>
      <c r="R40" s="31">
        <f>G40+J40+M40+P40</f>
        <v>7001.1</v>
      </c>
      <c r="S40" s="31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4">
        <v>2</v>
      </c>
      <c r="B41" s="458" t="s">
        <v>41</v>
      </c>
      <c r="C41" s="459"/>
      <c r="D41" s="460"/>
      <c r="E41" s="78"/>
      <c r="F41" s="30"/>
      <c r="G41" s="31">
        <f>G42+G43+G44+G45+G46+G47</f>
        <v>181078</v>
      </c>
      <c r="H41" s="31">
        <f>H42+H43+H44+H45+H46+H47</f>
        <v>909808.3032000001</v>
      </c>
      <c r="I41" s="31"/>
      <c r="J41" s="31">
        <f>J42+J43+J44+J45+J46+J47</f>
        <v>182881</v>
      </c>
      <c r="K41" s="31">
        <f>K42+K43+K44+K45+K46+K47</f>
        <v>918867.2964000001</v>
      </c>
      <c r="L41" s="31"/>
      <c r="M41" s="31">
        <f>M42+M43+M44+M45+M46+M47</f>
        <v>167091</v>
      </c>
      <c r="N41" s="31">
        <f>N42+N43+N44+N45+N46+N47</f>
        <v>931866.507</v>
      </c>
      <c r="O41" s="31"/>
      <c r="P41" s="31">
        <f>P42+P43+P44+P45+P46+P47</f>
        <v>250747</v>
      </c>
      <c r="Q41" s="31">
        <f>Q42+Q43+Q44+Q45+Q46+Q47</f>
        <v>1398416.019</v>
      </c>
      <c r="R41" s="31">
        <f>R42+R43+R44+R45+R46+R47</f>
        <v>781797</v>
      </c>
      <c r="S41" s="31">
        <f>S42+S43+S44+S45+S46+S47</f>
        <v>4158958.1255999994</v>
      </c>
      <c r="U41" s="12"/>
      <c r="V41" s="11"/>
      <c r="W41" s="12"/>
    </row>
    <row r="42" spans="1:23" ht="33" customHeight="1" hidden="1">
      <c r="A42" s="14"/>
      <c r="B42" s="461" t="s">
        <v>34</v>
      </c>
      <c r="C42" s="462"/>
      <c r="D42" s="463"/>
      <c r="E42" s="79"/>
      <c r="F42" s="14">
        <v>53000</v>
      </c>
      <c r="G42" s="15">
        <v>40000</v>
      </c>
      <c r="H42" s="15">
        <f>G42*G65</f>
        <v>200976</v>
      </c>
      <c r="I42" s="15">
        <v>36000</v>
      </c>
      <c r="J42" s="15">
        <v>43500</v>
      </c>
      <c r="K42" s="15">
        <f>J42*G65</f>
        <v>218561.4</v>
      </c>
      <c r="L42" s="15">
        <v>24000</v>
      </c>
      <c r="M42" s="15">
        <v>25200</v>
      </c>
      <c r="N42" s="15">
        <f>M42*H65</f>
        <v>140540.4</v>
      </c>
      <c r="O42" s="15">
        <v>50000</v>
      </c>
      <c r="P42" s="15">
        <v>64000</v>
      </c>
      <c r="Q42" s="15">
        <f>P42*H65</f>
        <v>356928</v>
      </c>
      <c r="R42" s="15">
        <f aca="true" t="shared" si="7" ref="R42:S48">G42+J42+M42+P42</f>
        <v>172700</v>
      </c>
      <c r="S42" s="15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0"/>
      <c r="B43" s="473" t="s">
        <v>57</v>
      </c>
      <c r="C43" s="474"/>
      <c r="D43" s="475"/>
      <c r="E43" s="83"/>
      <c r="F43" s="30">
        <v>27000</v>
      </c>
      <c r="G43" s="33">
        <v>23250</v>
      </c>
      <c r="H43" s="33">
        <f>G43*G65</f>
        <v>116817.3</v>
      </c>
      <c r="I43" s="33">
        <v>17000</v>
      </c>
      <c r="J43" s="33">
        <v>17820</v>
      </c>
      <c r="K43" s="33">
        <f>J43*G65</f>
        <v>89534.808</v>
      </c>
      <c r="L43" s="33">
        <v>19000</v>
      </c>
      <c r="M43" s="33">
        <v>18549</v>
      </c>
      <c r="N43" s="33">
        <f>M43*H65</f>
        <v>103447.773</v>
      </c>
      <c r="O43" s="33">
        <v>41000</v>
      </c>
      <c r="P43" s="33">
        <v>35010</v>
      </c>
      <c r="Q43" s="33">
        <f>P43*H65</f>
        <v>195250.77</v>
      </c>
      <c r="R43" s="33">
        <f t="shared" si="7"/>
        <v>94629</v>
      </c>
      <c r="S43" s="33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4"/>
      <c r="B44" s="461" t="s">
        <v>36</v>
      </c>
      <c r="C44" s="462"/>
      <c r="D44" s="463"/>
      <c r="E44" s="79"/>
      <c r="F44" s="14">
        <v>70000</v>
      </c>
      <c r="G44" s="15">
        <v>29500</v>
      </c>
      <c r="H44" s="15">
        <f>G44*G65</f>
        <v>148219.8</v>
      </c>
      <c r="I44" s="15">
        <v>55000</v>
      </c>
      <c r="J44" s="15">
        <v>46750</v>
      </c>
      <c r="K44" s="15">
        <f>J44*G65</f>
        <v>234890.7</v>
      </c>
      <c r="L44" s="15">
        <v>45000</v>
      </c>
      <c r="M44" s="15">
        <v>38250</v>
      </c>
      <c r="N44" s="15">
        <f>M44*H65</f>
        <v>213320.25</v>
      </c>
      <c r="O44" s="15">
        <v>70000</v>
      </c>
      <c r="P44" s="15">
        <v>39500</v>
      </c>
      <c r="Q44" s="15">
        <f>P44*H65</f>
        <v>220291.5</v>
      </c>
      <c r="R44" s="15">
        <f t="shared" si="7"/>
        <v>154000</v>
      </c>
      <c r="S44" s="15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76" t="s">
        <v>37</v>
      </c>
      <c r="C45" s="476"/>
      <c r="D45" s="476"/>
      <c r="E45" s="84"/>
      <c r="F45" s="8">
        <v>17000</v>
      </c>
      <c r="G45" s="15">
        <v>49478</v>
      </c>
      <c r="H45" s="15">
        <f>G45*G65</f>
        <v>248597.2632</v>
      </c>
      <c r="I45" s="15">
        <v>14000</v>
      </c>
      <c r="J45" s="15">
        <v>40561</v>
      </c>
      <c r="K45" s="15">
        <f>J45*G65</f>
        <v>203794.68839999998</v>
      </c>
      <c r="L45" s="15">
        <v>13000</v>
      </c>
      <c r="M45" s="15">
        <v>34292</v>
      </c>
      <c r="N45" s="15">
        <f>M45*H65</f>
        <v>191246.484</v>
      </c>
      <c r="O45" s="15">
        <v>24000</v>
      </c>
      <c r="P45" s="15">
        <v>62737</v>
      </c>
      <c r="Q45" s="15">
        <f>P45*H65</f>
        <v>349884.249</v>
      </c>
      <c r="R45" s="15">
        <f t="shared" si="7"/>
        <v>187068</v>
      </c>
      <c r="S45" s="15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76" t="s">
        <v>38</v>
      </c>
      <c r="C46" s="476"/>
      <c r="D46" s="476"/>
      <c r="E46" s="84"/>
      <c r="F46" s="8">
        <v>31000</v>
      </c>
      <c r="G46" s="15">
        <v>29350</v>
      </c>
      <c r="H46" s="15">
        <f>G46*G65</f>
        <v>147466.13999999998</v>
      </c>
      <c r="I46" s="15">
        <v>27000</v>
      </c>
      <c r="J46" s="15">
        <v>25950</v>
      </c>
      <c r="K46" s="15">
        <f>J46*G65</f>
        <v>130383.18</v>
      </c>
      <c r="L46" s="15">
        <v>58000</v>
      </c>
      <c r="M46" s="15">
        <v>43300</v>
      </c>
      <c r="N46" s="15">
        <f>M46*H65</f>
        <v>241484.1</v>
      </c>
      <c r="O46" s="15">
        <v>44000</v>
      </c>
      <c r="P46" s="15">
        <v>37400</v>
      </c>
      <c r="Q46" s="15">
        <f>P46*H65</f>
        <v>208579.8</v>
      </c>
      <c r="R46" s="15">
        <f t="shared" si="7"/>
        <v>136000</v>
      </c>
      <c r="S46" s="15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76" t="s">
        <v>39</v>
      </c>
      <c r="C47" s="476"/>
      <c r="D47" s="476"/>
      <c r="E47" s="84"/>
      <c r="F47" s="8">
        <v>8000</v>
      </c>
      <c r="G47" s="15">
        <v>9500</v>
      </c>
      <c r="H47" s="15">
        <f>G47*G65</f>
        <v>47731.8</v>
      </c>
      <c r="I47" s="15">
        <v>12000</v>
      </c>
      <c r="J47" s="15">
        <v>8300</v>
      </c>
      <c r="K47" s="15">
        <f>J47*G65</f>
        <v>41702.52</v>
      </c>
      <c r="L47" s="15">
        <v>9000</v>
      </c>
      <c r="M47" s="15">
        <v>7500</v>
      </c>
      <c r="N47" s="15">
        <f>M47*H65</f>
        <v>41827.5</v>
      </c>
      <c r="O47" s="15">
        <v>15000</v>
      </c>
      <c r="P47" s="15">
        <v>12100</v>
      </c>
      <c r="Q47" s="15">
        <f>P47*H65</f>
        <v>67481.7</v>
      </c>
      <c r="R47" s="15">
        <f t="shared" si="7"/>
        <v>37400</v>
      </c>
      <c r="S47" s="15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4">
        <v>3</v>
      </c>
      <c r="B48" s="458" t="s">
        <v>42</v>
      </c>
      <c r="C48" s="459"/>
      <c r="D48" s="460"/>
      <c r="E48" s="78"/>
      <c r="F48" s="14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4">
        <v>4</v>
      </c>
      <c r="B49" s="458" t="s">
        <v>43</v>
      </c>
      <c r="C49" s="459"/>
      <c r="D49" s="460"/>
      <c r="E49" s="78"/>
      <c r="F49" s="14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61" t="s">
        <v>44</v>
      </c>
      <c r="C50" s="462"/>
      <c r="D50" s="463"/>
      <c r="E50" s="79"/>
      <c r="F50" s="8"/>
      <c r="G50" s="15">
        <v>5264</v>
      </c>
      <c r="H50" s="15">
        <f>G50*G65</f>
        <v>26448.4416</v>
      </c>
      <c r="I50" s="15"/>
      <c r="J50" s="15">
        <v>3510</v>
      </c>
      <c r="K50" s="15">
        <f>J50*G65</f>
        <v>17635.644</v>
      </c>
      <c r="L50" s="15"/>
      <c r="M50" s="15">
        <v>3510</v>
      </c>
      <c r="N50" s="15">
        <f>M50*H65</f>
        <v>19575.27</v>
      </c>
      <c r="O50" s="15"/>
      <c r="P50" s="15">
        <v>5264</v>
      </c>
      <c r="Q50" s="15">
        <f>P50*H65</f>
        <v>29357.328</v>
      </c>
      <c r="R50" s="15">
        <f aca="true" t="shared" si="11" ref="R50:S52">G50+J50+M50+P50</f>
        <v>17548</v>
      </c>
      <c r="S50" s="15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61" t="s">
        <v>58</v>
      </c>
      <c r="C51" s="462"/>
      <c r="D51" s="463"/>
      <c r="E51" s="79"/>
      <c r="F51" s="8">
        <v>29400</v>
      </c>
      <c r="G51" s="15">
        <v>23198</v>
      </c>
      <c r="H51" s="15">
        <f>G51*G65</f>
        <v>116556.0312</v>
      </c>
      <c r="I51" s="15"/>
      <c r="J51" s="15">
        <v>15465</v>
      </c>
      <c r="K51" s="15">
        <f>J51*G65</f>
        <v>77702.346</v>
      </c>
      <c r="L51" s="15"/>
      <c r="M51" s="15">
        <v>15465</v>
      </c>
      <c r="N51" s="15">
        <f>M51*H65</f>
        <v>86248.305</v>
      </c>
      <c r="O51" s="15"/>
      <c r="P51" s="15">
        <v>23198</v>
      </c>
      <c r="Q51" s="15">
        <f>P51*H65</f>
        <v>129375.246</v>
      </c>
      <c r="R51" s="15">
        <f t="shared" si="11"/>
        <v>77326</v>
      </c>
      <c r="S51" s="15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61" t="s">
        <v>59</v>
      </c>
      <c r="C52" s="462"/>
      <c r="D52" s="463"/>
      <c r="E52" s="79"/>
      <c r="F52" s="8"/>
      <c r="G52" s="15">
        <v>5237</v>
      </c>
      <c r="H52" s="15">
        <f>G52*G65</f>
        <v>26312.7828</v>
      </c>
      <c r="I52" s="15"/>
      <c r="J52" s="15">
        <v>3491</v>
      </c>
      <c r="K52" s="15">
        <f>J52*G65</f>
        <v>17540.1804</v>
      </c>
      <c r="L52" s="15"/>
      <c r="M52" s="15">
        <v>3491</v>
      </c>
      <c r="N52" s="15">
        <f>M52*H65</f>
        <v>19469.307</v>
      </c>
      <c r="O52" s="15"/>
      <c r="P52" s="15">
        <v>5237</v>
      </c>
      <c r="Q52" s="15">
        <f>P52*H65</f>
        <v>29206.749</v>
      </c>
      <c r="R52" s="15">
        <f t="shared" si="11"/>
        <v>17456</v>
      </c>
      <c r="S52" s="15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4">
        <v>5</v>
      </c>
      <c r="B53" s="458" t="s">
        <v>47</v>
      </c>
      <c r="C53" s="459"/>
      <c r="D53" s="460"/>
      <c r="E53" s="78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61" t="s">
        <v>48</v>
      </c>
      <c r="C54" s="462"/>
      <c r="D54" s="463"/>
      <c r="E54" s="79"/>
      <c r="F54" s="8"/>
      <c r="G54" s="15">
        <v>3093</v>
      </c>
      <c r="H54" s="35">
        <f>G54*G65</f>
        <v>15540.4692</v>
      </c>
      <c r="I54" s="15"/>
      <c r="J54" s="15">
        <v>2715</v>
      </c>
      <c r="K54" s="15">
        <f>J54*G65</f>
        <v>13641.246</v>
      </c>
      <c r="L54" s="15"/>
      <c r="M54" s="15">
        <v>2752</v>
      </c>
      <c r="N54" s="15">
        <f>M54*H65</f>
        <v>15347.904</v>
      </c>
      <c r="O54" s="15"/>
      <c r="P54" s="15">
        <v>2588</v>
      </c>
      <c r="Q54" s="15">
        <f>P54*H65</f>
        <v>14433.276</v>
      </c>
      <c r="R54" s="15">
        <f aca="true" t="shared" si="12" ref="R54:S59">G54+J54+M54+P54</f>
        <v>11148</v>
      </c>
      <c r="S54" s="15">
        <f t="shared" si="12"/>
        <v>58962.8952</v>
      </c>
      <c r="U54" s="12"/>
      <c r="V54" s="11"/>
      <c r="W54" s="12"/>
    </row>
    <row r="55" spans="1:23" ht="27" customHeight="1" hidden="1">
      <c r="A55" s="8"/>
      <c r="B55" s="461" t="s">
        <v>49</v>
      </c>
      <c r="C55" s="462"/>
      <c r="D55" s="463"/>
      <c r="E55" s="79"/>
      <c r="F55" s="8"/>
      <c r="G55" s="15">
        <v>5045</v>
      </c>
      <c r="H55" s="15">
        <f>G55*G65</f>
        <v>25348.097999999998</v>
      </c>
      <c r="I55" s="15"/>
      <c r="J55" s="15">
        <v>3390</v>
      </c>
      <c r="K55" s="15">
        <f>J55*G65</f>
        <v>17032.716</v>
      </c>
      <c r="L55" s="15"/>
      <c r="M55" s="15">
        <v>5675</v>
      </c>
      <c r="N55" s="15">
        <f>M55*H65</f>
        <v>31649.475</v>
      </c>
      <c r="O55" s="15"/>
      <c r="P55" s="15">
        <v>6890</v>
      </c>
      <c r="Q55" s="15">
        <f>P55*H65</f>
        <v>38425.53</v>
      </c>
      <c r="R55" s="15">
        <f t="shared" si="12"/>
        <v>21000</v>
      </c>
      <c r="S55" s="15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61" t="s">
        <v>50</v>
      </c>
      <c r="C56" s="462"/>
      <c r="D56" s="463"/>
      <c r="E56" s="79"/>
      <c r="F56" s="8"/>
      <c r="G56" s="15">
        <v>5253</v>
      </c>
      <c r="H56" s="15">
        <f>G56*G65</f>
        <v>26393.1732</v>
      </c>
      <c r="I56" s="15"/>
      <c r="J56" s="15">
        <v>5294</v>
      </c>
      <c r="K56" s="15">
        <f>J56*G65</f>
        <v>26599.1736</v>
      </c>
      <c r="L56" s="15"/>
      <c r="M56" s="15">
        <v>7570</v>
      </c>
      <c r="N56" s="15">
        <f>M56*H65</f>
        <v>42217.89</v>
      </c>
      <c r="O56" s="15"/>
      <c r="P56" s="15">
        <v>4038</v>
      </c>
      <c r="Q56" s="15">
        <f>P56*H65</f>
        <v>22519.926</v>
      </c>
      <c r="R56" s="15">
        <f t="shared" si="12"/>
        <v>22155</v>
      </c>
      <c r="S56" s="15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76" t="s">
        <v>40</v>
      </c>
      <c r="C57" s="476"/>
      <c r="D57" s="476"/>
      <c r="E57" s="84"/>
      <c r="F57" s="8"/>
      <c r="G57" s="15">
        <v>3278</v>
      </c>
      <c r="H57" s="15">
        <f>G57*G65</f>
        <v>16469.9832</v>
      </c>
      <c r="I57" s="15"/>
      <c r="J57" s="15">
        <v>2211</v>
      </c>
      <c r="K57" s="15">
        <f>J57*G65</f>
        <v>11108.9484</v>
      </c>
      <c r="L57" s="15"/>
      <c r="M57" s="15">
        <v>2959</v>
      </c>
      <c r="N57" s="15">
        <f>M57*H65</f>
        <v>16502.343</v>
      </c>
      <c r="O57" s="15"/>
      <c r="P57" s="15">
        <v>3696</v>
      </c>
      <c r="Q57" s="15">
        <f>P57*H65</f>
        <v>20612.592</v>
      </c>
      <c r="R57" s="15">
        <f t="shared" si="12"/>
        <v>12144</v>
      </c>
      <c r="S57" s="15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76" t="s">
        <v>51</v>
      </c>
      <c r="C58" s="476"/>
      <c r="D58" s="476"/>
      <c r="E58" s="84"/>
      <c r="F58" s="8"/>
      <c r="G58" s="15">
        <v>1865</v>
      </c>
      <c r="H58" s="15">
        <f>G58*G65</f>
        <v>9370.506</v>
      </c>
      <c r="I58" s="15"/>
      <c r="J58" s="15">
        <v>1775</v>
      </c>
      <c r="K58" s="15">
        <f>J58*G65</f>
        <v>8918.31</v>
      </c>
      <c r="L58" s="15"/>
      <c r="M58" s="15">
        <v>1145</v>
      </c>
      <c r="N58" s="15">
        <f>M58*H65</f>
        <v>6385.665</v>
      </c>
      <c r="O58" s="15"/>
      <c r="P58" s="15">
        <v>1875</v>
      </c>
      <c r="Q58" s="15">
        <f>P58*H65</f>
        <v>10456.875</v>
      </c>
      <c r="R58" s="15">
        <f t="shared" si="12"/>
        <v>6660</v>
      </c>
      <c r="S58" s="15">
        <f t="shared" si="12"/>
        <v>35131.356</v>
      </c>
      <c r="U58" s="12"/>
      <c r="V58" s="11"/>
      <c r="W58" s="12"/>
    </row>
    <row r="59" spans="1:23" ht="27" customHeight="1" hidden="1">
      <c r="A59" s="8"/>
      <c r="B59" s="476" t="s">
        <v>52</v>
      </c>
      <c r="C59" s="476"/>
      <c r="D59" s="476"/>
      <c r="E59" s="84"/>
      <c r="F59" s="8"/>
      <c r="G59" s="15">
        <v>4050</v>
      </c>
      <c r="H59" s="15">
        <f>G59*G65</f>
        <v>20348.82</v>
      </c>
      <c r="I59" s="15"/>
      <c r="J59" s="15">
        <v>4050</v>
      </c>
      <c r="K59" s="15">
        <f>J59*G65</f>
        <v>20348.82</v>
      </c>
      <c r="L59" s="15"/>
      <c r="M59" s="15">
        <v>3950</v>
      </c>
      <c r="N59" s="15">
        <f>M59*H65</f>
        <v>22029.15</v>
      </c>
      <c r="O59" s="15"/>
      <c r="P59" s="15">
        <v>4050</v>
      </c>
      <c r="Q59" s="15">
        <f>P59*H65</f>
        <v>22586.85</v>
      </c>
      <c r="R59" s="15">
        <f t="shared" si="12"/>
        <v>16100</v>
      </c>
      <c r="S59" s="15">
        <f t="shared" si="12"/>
        <v>85313.64</v>
      </c>
      <c r="U59" s="12"/>
      <c r="V59" s="11"/>
      <c r="W59" s="12"/>
    </row>
    <row r="60" spans="1:23" ht="27" customHeight="1" hidden="1">
      <c r="A60" s="14">
        <v>6</v>
      </c>
      <c r="B60" s="458" t="s">
        <v>53</v>
      </c>
      <c r="C60" s="459"/>
      <c r="D60" s="460"/>
      <c r="E60" s="78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61" t="s">
        <v>54</v>
      </c>
      <c r="C61" s="462"/>
      <c r="D61" s="463"/>
      <c r="E61" s="79"/>
      <c r="F61" s="8"/>
      <c r="G61" s="15">
        <v>7650</v>
      </c>
      <c r="H61" s="15">
        <f>G61*G65</f>
        <v>38436.659999999996</v>
      </c>
      <c r="I61" s="15"/>
      <c r="J61" s="15">
        <v>10200</v>
      </c>
      <c r="K61" s="15">
        <f>J61*G65</f>
        <v>51248.88</v>
      </c>
      <c r="L61" s="15"/>
      <c r="M61" s="15">
        <v>7650</v>
      </c>
      <c r="N61" s="15">
        <f>M61*H65</f>
        <v>42664.05</v>
      </c>
      <c r="O61" s="15"/>
      <c r="P61" s="15">
        <v>13600</v>
      </c>
      <c r="Q61" s="15">
        <f>P61*H65</f>
        <v>75847.2</v>
      </c>
      <c r="R61" s="15">
        <f>G61+J61+M61+P61</f>
        <v>39100</v>
      </c>
      <c r="S61" s="15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61" t="s">
        <v>55</v>
      </c>
      <c r="C62" s="462"/>
      <c r="D62" s="463"/>
      <c r="E62" s="79"/>
      <c r="F62" s="8"/>
      <c r="G62" s="15">
        <v>52475.76</v>
      </c>
      <c r="H62" s="15">
        <f>G62*G65</f>
        <v>263659.208544</v>
      </c>
      <c r="I62" s="15"/>
      <c r="J62" s="15">
        <v>23227</v>
      </c>
      <c r="K62" s="15">
        <f>J62*G65</f>
        <v>116701.7388</v>
      </c>
      <c r="L62" s="15"/>
      <c r="M62" s="15">
        <v>19391.07</v>
      </c>
      <c r="N62" s="15">
        <f>M62*H65</f>
        <v>108143.99739</v>
      </c>
      <c r="O62" s="15"/>
      <c r="P62" s="15">
        <v>60863</v>
      </c>
      <c r="Q62" s="15">
        <f>P62*H65</f>
        <v>339432.951</v>
      </c>
      <c r="R62" s="15">
        <f>G62+J62+M62+P62</f>
        <v>155956.83000000002</v>
      </c>
      <c r="S62" s="15">
        <f>H62+K62+N62+Q62</f>
        <v>827937.895734</v>
      </c>
      <c r="U62" s="12"/>
      <c r="V62" s="11"/>
      <c r="W62" s="12"/>
    </row>
    <row r="63" spans="1:23" ht="30" customHeight="1" hidden="1">
      <c r="A63" s="8"/>
      <c r="B63" s="477" t="s">
        <v>19</v>
      </c>
      <c r="C63" s="477"/>
      <c r="D63" s="477"/>
      <c r="E63" s="85"/>
      <c r="F63" s="14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6"/>
      <c r="V63" s="12"/>
      <c r="W63" s="12"/>
    </row>
    <row r="64" spans="1:23" ht="50.25" customHeight="1" hidden="1">
      <c r="A64" s="53"/>
      <c r="B64" s="478" t="s">
        <v>8</v>
      </c>
      <c r="C64" s="478"/>
      <c r="D64" s="478"/>
      <c r="E64" s="88"/>
      <c r="F64" s="396" t="s">
        <v>68</v>
      </c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8"/>
      <c r="U64" s="12"/>
      <c r="V64" s="12"/>
      <c r="W64" s="12"/>
    </row>
    <row r="65" spans="1:23" ht="32.25" customHeight="1" hidden="1">
      <c r="A65" s="46"/>
      <c r="B65" s="46"/>
      <c r="C65" s="46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2"/>
      <c r="L65" s="42"/>
      <c r="M65" s="42"/>
      <c r="N65" s="46"/>
      <c r="O65" s="46"/>
      <c r="P65" s="46"/>
      <c r="Q65" s="55"/>
      <c r="R65" s="55"/>
      <c r="S65" s="46"/>
      <c r="U65" s="12"/>
      <c r="V65" s="12"/>
      <c r="W65" s="12"/>
    </row>
    <row r="66" spans="1:23" ht="33.75" customHeight="1" hidden="1">
      <c r="A66" s="46"/>
      <c r="B66" s="46"/>
      <c r="C66" s="46"/>
      <c r="D66" s="5" t="s">
        <v>65</v>
      </c>
      <c r="E66" s="5"/>
      <c r="F66" s="5"/>
      <c r="G66" s="5"/>
      <c r="H66" s="5"/>
      <c r="I66" s="6"/>
      <c r="J66" s="6"/>
      <c r="K66" s="42"/>
      <c r="L66" s="42"/>
      <c r="M66" s="42"/>
      <c r="N66" s="46"/>
      <c r="O66" s="46"/>
      <c r="P66" s="46"/>
      <c r="Q66" s="479"/>
      <c r="R66" s="479"/>
      <c r="S66" s="479"/>
      <c r="U66" s="12"/>
      <c r="V66" s="12"/>
      <c r="W66" s="12"/>
    </row>
    <row r="67" spans="1:23" ht="47.25" customHeight="1">
      <c r="A67" s="447" t="s">
        <v>87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U67" s="12"/>
      <c r="V67" s="12"/>
      <c r="W67" s="12"/>
    </row>
    <row r="68" spans="1:23" ht="27.75" customHeight="1">
      <c r="A68" s="449" t="s">
        <v>15</v>
      </c>
      <c r="B68" s="450" t="s">
        <v>0</v>
      </c>
      <c r="C68" s="451"/>
      <c r="D68" s="452"/>
      <c r="E68" s="486" t="s">
        <v>69</v>
      </c>
      <c r="F68" s="377" t="s">
        <v>1</v>
      </c>
      <c r="G68" s="377"/>
      <c r="H68" s="377"/>
      <c r="I68" s="377" t="s">
        <v>3</v>
      </c>
      <c r="J68" s="377"/>
      <c r="K68" s="377"/>
      <c r="L68" s="377" t="s">
        <v>4</v>
      </c>
      <c r="M68" s="377"/>
      <c r="N68" s="377"/>
      <c r="O68" s="377" t="s">
        <v>6</v>
      </c>
      <c r="P68" s="377"/>
      <c r="Q68" s="377"/>
      <c r="R68" s="377" t="s">
        <v>7</v>
      </c>
      <c r="S68" s="377"/>
      <c r="U68" s="12"/>
      <c r="V68" s="12"/>
      <c r="W68" s="12"/>
    </row>
    <row r="69" spans="1:23" ht="47.25" customHeight="1">
      <c r="A69" s="449"/>
      <c r="B69" s="453"/>
      <c r="C69" s="454"/>
      <c r="D69" s="455"/>
      <c r="E69" s="487"/>
      <c r="F69" s="75"/>
      <c r="G69" s="75"/>
      <c r="H69" s="75" t="s">
        <v>5</v>
      </c>
      <c r="I69" s="75" t="s">
        <v>10</v>
      </c>
      <c r="J69" s="75"/>
      <c r="K69" s="75" t="s">
        <v>5</v>
      </c>
      <c r="L69" s="75" t="s">
        <v>10</v>
      </c>
      <c r="M69" s="75"/>
      <c r="N69" s="75" t="s">
        <v>5</v>
      </c>
      <c r="O69" s="75" t="s">
        <v>10</v>
      </c>
      <c r="P69" s="75"/>
      <c r="Q69" s="75" t="s">
        <v>5</v>
      </c>
      <c r="R69" s="75" t="s">
        <v>10</v>
      </c>
      <c r="S69" s="7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480" t="s">
        <v>33</v>
      </c>
      <c r="C70" s="481"/>
      <c r="D70" s="482"/>
      <c r="E70" s="92" t="s">
        <v>84</v>
      </c>
      <c r="F70" s="91">
        <v>0</v>
      </c>
      <c r="G70" s="93"/>
      <c r="H70" s="93">
        <f>H71+H72</f>
        <v>2583.846</v>
      </c>
      <c r="I70" s="93"/>
      <c r="J70" s="93"/>
      <c r="K70" s="93">
        <f>K71+K72</f>
        <v>2139.8157</v>
      </c>
      <c r="L70" s="93"/>
      <c r="M70" s="93"/>
      <c r="N70" s="93">
        <f>N71+N72</f>
        <v>2439.5676</v>
      </c>
      <c r="O70" s="93"/>
      <c r="P70" s="93"/>
      <c r="Q70" s="93">
        <f>Q71+Q72</f>
        <v>3659.3514000000005</v>
      </c>
      <c r="R70" s="93"/>
      <c r="S70" s="93">
        <f>S71+S72</f>
        <v>10822.580699999999</v>
      </c>
      <c r="T70" s="94"/>
      <c r="U70" s="95">
        <f>37.94*P70</f>
        <v>0</v>
      </c>
      <c r="V70" s="96">
        <f>H70+K70+N70+Q70</f>
        <v>10822.580700000002</v>
      </c>
      <c r="W70" s="95">
        <f>G70+J70+M70+P70</f>
        <v>0</v>
      </c>
    </row>
    <row r="71" spans="1:23" ht="29.25" customHeight="1">
      <c r="A71" s="14"/>
      <c r="B71" s="488"/>
      <c r="C71" s="489"/>
      <c r="D71" s="490"/>
      <c r="E71" s="87" t="s">
        <v>70</v>
      </c>
      <c r="F71" s="8"/>
      <c r="G71" s="231">
        <v>7</v>
      </c>
      <c r="H71" s="231">
        <f>G71*H145</f>
        <v>253.32999999999998</v>
      </c>
      <c r="I71" s="231"/>
      <c r="J71" s="231">
        <v>6</v>
      </c>
      <c r="K71" s="231">
        <f>J71*H145</f>
        <v>217.14</v>
      </c>
      <c r="L71" s="231"/>
      <c r="M71" s="231">
        <v>6</v>
      </c>
      <c r="N71" s="231">
        <f>M71*J145</f>
        <v>228.84</v>
      </c>
      <c r="O71" s="231"/>
      <c r="P71" s="231">
        <v>9</v>
      </c>
      <c r="Q71" s="231">
        <f>P71*J145</f>
        <v>343.26</v>
      </c>
      <c r="R71" s="231">
        <f>G71+J71+M71+P71</f>
        <v>28</v>
      </c>
      <c r="S71" s="231">
        <f>H71+K71+N71+Q71</f>
        <v>1042.57</v>
      </c>
      <c r="U71" s="12"/>
      <c r="V71" s="11"/>
      <c r="W71" s="12"/>
    </row>
    <row r="72" spans="1:23" ht="29.25" customHeight="1">
      <c r="A72" s="14"/>
      <c r="B72" s="488"/>
      <c r="C72" s="489"/>
      <c r="D72" s="490"/>
      <c r="E72" s="87" t="s">
        <v>2</v>
      </c>
      <c r="F72" s="8"/>
      <c r="G72" s="231">
        <v>0.4</v>
      </c>
      <c r="H72" s="231">
        <f>G72*H147</f>
        <v>2330.516</v>
      </c>
      <c r="I72" s="231"/>
      <c r="J72" s="231">
        <v>0.33</v>
      </c>
      <c r="K72" s="231">
        <f>J72*H147</f>
        <v>1922.6757</v>
      </c>
      <c r="L72" s="231"/>
      <c r="M72" s="231">
        <v>0.36</v>
      </c>
      <c r="N72" s="231">
        <f>M72*J147</f>
        <v>2210.7275999999997</v>
      </c>
      <c r="O72" s="231"/>
      <c r="P72" s="231">
        <v>0.54</v>
      </c>
      <c r="Q72" s="231">
        <f>P72*J148</f>
        <v>3316.0914000000002</v>
      </c>
      <c r="R72" s="231">
        <f>G72+J72+M72+P72</f>
        <v>1.63</v>
      </c>
      <c r="S72" s="231">
        <f>H72+K72+N72+Q72</f>
        <v>9780.010699999999</v>
      </c>
      <c r="U72" s="12"/>
      <c r="V72" s="11"/>
      <c r="W72" s="12"/>
    </row>
    <row r="73" spans="1:23" s="97" customFormat="1" ht="45" customHeight="1">
      <c r="A73" s="91">
        <v>2</v>
      </c>
      <c r="B73" s="480" t="s">
        <v>74</v>
      </c>
      <c r="C73" s="481"/>
      <c r="D73" s="482"/>
      <c r="E73" s="92" t="s">
        <v>84</v>
      </c>
      <c r="F73" s="98"/>
      <c r="G73" s="93"/>
      <c r="H73" s="93">
        <f>H76+H79+H82+H85+H88+H91</f>
        <v>418155.81759999995</v>
      </c>
      <c r="I73" s="93"/>
      <c r="J73" s="93"/>
      <c r="K73" s="93">
        <f>K76+K79+K82+K85+K88+K91</f>
        <v>447475.47239999997</v>
      </c>
      <c r="L73" s="93"/>
      <c r="M73" s="93"/>
      <c r="N73" s="93">
        <f>N76+N79+N82+N85+N88+N91</f>
        <v>328405.1614</v>
      </c>
      <c r="O73" s="93"/>
      <c r="P73" s="93"/>
      <c r="Q73" s="93">
        <f>Q76+Q79+Q82+Q85+Q88+Q91</f>
        <v>539088.3309</v>
      </c>
      <c r="R73" s="93"/>
      <c r="S73" s="93">
        <f>S76+S79+S82+S85+S88+S91</f>
        <v>1733124.7823</v>
      </c>
      <c r="T73" s="94"/>
      <c r="U73" s="95"/>
      <c r="V73" s="96"/>
      <c r="W73" s="95"/>
    </row>
    <row r="74" spans="1:23" ht="45" customHeight="1">
      <c r="A74" s="14"/>
      <c r="B74" s="76"/>
      <c r="C74" s="77"/>
      <c r="D74" s="78"/>
      <c r="E74" s="86" t="s">
        <v>70</v>
      </c>
      <c r="F74" s="8"/>
      <c r="G74" s="59">
        <f>G77+G80+G83+G86+G89+G92</f>
        <v>1122</v>
      </c>
      <c r="H74" s="59">
        <f>H77+H80+H83+H86+H89+H92</f>
        <v>48535.97999999999</v>
      </c>
      <c r="I74" s="59"/>
      <c r="J74" s="59">
        <f>J77+J80+J83+J86+J89+J92</f>
        <v>1208</v>
      </c>
      <c r="K74" s="59">
        <f>K77+K80+K83+K86+K89+K92</f>
        <v>53851.32</v>
      </c>
      <c r="L74" s="59"/>
      <c r="M74" s="59">
        <f>M77+M80+M83+M86+M89+M92</f>
        <v>796</v>
      </c>
      <c r="N74" s="59">
        <f>N77+N80+N83+N86+N89+N92</f>
        <v>36466.299999999996</v>
      </c>
      <c r="O74" s="59"/>
      <c r="P74" s="59">
        <f>P77+P80+P83+P86+P89+P92</f>
        <v>1293</v>
      </c>
      <c r="Q74" s="59">
        <f>Q77+Q80+Q83+Q86+Q89+Q92</f>
        <v>60158.76</v>
      </c>
      <c r="R74" s="59">
        <f>G74+J74+M74+P74</f>
        <v>4419</v>
      </c>
      <c r="S74" s="59">
        <f>H74+K74+N74+Q74</f>
        <v>199012.36</v>
      </c>
      <c r="U74" s="12"/>
      <c r="V74" s="11"/>
      <c r="W74" s="12"/>
    </row>
    <row r="75" spans="1:23" ht="45" customHeight="1">
      <c r="A75" s="14"/>
      <c r="B75" s="483"/>
      <c r="C75" s="484"/>
      <c r="D75" s="485"/>
      <c r="E75" s="86" t="s">
        <v>2</v>
      </c>
      <c r="F75" s="8"/>
      <c r="G75" s="59">
        <f>G78+G81+G84+G87+G90+G93</f>
        <v>63.440000000000005</v>
      </c>
      <c r="H75" s="59">
        <f>H78+H81+H84+H87+H90+H93</f>
        <v>369619.83759999997</v>
      </c>
      <c r="I75" s="59"/>
      <c r="J75" s="59">
        <f>J78+J81+J84+J87+J90+J93</f>
        <v>67.56</v>
      </c>
      <c r="K75" s="59">
        <f>K78+K81+K84+K87+K90+K93</f>
        <v>393624.1524</v>
      </c>
      <c r="L75" s="59"/>
      <c r="M75" s="59">
        <f>M78+M81+M84+M87+M90+M93</f>
        <v>47.54</v>
      </c>
      <c r="N75" s="59">
        <f>N78+N81+N84+N87+N90+N93</f>
        <v>291938.8614</v>
      </c>
      <c r="O75" s="59"/>
      <c r="P75" s="59">
        <f>P78+P81+P84+P87+P90+P93</f>
        <v>77.99000000000001</v>
      </c>
      <c r="Q75" s="59">
        <f>Q78+Q81+Q84+Q87+Q90+Q93</f>
        <v>478929.5709</v>
      </c>
      <c r="R75" s="59">
        <f>G75+J75+M75+P75</f>
        <v>256.53</v>
      </c>
      <c r="S75" s="59">
        <f>H75+K75+N75+Q75</f>
        <v>1534112.4223</v>
      </c>
      <c r="U75" s="12"/>
      <c r="V75" s="11"/>
      <c r="W75" s="12"/>
    </row>
    <row r="76" spans="1:23" ht="57" customHeight="1">
      <c r="A76" s="14"/>
      <c r="B76" s="461" t="s">
        <v>34</v>
      </c>
      <c r="C76" s="462"/>
      <c r="D76" s="463"/>
      <c r="E76" s="79"/>
      <c r="F76" s="8">
        <v>420</v>
      </c>
      <c r="G76" s="231"/>
      <c r="H76" s="231">
        <f>H77+H78</f>
        <v>44837.31</v>
      </c>
      <c r="I76" s="231"/>
      <c r="J76" s="231"/>
      <c r="K76" s="231">
        <f>K77+K78</f>
        <v>63474.26</v>
      </c>
      <c r="L76" s="231"/>
      <c r="M76" s="231"/>
      <c r="N76" s="231">
        <f>N77+N78</f>
        <v>47334.329999999994</v>
      </c>
      <c r="O76" s="231"/>
      <c r="P76" s="231"/>
      <c r="Q76" s="231">
        <f>Q77+Q78</f>
        <v>60569.65</v>
      </c>
      <c r="R76" s="231"/>
      <c r="S76" s="231">
        <f>S77+S78</f>
        <v>216215.55</v>
      </c>
      <c r="U76" s="12">
        <f>37.94*P76</f>
        <v>0</v>
      </c>
      <c r="V76" s="11">
        <f>H76+K76+N76+Q76</f>
        <v>216215.55</v>
      </c>
      <c r="W76" s="12">
        <f>G76+J76+M76+P76</f>
        <v>0</v>
      </c>
    </row>
    <row r="77" spans="1:23" ht="28.5" customHeight="1">
      <c r="A77" s="14"/>
      <c r="B77" s="488"/>
      <c r="C77" s="489"/>
      <c r="D77" s="490"/>
      <c r="E77" s="87" t="s">
        <v>70</v>
      </c>
      <c r="F77" s="8"/>
      <c r="G77" s="231">
        <v>112</v>
      </c>
      <c r="H77" s="231">
        <f>G77*H145</f>
        <v>4053.2799999999997</v>
      </c>
      <c r="I77" s="231"/>
      <c r="J77" s="231">
        <v>144</v>
      </c>
      <c r="K77" s="231">
        <f>J77*H145</f>
        <v>5211.36</v>
      </c>
      <c r="L77" s="231"/>
      <c r="M77" s="231">
        <v>114</v>
      </c>
      <c r="N77" s="231">
        <f>M77*J145</f>
        <v>4347.96</v>
      </c>
      <c r="O77" s="231"/>
      <c r="P77" s="231">
        <v>139</v>
      </c>
      <c r="Q77" s="231">
        <f>P77*J145</f>
        <v>5301.46</v>
      </c>
      <c r="R77" s="231">
        <f>G77+J77+M77+P77</f>
        <v>509</v>
      </c>
      <c r="S77" s="231">
        <f>H77+K77+N77+Q77</f>
        <v>18914.059999999998</v>
      </c>
      <c r="U77" s="12"/>
      <c r="V77" s="11"/>
      <c r="W77" s="12"/>
    </row>
    <row r="78" spans="1:23" ht="28.5" customHeight="1">
      <c r="A78" s="14"/>
      <c r="B78" s="488"/>
      <c r="C78" s="489"/>
      <c r="D78" s="490"/>
      <c r="E78" s="87" t="s">
        <v>2</v>
      </c>
      <c r="F78" s="8"/>
      <c r="G78" s="231">
        <v>7</v>
      </c>
      <c r="H78" s="231">
        <f>G78*H147</f>
        <v>40784.03</v>
      </c>
      <c r="I78" s="231"/>
      <c r="J78" s="231">
        <v>10</v>
      </c>
      <c r="K78" s="231">
        <f>J78*H147</f>
        <v>58262.9</v>
      </c>
      <c r="L78" s="231"/>
      <c r="M78" s="231">
        <v>7</v>
      </c>
      <c r="N78" s="231">
        <f>M78*J147</f>
        <v>42986.369999999995</v>
      </c>
      <c r="O78" s="231"/>
      <c r="P78" s="231">
        <v>9</v>
      </c>
      <c r="Q78" s="231">
        <f>P78*J147</f>
        <v>55268.19</v>
      </c>
      <c r="R78" s="231">
        <f>G78+J78+M78+P78</f>
        <v>33</v>
      </c>
      <c r="S78" s="231">
        <f>H78+K78+N78+Q78</f>
        <v>197301.49</v>
      </c>
      <c r="U78" s="12"/>
      <c r="V78" s="11"/>
      <c r="W78" s="12"/>
    </row>
    <row r="79" spans="1:23" ht="57" customHeight="1">
      <c r="A79" s="14"/>
      <c r="B79" s="461" t="s">
        <v>35</v>
      </c>
      <c r="C79" s="462"/>
      <c r="D79" s="463"/>
      <c r="E79" s="79"/>
      <c r="F79" s="8">
        <v>171</v>
      </c>
      <c r="G79" s="231"/>
      <c r="H79" s="231">
        <f>H80+H81</f>
        <v>36129.6982</v>
      </c>
      <c r="I79" s="231"/>
      <c r="J79" s="231"/>
      <c r="K79" s="231">
        <f>K80+K81</f>
        <v>36129.6982</v>
      </c>
      <c r="L79" s="231"/>
      <c r="M79" s="231"/>
      <c r="N79" s="231">
        <f>N80+N81</f>
        <v>20513.9573</v>
      </c>
      <c r="O79" s="231"/>
      <c r="P79" s="231"/>
      <c r="Q79" s="231">
        <f>Q80+Q81</f>
        <v>40966.5055</v>
      </c>
      <c r="R79" s="231"/>
      <c r="S79" s="231">
        <f>S80+S81</f>
        <v>133739.8592</v>
      </c>
      <c r="T79" s="67" t="s">
        <v>82</v>
      </c>
      <c r="U79" s="12">
        <f>37.94*P79</f>
        <v>0</v>
      </c>
      <c r="V79" s="11">
        <f>H79+K79+N79+Q79</f>
        <v>133739.8592</v>
      </c>
      <c r="W79" s="12">
        <f>G79+J79+M79+P79</f>
        <v>0</v>
      </c>
    </row>
    <row r="80" spans="1:23" ht="26.25" customHeight="1">
      <c r="A80" s="14"/>
      <c r="B80" s="488"/>
      <c r="C80" s="489"/>
      <c r="D80" s="490"/>
      <c r="E80" s="87" t="s">
        <v>70</v>
      </c>
      <c r="F80" s="8"/>
      <c r="G80" s="231">
        <v>100</v>
      </c>
      <c r="H80" s="231">
        <f>G80*H145</f>
        <v>3619</v>
      </c>
      <c r="I80" s="231"/>
      <c r="J80" s="231">
        <v>100</v>
      </c>
      <c r="K80" s="231">
        <f>J80*H145</f>
        <v>3619</v>
      </c>
      <c r="L80" s="231"/>
      <c r="M80" s="231">
        <v>50</v>
      </c>
      <c r="N80" s="231">
        <f>M80*J145</f>
        <v>1907</v>
      </c>
      <c r="O80" s="231"/>
      <c r="P80" s="231">
        <v>100</v>
      </c>
      <c r="Q80" s="231">
        <f>P80*J145</f>
        <v>3814</v>
      </c>
      <c r="R80" s="231">
        <f>G80+J80+M80+P80</f>
        <v>350</v>
      </c>
      <c r="S80" s="231">
        <f>H80+K80+N80+Q80</f>
        <v>12959</v>
      </c>
      <c r="U80" s="12"/>
      <c r="V80" s="11"/>
      <c r="W80" s="12"/>
    </row>
    <row r="81" spans="1:23" ht="26.25" customHeight="1">
      <c r="A81" s="14"/>
      <c r="B81" s="488"/>
      <c r="C81" s="489"/>
      <c r="D81" s="490"/>
      <c r="E81" s="87" t="s">
        <v>2</v>
      </c>
      <c r="F81" s="8"/>
      <c r="G81" s="231">
        <v>5.58</v>
      </c>
      <c r="H81" s="231">
        <f>G81*H147</f>
        <v>32510.6982</v>
      </c>
      <c r="I81" s="231"/>
      <c r="J81" s="231">
        <v>5.58</v>
      </c>
      <c r="K81" s="231">
        <f>J81*H147</f>
        <v>32510.6982</v>
      </c>
      <c r="L81" s="231"/>
      <c r="M81" s="231">
        <v>3.03</v>
      </c>
      <c r="N81" s="231">
        <f>M81*J147</f>
        <v>18606.9573</v>
      </c>
      <c r="O81" s="231"/>
      <c r="P81" s="231">
        <v>6.05</v>
      </c>
      <c r="Q81" s="231">
        <f>P81*J147</f>
        <v>37152.5055</v>
      </c>
      <c r="R81" s="231">
        <f>G81+J81+M81+P81</f>
        <v>20.24</v>
      </c>
      <c r="S81" s="231">
        <f>H81+K81+N81+Q81</f>
        <v>120780.85919999999</v>
      </c>
      <c r="U81" s="12"/>
      <c r="V81" s="11"/>
      <c r="W81" s="12"/>
    </row>
    <row r="82" spans="1:23" ht="51.75" customHeight="1">
      <c r="A82" s="14"/>
      <c r="B82" s="461" t="s">
        <v>36</v>
      </c>
      <c r="C82" s="462"/>
      <c r="D82" s="463"/>
      <c r="E82" s="79"/>
      <c r="F82" s="8">
        <v>213</v>
      </c>
      <c r="G82" s="231"/>
      <c r="H82" s="231">
        <f>H83+H84</f>
        <v>38332.6982</v>
      </c>
      <c r="I82" s="231"/>
      <c r="J82" s="231"/>
      <c r="K82" s="231">
        <f>K83+K84</f>
        <v>76665.3964</v>
      </c>
      <c r="L82" s="231"/>
      <c r="M82" s="231"/>
      <c r="N82" s="231">
        <f>N83+N84</f>
        <v>30456.458599999998</v>
      </c>
      <c r="O82" s="231"/>
      <c r="P82" s="231"/>
      <c r="Q82" s="231">
        <f>Q83+Q84</f>
        <v>78041.63709999999</v>
      </c>
      <c r="R82" s="231"/>
      <c r="S82" s="231">
        <f>S83+S84</f>
        <v>223496.1903</v>
      </c>
      <c r="U82" s="12">
        <f>49.34*P82</f>
        <v>0</v>
      </c>
      <c r="V82" s="11">
        <f>H82+K82+N82+Q82</f>
        <v>223496.1903</v>
      </c>
      <c r="W82" s="12">
        <f>G82+J82+M82+P82</f>
        <v>0</v>
      </c>
    </row>
    <row r="83" spans="1:23" ht="28.5" customHeight="1">
      <c r="A83" s="14"/>
      <c r="B83" s="488"/>
      <c r="C83" s="489"/>
      <c r="D83" s="490"/>
      <c r="E83" s="87" t="s">
        <v>70</v>
      </c>
      <c r="F83" s="8"/>
      <c r="G83" s="231">
        <v>100</v>
      </c>
      <c r="H83" s="231">
        <f>G83*H146</f>
        <v>5822</v>
      </c>
      <c r="I83" s="231"/>
      <c r="J83" s="231">
        <v>200</v>
      </c>
      <c r="K83" s="231">
        <f>J83*H146</f>
        <v>11644</v>
      </c>
      <c r="L83" s="231"/>
      <c r="M83" s="231">
        <v>50</v>
      </c>
      <c r="N83" s="231">
        <f>M83*J146</f>
        <v>3068</v>
      </c>
      <c r="O83" s="231"/>
      <c r="P83" s="231">
        <v>190</v>
      </c>
      <c r="Q83" s="231">
        <f>P83*J146</f>
        <v>11658.4</v>
      </c>
      <c r="R83" s="231">
        <f aca="true" t="shared" si="13" ref="R83:R93">G83+J83+M83+P83</f>
        <v>540</v>
      </c>
      <c r="S83" s="231">
        <f>H83+K83+N83+Q83</f>
        <v>32192.4</v>
      </c>
      <c r="T83" s="67" t="s">
        <v>82</v>
      </c>
      <c r="U83" s="12"/>
      <c r="V83" s="11"/>
      <c r="W83" s="12"/>
    </row>
    <row r="84" spans="1:23" ht="28.5" customHeight="1">
      <c r="A84" s="14"/>
      <c r="B84" s="488"/>
      <c r="C84" s="489"/>
      <c r="D84" s="490"/>
      <c r="E84" s="87" t="s">
        <v>2</v>
      </c>
      <c r="F84" s="8"/>
      <c r="G84" s="231">
        <v>5.58</v>
      </c>
      <c r="H84" s="231">
        <f>G84*H148</f>
        <v>32510.6982</v>
      </c>
      <c r="I84" s="231"/>
      <c r="J84" s="231">
        <v>11.16</v>
      </c>
      <c r="K84" s="231">
        <f>J84*H148</f>
        <v>65021.3964</v>
      </c>
      <c r="L84" s="231"/>
      <c r="M84" s="231">
        <v>4.46</v>
      </c>
      <c r="N84" s="231">
        <f>M84*J148</f>
        <v>27388.458599999998</v>
      </c>
      <c r="O84" s="231"/>
      <c r="P84" s="231">
        <v>10.81</v>
      </c>
      <c r="Q84" s="231">
        <f>P84*J148</f>
        <v>66383.2371</v>
      </c>
      <c r="R84" s="231">
        <f>G84+J84+M84+P84</f>
        <v>32.010000000000005</v>
      </c>
      <c r="S84" s="231">
        <f>H84+K84+N84+Q84</f>
        <v>191303.7903</v>
      </c>
      <c r="U84" s="12"/>
      <c r="V84" s="11"/>
      <c r="W84" s="12"/>
    </row>
    <row r="85" spans="1:23" ht="25.5" customHeight="1">
      <c r="A85" s="14"/>
      <c r="B85" s="476" t="s">
        <v>37</v>
      </c>
      <c r="C85" s="476"/>
      <c r="D85" s="476"/>
      <c r="E85" s="84"/>
      <c r="F85" s="8">
        <v>0</v>
      </c>
      <c r="G85" s="231"/>
      <c r="H85" s="231">
        <f>H86+H87</f>
        <v>99676.6679</v>
      </c>
      <c r="I85" s="231"/>
      <c r="J85" s="231"/>
      <c r="K85" s="231">
        <f>K86+K87</f>
        <v>99676.6679</v>
      </c>
      <c r="L85" s="231"/>
      <c r="M85" s="231"/>
      <c r="N85" s="231">
        <f>N86+N87</f>
        <v>87497.5092</v>
      </c>
      <c r="O85" s="231"/>
      <c r="P85" s="231"/>
      <c r="Q85" s="231">
        <f>Q86+Q87</f>
        <v>111935.18860000001</v>
      </c>
      <c r="R85" s="231"/>
      <c r="S85" s="231">
        <f>S86+S87</f>
        <v>398786.0336</v>
      </c>
      <c r="U85" s="12">
        <f>49.34*P85</f>
        <v>0</v>
      </c>
      <c r="V85" s="11">
        <f>H85+K85+N85+Q85</f>
        <v>398786.03359999997</v>
      </c>
      <c r="W85" s="12">
        <f>G85+J85+M85+P85</f>
        <v>0</v>
      </c>
    </row>
    <row r="86" spans="1:23" ht="25.5" customHeight="1">
      <c r="A86" s="14"/>
      <c r="B86" s="488"/>
      <c r="C86" s="489"/>
      <c r="D86" s="490"/>
      <c r="E86" s="87" t="s">
        <v>70</v>
      </c>
      <c r="F86" s="8"/>
      <c r="G86" s="231">
        <v>260</v>
      </c>
      <c r="H86" s="231">
        <f>G86*H146</f>
        <v>15137.199999999999</v>
      </c>
      <c r="I86" s="231"/>
      <c r="J86" s="231">
        <v>260</v>
      </c>
      <c r="K86" s="231">
        <f>J86*H146</f>
        <v>15137.199999999999</v>
      </c>
      <c r="L86" s="231"/>
      <c r="M86" s="231">
        <v>213</v>
      </c>
      <c r="N86" s="231">
        <f>M86*J146</f>
        <v>13069.68</v>
      </c>
      <c r="O86" s="231"/>
      <c r="P86" s="231">
        <v>277</v>
      </c>
      <c r="Q86" s="231">
        <f>P86*J146</f>
        <v>16996.72</v>
      </c>
      <c r="R86" s="231">
        <f t="shared" si="13"/>
        <v>1010</v>
      </c>
      <c r="S86" s="231">
        <f>H86+K86+N86+Q86</f>
        <v>60340.8</v>
      </c>
      <c r="U86" s="12"/>
      <c r="V86" s="11"/>
      <c r="W86" s="12"/>
    </row>
    <row r="87" spans="1:23" ht="25.5" customHeight="1">
      <c r="A87" s="14"/>
      <c r="B87" s="488"/>
      <c r="C87" s="489"/>
      <c r="D87" s="490"/>
      <c r="E87" s="87" t="s">
        <v>2</v>
      </c>
      <c r="F87" s="8"/>
      <c r="G87" s="231">
        <v>14.51</v>
      </c>
      <c r="H87" s="231">
        <f>G87*H148</f>
        <v>84539.4679</v>
      </c>
      <c r="I87" s="231"/>
      <c r="J87" s="231">
        <v>14.51</v>
      </c>
      <c r="K87" s="231">
        <f>J87*H148</f>
        <v>84539.4679</v>
      </c>
      <c r="L87" s="231"/>
      <c r="M87" s="231">
        <v>12.12</v>
      </c>
      <c r="N87" s="231">
        <f>M87*J148</f>
        <v>74427.8292</v>
      </c>
      <c r="O87" s="231"/>
      <c r="P87" s="231">
        <v>15.46</v>
      </c>
      <c r="Q87" s="231">
        <f>P87*J148</f>
        <v>94938.46860000001</v>
      </c>
      <c r="R87" s="231">
        <f t="shared" si="13"/>
        <v>56.6</v>
      </c>
      <c r="S87" s="231">
        <f>H87+K87+N87+Q87</f>
        <v>338445.23360000004</v>
      </c>
      <c r="U87" s="12"/>
      <c r="V87" s="11"/>
      <c r="W87" s="12"/>
    </row>
    <row r="88" spans="1:23" s="120" customFormat="1" ht="25.5" customHeight="1">
      <c r="A88" s="114"/>
      <c r="B88" s="519" t="s">
        <v>38</v>
      </c>
      <c r="C88" s="519"/>
      <c r="D88" s="519"/>
      <c r="E88" s="115"/>
      <c r="F88" s="116">
        <v>651</v>
      </c>
      <c r="G88" s="252"/>
      <c r="H88" s="252">
        <f>H89+H90</f>
        <v>193742.5097</v>
      </c>
      <c r="I88" s="252"/>
      <c r="J88" s="252"/>
      <c r="K88" s="252">
        <f>K89+K90</f>
        <v>166478.2837</v>
      </c>
      <c r="L88" s="252"/>
      <c r="M88" s="252"/>
      <c r="N88" s="252">
        <f>N89+N90</f>
        <v>136849.1728</v>
      </c>
      <c r="O88" s="252"/>
      <c r="P88" s="252"/>
      <c r="Q88" s="252">
        <f>Q89+Q90</f>
        <v>240601.83239999998</v>
      </c>
      <c r="R88" s="252"/>
      <c r="S88" s="252">
        <f>S89+S90</f>
        <v>737671.7986</v>
      </c>
      <c r="T88" s="117"/>
      <c r="U88" s="118">
        <f>37.94*P88</f>
        <v>0</v>
      </c>
      <c r="V88" s="119">
        <f>H88+K88+N88+Q88</f>
        <v>737671.7986</v>
      </c>
      <c r="W88" s="118">
        <f>G88+J88+M88+P88</f>
        <v>0</v>
      </c>
    </row>
    <row r="89" spans="1:23" ht="25.5" customHeight="1">
      <c r="A89" s="14"/>
      <c r="B89" s="488"/>
      <c r="C89" s="489"/>
      <c r="D89" s="490"/>
      <c r="E89" s="87" t="s">
        <v>70</v>
      </c>
      <c r="F89" s="8"/>
      <c r="G89" s="231">
        <v>535</v>
      </c>
      <c r="H89" s="231">
        <f>G89*H145</f>
        <v>19361.649999999998</v>
      </c>
      <c r="I89" s="231"/>
      <c r="J89" s="231">
        <v>490</v>
      </c>
      <c r="K89" s="231">
        <f>J89*H145</f>
        <v>17733.1</v>
      </c>
      <c r="L89" s="231"/>
      <c r="M89" s="231">
        <v>355</v>
      </c>
      <c r="N89" s="231">
        <f>M89*J145</f>
        <v>13539.7</v>
      </c>
      <c r="O89" s="231"/>
      <c r="P89" s="231">
        <v>570</v>
      </c>
      <c r="Q89" s="231">
        <f>P89*J145</f>
        <v>21739.8</v>
      </c>
      <c r="R89" s="231">
        <f t="shared" si="13"/>
        <v>1950</v>
      </c>
      <c r="S89" s="231">
        <f>H89+K89+N89+Q89</f>
        <v>72374.25</v>
      </c>
      <c r="T89" s="67" t="s">
        <v>82</v>
      </c>
      <c r="U89" s="12"/>
      <c r="V89" s="11"/>
      <c r="W89" s="12"/>
    </row>
    <row r="90" spans="1:23" ht="25.5" customHeight="1">
      <c r="A90" s="14"/>
      <c r="B90" s="488"/>
      <c r="C90" s="489"/>
      <c r="D90" s="490"/>
      <c r="E90" s="87" t="s">
        <v>2</v>
      </c>
      <c r="F90" s="8"/>
      <c r="G90" s="231">
        <v>29.93</v>
      </c>
      <c r="H90" s="231">
        <f>G90*H147</f>
        <v>174380.8597</v>
      </c>
      <c r="I90" s="231"/>
      <c r="J90" s="231">
        <v>25.53</v>
      </c>
      <c r="K90" s="231">
        <f>J90*H147</f>
        <v>148745.1837</v>
      </c>
      <c r="L90" s="231"/>
      <c r="M90" s="231">
        <v>20.08</v>
      </c>
      <c r="N90" s="231">
        <f>M90*J147</f>
        <v>123309.47279999999</v>
      </c>
      <c r="O90" s="231"/>
      <c r="P90" s="231">
        <v>35.64</v>
      </c>
      <c r="Q90" s="231">
        <f>P90*J147</f>
        <v>218862.0324</v>
      </c>
      <c r="R90" s="231">
        <f t="shared" si="13"/>
        <v>111.17999999999999</v>
      </c>
      <c r="S90" s="231">
        <f>H90+K90+N90+Q90</f>
        <v>665297.5486</v>
      </c>
      <c r="U90" s="12"/>
      <c r="V90" s="11"/>
      <c r="W90" s="12"/>
    </row>
    <row r="91" spans="1:23" ht="60" customHeight="1">
      <c r="A91" s="14"/>
      <c r="B91" s="476" t="s">
        <v>39</v>
      </c>
      <c r="C91" s="476"/>
      <c r="D91" s="476"/>
      <c r="E91" s="84"/>
      <c r="F91" s="8">
        <v>15.1</v>
      </c>
      <c r="G91" s="231"/>
      <c r="H91" s="231">
        <f>H92+H93</f>
        <v>5436.9336</v>
      </c>
      <c r="I91" s="231"/>
      <c r="J91" s="231"/>
      <c r="K91" s="231">
        <f>K92+K93</f>
        <v>5051.1662</v>
      </c>
      <c r="L91" s="231"/>
      <c r="M91" s="231"/>
      <c r="N91" s="231">
        <f>N92+N93</f>
        <v>5753.733499999999</v>
      </c>
      <c r="O91" s="231"/>
      <c r="P91" s="231"/>
      <c r="Q91" s="231">
        <f>Q92+Q93</f>
        <v>6973.5173</v>
      </c>
      <c r="R91" s="231"/>
      <c r="S91" s="231">
        <f>S92+S93</f>
        <v>23215.350599999998</v>
      </c>
      <c r="U91" s="12">
        <f>37.94*P91</f>
        <v>0</v>
      </c>
      <c r="V91" s="11">
        <f>H91+K91+N91+Q91</f>
        <v>23215.350599999998</v>
      </c>
      <c r="W91" s="12">
        <f>G91+J91+M91+P91</f>
        <v>0</v>
      </c>
    </row>
    <row r="92" spans="1:23" ht="32.25" customHeight="1">
      <c r="A92" s="14"/>
      <c r="B92" s="488"/>
      <c r="C92" s="489"/>
      <c r="D92" s="490"/>
      <c r="E92" s="87" t="s">
        <v>70</v>
      </c>
      <c r="F92" s="8"/>
      <c r="G92" s="231">
        <v>15</v>
      </c>
      <c r="H92" s="231">
        <f>G92*H145</f>
        <v>542.8499999999999</v>
      </c>
      <c r="I92" s="231"/>
      <c r="J92" s="231">
        <v>14</v>
      </c>
      <c r="K92" s="231">
        <f>J92*H145</f>
        <v>506.65999999999997</v>
      </c>
      <c r="L92" s="231"/>
      <c r="M92" s="231">
        <v>14</v>
      </c>
      <c r="N92" s="231">
        <f>M92*J145</f>
        <v>533.96</v>
      </c>
      <c r="O92" s="231"/>
      <c r="P92" s="231">
        <v>17</v>
      </c>
      <c r="Q92" s="231">
        <f>P92*J145</f>
        <v>648.38</v>
      </c>
      <c r="R92" s="231">
        <f t="shared" si="13"/>
        <v>60</v>
      </c>
      <c r="S92" s="231">
        <f>H92+K92+N92+Q92</f>
        <v>2231.85</v>
      </c>
      <c r="T92" s="67" t="s">
        <v>82</v>
      </c>
      <c r="U92" s="12"/>
      <c r="V92" s="11"/>
      <c r="W92" s="12"/>
    </row>
    <row r="93" spans="1:23" ht="33.75" customHeight="1">
      <c r="A93" s="14"/>
      <c r="B93" s="488"/>
      <c r="C93" s="489"/>
      <c r="D93" s="490"/>
      <c r="E93" s="87" t="s">
        <v>2</v>
      </c>
      <c r="F93" s="8"/>
      <c r="G93" s="231">
        <v>0.84</v>
      </c>
      <c r="H93" s="231">
        <f>G93*H147</f>
        <v>4894.0836</v>
      </c>
      <c r="I93" s="231"/>
      <c r="J93" s="231">
        <v>0.78</v>
      </c>
      <c r="K93" s="231">
        <f>J93*H147</f>
        <v>4544.5062</v>
      </c>
      <c r="L93" s="231"/>
      <c r="M93" s="231">
        <v>0.85</v>
      </c>
      <c r="N93" s="231">
        <f>M93*J147</f>
        <v>5219.773499999999</v>
      </c>
      <c r="O93" s="231"/>
      <c r="P93" s="231">
        <v>1.03</v>
      </c>
      <c r="Q93" s="231">
        <f>P93*J147</f>
        <v>6325.1373</v>
      </c>
      <c r="R93" s="231">
        <f t="shared" si="13"/>
        <v>3.5</v>
      </c>
      <c r="S93" s="231">
        <f>H93+K93+N93+Q93</f>
        <v>20983.5006</v>
      </c>
      <c r="U93" s="12"/>
      <c r="V93" s="11"/>
      <c r="W93" s="12"/>
    </row>
    <row r="94" spans="1:23" s="97" customFormat="1" ht="54.75" customHeight="1">
      <c r="A94" s="91">
        <v>3</v>
      </c>
      <c r="B94" s="480" t="s">
        <v>42</v>
      </c>
      <c r="C94" s="481"/>
      <c r="D94" s="482"/>
      <c r="E94" s="92" t="s">
        <v>84</v>
      </c>
      <c r="F94" s="98"/>
      <c r="G94" s="93"/>
      <c r="H94" s="93">
        <f>H97+H100</f>
        <v>10017.06614</v>
      </c>
      <c r="I94" s="93"/>
      <c r="J94" s="93"/>
      <c r="K94" s="93">
        <f>K97+K100</f>
        <v>10383.16023</v>
      </c>
      <c r="L94" s="93"/>
      <c r="M94" s="93"/>
      <c r="N94" s="93">
        <f>N97+N100</f>
        <v>11354.16595</v>
      </c>
      <c r="O94" s="93"/>
      <c r="P94" s="93"/>
      <c r="Q94" s="93">
        <f>Q97+Q100</f>
        <v>11251.58514</v>
      </c>
      <c r="R94" s="93"/>
      <c r="S94" s="93">
        <f>S97+S100</f>
        <v>43005.97746</v>
      </c>
      <c r="T94" s="94"/>
      <c r="U94" s="95"/>
      <c r="V94" s="96"/>
      <c r="W94" s="95">
        <f>G94+J94+M94+P94</f>
        <v>0</v>
      </c>
    </row>
    <row r="95" spans="1:23" ht="54.75" customHeight="1">
      <c r="A95" s="14"/>
      <c r="B95" s="483"/>
      <c r="C95" s="484"/>
      <c r="D95" s="485"/>
      <c r="E95" s="86" t="s">
        <v>70</v>
      </c>
      <c r="F95" s="8"/>
      <c r="G95" s="346">
        <f>G98+G101</f>
        <v>24.700000000000003</v>
      </c>
      <c r="H95" s="59">
        <f>H98+H101</f>
        <v>957.18519</v>
      </c>
      <c r="I95" s="59"/>
      <c r="J95" s="346">
        <f>J98+J101</f>
        <v>25.677999999999997</v>
      </c>
      <c r="K95" s="59">
        <f>K98+K101</f>
        <v>997.00704</v>
      </c>
      <c r="L95" s="59"/>
      <c r="M95" s="346">
        <f>M98+M101</f>
        <v>26.656</v>
      </c>
      <c r="N95" s="59">
        <f>N98+N101</f>
        <v>1092.70534</v>
      </c>
      <c r="O95" s="59"/>
      <c r="P95" s="346">
        <f>P98+P101</f>
        <v>26.412000000000003</v>
      </c>
      <c r="Q95" s="59">
        <f>Q98+Q101</f>
        <v>1082.23818</v>
      </c>
      <c r="R95" s="346">
        <f>G95+J95+M95+P95</f>
        <v>103.446</v>
      </c>
      <c r="S95" s="59">
        <f>H95+K95+N95+Q95</f>
        <v>4129.13575</v>
      </c>
      <c r="U95" s="12"/>
      <c r="V95" s="11"/>
      <c r="W95" s="12"/>
    </row>
    <row r="96" spans="1:23" ht="54.75" customHeight="1">
      <c r="A96" s="14"/>
      <c r="B96" s="483"/>
      <c r="C96" s="484"/>
      <c r="D96" s="485"/>
      <c r="E96" s="86" t="s">
        <v>2</v>
      </c>
      <c r="F96" s="8"/>
      <c r="G96" s="346">
        <f>G99+G102</f>
        <v>1.555</v>
      </c>
      <c r="H96" s="59">
        <f>H99+H102</f>
        <v>9059.88095</v>
      </c>
      <c r="I96" s="59"/>
      <c r="J96" s="346">
        <f>J99+J102</f>
        <v>1.611</v>
      </c>
      <c r="K96" s="59">
        <f>K99+K102</f>
        <v>9386.15319</v>
      </c>
      <c r="L96" s="59"/>
      <c r="M96" s="346">
        <f>M99+M102</f>
        <v>1.671</v>
      </c>
      <c r="N96" s="59">
        <f>N99+N102</f>
        <v>10261.46061</v>
      </c>
      <c r="O96" s="59"/>
      <c r="P96" s="346">
        <f>P99+P102</f>
        <v>1.6560000000000001</v>
      </c>
      <c r="Q96" s="59">
        <f>Q99+Q102</f>
        <v>10169.346959999999</v>
      </c>
      <c r="R96" s="349">
        <f>G96+J96+M96+P96</f>
        <v>6.493</v>
      </c>
      <c r="S96" s="59">
        <f>H96+K96+N96+Q96</f>
        <v>38876.84171000001</v>
      </c>
      <c r="U96" s="12"/>
      <c r="V96" s="11"/>
      <c r="W96" s="12"/>
    </row>
    <row r="97" spans="1:23" ht="47.25" customHeight="1">
      <c r="A97" s="14"/>
      <c r="B97" s="488" t="s">
        <v>71</v>
      </c>
      <c r="C97" s="489"/>
      <c r="D97" s="490"/>
      <c r="E97" s="87"/>
      <c r="F97" s="8"/>
      <c r="G97" s="347"/>
      <c r="H97" s="231">
        <f>H98+H99</f>
        <v>8894.28852</v>
      </c>
      <c r="I97" s="231"/>
      <c r="J97" s="347"/>
      <c r="K97" s="231">
        <f>K98+K99</f>
        <v>9190.41749</v>
      </c>
      <c r="L97" s="231"/>
      <c r="M97" s="347"/>
      <c r="N97" s="231">
        <f>N98+N99</f>
        <v>10011.002690000001</v>
      </c>
      <c r="O97" s="231"/>
      <c r="P97" s="347"/>
      <c r="Q97" s="231">
        <f>Q98+Q99</f>
        <v>9929.91261</v>
      </c>
      <c r="R97" s="347"/>
      <c r="S97" s="231">
        <f>S98+S99</f>
        <v>38025.62131</v>
      </c>
      <c r="U97" s="12"/>
      <c r="V97" s="11"/>
      <c r="W97" s="12"/>
    </row>
    <row r="98" spans="1:23" ht="39.75" customHeight="1">
      <c r="A98" s="14"/>
      <c r="B98" s="488"/>
      <c r="C98" s="489"/>
      <c r="D98" s="490"/>
      <c r="E98" s="87" t="s">
        <v>70</v>
      </c>
      <c r="F98" s="8"/>
      <c r="G98" s="348">
        <v>21.827</v>
      </c>
      <c r="H98" s="231">
        <f>G98*H145</f>
        <v>789.91913</v>
      </c>
      <c r="I98" s="231"/>
      <c r="J98" s="347">
        <v>22.604</v>
      </c>
      <c r="K98" s="231">
        <f>J98*H145</f>
        <v>818.0387599999999</v>
      </c>
      <c r="L98" s="231"/>
      <c r="M98" s="348">
        <v>23.381</v>
      </c>
      <c r="N98" s="231">
        <f>M98*J145</f>
        <v>891.75134</v>
      </c>
      <c r="O98" s="231"/>
      <c r="P98" s="348">
        <v>23.187</v>
      </c>
      <c r="Q98" s="231">
        <f>P98*J145</f>
        <v>884.3521800000001</v>
      </c>
      <c r="R98" s="348">
        <f>G98+J98+M98+P98</f>
        <v>90.999</v>
      </c>
      <c r="S98" s="231">
        <f>H98+K98+N98+Q98</f>
        <v>3384.0614100000003</v>
      </c>
      <c r="U98" s="12"/>
      <c r="V98" s="11"/>
      <c r="W98" s="12"/>
    </row>
    <row r="99" spans="1:23" ht="34.5" customHeight="1">
      <c r="A99" s="14"/>
      <c r="B99" s="488"/>
      <c r="C99" s="489"/>
      <c r="D99" s="490"/>
      <c r="E99" s="87" t="s">
        <v>2</v>
      </c>
      <c r="F99" s="8"/>
      <c r="G99" s="348">
        <v>1.391</v>
      </c>
      <c r="H99" s="231">
        <f>G99*H147</f>
        <v>8104.36939</v>
      </c>
      <c r="I99" s="231"/>
      <c r="J99" s="348">
        <v>1.437</v>
      </c>
      <c r="K99" s="231">
        <f>J99*H147</f>
        <v>8372.37873</v>
      </c>
      <c r="L99" s="231"/>
      <c r="M99" s="348">
        <v>1.485</v>
      </c>
      <c r="N99" s="231">
        <f>M99*J147</f>
        <v>9119.25135</v>
      </c>
      <c r="O99" s="231"/>
      <c r="P99" s="348">
        <v>1.473</v>
      </c>
      <c r="Q99" s="231">
        <f>P99*J147</f>
        <v>9045.56043</v>
      </c>
      <c r="R99" s="348">
        <f>G99+J99+M99+P99</f>
        <v>5.7860000000000005</v>
      </c>
      <c r="S99" s="231">
        <f>H99+K99+N99+Q99</f>
        <v>34641.5599</v>
      </c>
      <c r="U99" s="12"/>
      <c r="V99" s="11"/>
      <c r="W99" s="12"/>
    </row>
    <row r="100" spans="1:23" ht="36.75" customHeight="1">
      <c r="A100" s="14"/>
      <c r="B100" s="488" t="s">
        <v>72</v>
      </c>
      <c r="C100" s="489"/>
      <c r="D100" s="490"/>
      <c r="E100" s="87"/>
      <c r="F100" s="8"/>
      <c r="G100" s="347"/>
      <c r="H100" s="231">
        <f>H101+H102</f>
        <v>1122.77762</v>
      </c>
      <c r="I100" s="231"/>
      <c r="J100" s="347"/>
      <c r="K100" s="231">
        <f>K101+K102</f>
        <v>1192.74274</v>
      </c>
      <c r="L100" s="231"/>
      <c r="M100" s="347"/>
      <c r="N100" s="231">
        <f>N101+N102</f>
        <v>1343.1632599999998</v>
      </c>
      <c r="O100" s="231"/>
      <c r="P100" s="347"/>
      <c r="Q100" s="231">
        <f>Q101+Q102</f>
        <v>1321.6725299999998</v>
      </c>
      <c r="R100" s="347"/>
      <c r="S100" s="231">
        <f>S101+S102</f>
        <v>4980.3561500000005</v>
      </c>
      <c r="U100" s="12"/>
      <c r="V100" s="11"/>
      <c r="W100" s="12"/>
    </row>
    <row r="101" spans="1:23" ht="33" customHeight="1">
      <c r="A101" s="14"/>
      <c r="B101" s="488"/>
      <c r="C101" s="489"/>
      <c r="D101" s="490"/>
      <c r="E101" s="87" t="s">
        <v>70</v>
      </c>
      <c r="F101" s="8"/>
      <c r="G101" s="348">
        <v>2.873</v>
      </c>
      <c r="H101" s="231">
        <f>G101*H146</f>
        <v>167.26606</v>
      </c>
      <c r="I101" s="231"/>
      <c r="J101" s="348">
        <v>3.074</v>
      </c>
      <c r="K101" s="231">
        <f>J101*H146</f>
        <v>178.96828</v>
      </c>
      <c r="L101" s="231"/>
      <c r="M101" s="348">
        <v>3.275</v>
      </c>
      <c r="N101" s="231">
        <f>M101*J146</f>
        <v>200.95399999999998</v>
      </c>
      <c r="O101" s="231"/>
      <c r="P101" s="348">
        <v>3.225</v>
      </c>
      <c r="Q101" s="231">
        <f>P101*J146</f>
        <v>197.886</v>
      </c>
      <c r="R101" s="348">
        <f>G101+J101+M101+P101</f>
        <v>12.447</v>
      </c>
      <c r="S101" s="231">
        <f>H101+K101+N101+Q101</f>
        <v>745.0743399999999</v>
      </c>
      <c r="U101" s="12"/>
      <c r="V101" s="11"/>
      <c r="W101" s="12"/>
    </row>
    <row r="102" spans="1:23" ht="36.75" customHeight="1">
      <c r="A102" s="14"/>
      <c r="B102" s="488"/>
      <c r="C102" s="489"/>
      <c r="D102" s="490"/>
      <c r="E102" s="87" t="s">
        <v>2</v>
      </c>
      <c r="F102" s="8"/>
      <c r="G102" s="348">
        <v>0.164</v>
      </c>
      <c r="H102" s="231">
        <f>G102*H148</f>
        <v>955.51156</v>
      </c>
      <c r="I102" s="231"/>
      <c r="J102" s="348">
        <v>0.174</v>
      </c>
      <c r="K102" s="231">
        <f>J102*H148</f>
        <v>1013.77446</v>
      </c>
      <c r="L102" s="231"/>
      <c r="M102" s="348">
        <v>0.186</v>
      </c>
      <c r="N102" s="231">
        <f>M102*J148</f>
        <v>1142.2092599999999</v>
      </c>
      <c r="O102" s="231"/>
      <c r="P102" s="348">
        <v>0.183</v>
      </c>
      <c r="Q102" s="231">
        <f>P102*J148</f>
        <v>1123.7865299999999</v>
      </c>
      <c r="R102" s="348">
        <f>G102+J102+M102+P102</f>
        <v>0.7070000000000001</v>
      </c>
      <c r="S102" s="231">
        <f>H102+K102+N102+Q102</f>
        <v>4235.28181</v>
      </c>
      <c r="U102" s="12"/>
      <c r="V102" s="11"/>
      <c r="W102" s="12"/>
    </row>
    <row r="103" spans="1:23" s="97" customFormat="1" ht="45.75" customHeight="1">
      <c r="A103" s="91">
        <v>4</v>
      </c>
      <c r="B103" s="480" t="s">
        <v>43</v>
      </c>
      <c r="C103" s="481"/>
      <c r="D103" s="482"/>
      <c r="E103" s="99"/>
      <c r="F103" s="98">
        <v>31</v>
      </c>
      <c r="G103" s="93"/>
      <c r="H103" s="93">
        <f>H104</f>
        <v>0</v>
      </c>
      <c r="I103" s="93"/>
      <c r="J103" s="93"/>
      <c r="K103" s="93">
        <f>K104</f>
        <v>0</v>
      </c>
      <c r="L103" s="93"/>
      <c r="M103" s="93"/>
      <c r="N103" s="93">
        <f>N104</f>
        <v>0</v>
      </c>
      <c r="O103" s="93"/>
      <c r="P103" s="93"/>
      <c r="Q103" s="93">
        <f>Q104</f>
        <v>0</v>
      </c>
      <c r="R103" s="93"/>
      <c r="S103" s="93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1.25" customHeight="1" hidden="1">
      <c r="A104" s="14"/>
      <c r="B104" s="461" t="s">
        <v>45</v>
      </c>
      <c r="C104" s="462"/>
      <c r="D104" s="463"/>
      <c r="E104" s="78"/>
      <c r="F104" s="14">
        <v>51</v>
      </c>
      <c r="G104" s="59"/>
      <c r="H104" s="231">
        <f>H105+H106</f>
        <v>0</v>
      </c>
      <c r="I104" s="231"/>
      <c r="J104" s="231"/>
      <c r="K104" s="231">
        <f>K105+K106</f>
        <v>0</v>
      </c>
      <c r="L104" s="231"/>
      <c r="M104" s="231"/>
      <c r="N104" s="231">
        <f>N105+N106</f>
        <v>0</v>
      </c>
      <c r="O104" s="231"/>
      <c r="P104" s="231"/>
      <c r="Q104" s="231">
        <f>Q105+Q106</f>
        <v>0</v>
      </c>
      <c r="R104" s="231"/>
      <c r="S104" s="231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25.5" customHeight="1" hidden="1">
      <c r="A105" s="14"/>
      <c r="B105" s="488"/>
      <c r="C105" s="489"/>
      <c r="D105" s="490"/>
      <c r="E105" s="87" t="s">
        <v>70</v>
      </c>
      <c r="F105" s="8"/>
      <c r="G105" s="231"/>
      <c r="H105" s="231">
        <f>G105*H145</f>
        <v>0</v>
      </c>
      <c r="I105" s="231"/>
      <c r="J105" s="231"/>
      <c r="K105" s="231">
        <f>J105*H145</f>
        <v>0</v>
      </c>
      <c r="L105" s="231"/>
      <c r="M105" s="231"/>
      <c r="N105" s="231">
        <f>M105*J145</f>
        <v>0</v>
      </c>
      <c r="O105" s="231"/>
      <c r="P105" s="231"/>
      <c r="Q105" s="231">
        <f>P105*J145</f>
        <v>0</v>
      </c>
      <c r="R105" s="231">
        <f>G105+J105+M105+P105</f>
        <v>0</v>
      </c>
      <c r="S105" s="231">
        <f>H105+K105+N105+Q105</f>
        <v>0</v>
      </c>
      <c r="U105" s="12"/>
      <c r="V105" s="11"/>
      <c r="W105" s="12"/>
    </row>
    <row r="106" spans="1:23" ht="25.5" customHeight="1" hidden="1">
      <c r="A106" s="14"/>
      <c r="B106" s="488"/>
      <c r="C106" s="489"/>
      <c r="D106" s="490"/>
      <c r="E106" s="87" t="s">
        <v>2</v>
      </c>
      <c r="F106" s="8"/>
      <c r="G106" s="231"/>
      <c r="H106" s="231">
        <f>G106*H147</f>
        <v>0</v>
      </c>
      <c r="I106" s="231"/>
      <c r="J106" s="231"/>
      <c r="K106" s="231">
        <f>J106*H147</f>
        <v>0</v>
      </c>
      <c r="L106" s="231"/>
      <c r="M106" s="231"/>
      <c r="N106" s="231">
        <f>M106*J147</f>
        <v>0</v>
      </c>
      <c r="O106" s="231"/>
      <c r="P106" s="231"/>
      <c r="Q106" s="231">
        <f>P106*J147</f>
        <v>0</v>
      </c>
      <c r="R106" s="231">
        <f>G106+J106+M106+P106</f>
        <v>0</v>
      </c>
      <c r="S106" s="231">
        <f>H106+K106+N106+Q106</f>
        <v>0</v>
      </c>
      <c r="U106" s="12"/>
      <c r="V106" s="11"/>
      <c r="W106" s="12"/>
    </row>
    <row r="107" spans="1:23" s="97" customFormat="1" ht="57.75" customHeight="1">
      <c r="A107" s="91">
        <v>5</v>
      </c>
      <c r="B107" s="480" t="s">
        <v>47</v>
      </c>
      <c r="C107" s="481"/>
      <c r="D107" s="482"/>
      <c r="E107" s="92" t="s">
        <v>84</v>
      </c>
      <c r="F107" s="98"/>
      <c r="G107" s="93"/>
      <c r="H107" s="93">
        <f>H110+H113+H116+H119</f>
        <v>28545.3963</v>
      </c>
      <c r="I107" s="93"/>
      <c r="J107" s="93"/>
      <c r="K107" s="93">
        <f>K110+K113+K116+K119</f>
        <v>23091.9041</v>
      </c>
      <c r="L107" s="93"/>
      <c r="M107" s="93"/>
      <c r="N107" s="93">
        <f>N110+N113+N116+N119</f>
        <v>19450.709</v>
      </c>
      <c r="O107" s="93"/>
      <c r="P107" s="93"/>
      <c r="Q107" s="93">
        <f>Q110+Q113+Q116+Q119</f>
        <v>30890.426399999997</v>
      </c>
      <c r="R107" s="93"/>
      <c r="S107" s="93">
        <f>S110+S113+S116+S119</f>
        <v>101978.4358</v>
      </c>
      <c r="T107" s="94"/>
      <c r="U107" s="95"/>
      <c r="V107" s="96"/>
      <c r="W107" s="95"/>
    </row>
    <row r="108" spans="1:23" ht="38.25" customHeight="1">
      <c r="A108" s="14"/>
      <c r="B108" s="483"/>
      <c r="C108" s="484"/>
      <c r="D108" s="485"/>
      <c r="E108" s="170" t="s">
        <v>70</v>
      </c>
      <c r="F108" s="8"/>
      <c r="G108" s="59">
        <f>G111+G114+G117+G120</f>
        <v>76.1</v>
      </c>
      <c r="H108" s="59">
        <f>H111+H114+H117+H120</f>
        <v>3084.509</v>
      </c>
      <c r="I108" s="59"/>
      <c r="J108" s="59">
        <f>J111+J114+J117+J120</f>
        <v>60.25</v>
      </c>
      <c r="K108" s="59">
        <f>K111+K114+K117+K120</f>
        <v>2466.8375</v>
      </c>
      <c r="L108" s="59"/>
      <c r="M108" s="59">
        <f>M111+M114+M117+M120</f>
        <v>48.019999999999996</v>
      </c>
      <c r="N108" s="59">
        <f>N111+N114+N117+N120</f>
        <v>2133.3428</v>
      </c>
      <c r="O108" s="59"/>
      <c r="P108" s="59">
        <f>P111+P114+P117+P120</f>
        <v>77.64</v>
      </c>
      <c r="Q108" s="59">
        <f>Q111+Q114+Q117+Q120</f>
        <v>3379.1495999999997</v>
      </c>
      <c r="R108" s="59">
        <f>G108+J108+M108+P108</f>
        <v>262.01</v>
      </c>
      <c r="S108" s="59">
        <f>H108+K108+N108+Q108</f>
        <v>11063.838899999999</v>
      </c>
      <c r="U108" s="12"/>
      <c r="V108" s="11"/>
      <c r="W108" s="12"/>
    </row>
    <row r="109" spans="1:23" ht="38.25" customHeight="1">
      <c r="A109" s="14"/>
      <c r="B109" s="483"/>
      <c r="C109" s="484"/>
      <c r="D109" s="485"/>
      <c r="E109" s="170" t="s">
        <v>2</v>
      </c>
      <c r="F109" s="8"/>
      <c r="G109" s="59">
        <f>G112+G115+G118+G121</f>
        <v>4.369999999999999</v>
      </c>
      <c r="H109" s="59">
        <f>H112+H115+H118+H121</f>
        <v>25460.887300000002</v>
      </c>
      <c r="I109" s="59"/>
      <c r="J109" s="59">
        <f>J112+J115+J118+J121</f>
        <v>3.54</v>
      </c>
      <c r="K109" s="59">
        <f>K112+K115+K118+K121</f>
        <v>20625.0666</v>
      </c>
      <c r="L109" s="59"/>
      <c r="M109" s="59">
        <f>M112+M115+M118+M121</f>
        <v>2.82</v>
      </c>
      <c r="N109" s="59">
        <f>N112+N115+N118+N121</f>
        <v>17317.3662</v>
      </c>
      <c r="O109" s="59"/>
      <c r="P109" s="59">
        <f>P112+P115+P118+P121</f>
        <v>4.4799999999999995</v>
      </c>
      <c r="Q109" s="59">
        <f>Q112+Q115+Q118+Q121</f>
        <v>27511.2768</v>
      </c>
      <c r="R109" s="59">
        <f>G109+J109+M109+P109</f>
        <v>15.209999999999997</v>
      </c>
      <c r="S109" s="59">
        <f>H109+K109+N109+Q109</f>
        <v>90914.5969</v>
      </c>
      <c r="U109" s="12"/>
      <c r="V109" s="11"/>
      <c r="W109" s="12"/>
    </row>
    <row r="110" spans="1:23" ht="35.25" customHeight="1">
      <c r="A110" s="14"/>
      <c r="B110" s="461" t="s">
        <v>48</v>
      </c>
      <c r="C110" s="462"/>
      <c r="D110" s="463"/>
      <c r="E110" s="79"/>
      <c r="F110" s="8"/>
      <c r="G110" s="231"/>
      <c r="H110" s="231">
        <f>H111+H112</f>
        <v>1345.4812</v>
      </c>
      <c r="I110" s="231"/>
      <c r="J110" s="231"/>
      <c r="K110" s="231">
        <f>K111+K112</f>
        <v>1030.6432</v>
      </c>
      <c r="L110" s="231"/>
      <c r="M110" s="231"/>
      <c r="N110" s="231">
        <f>N111+N112</f>
        <v>1831.2013000000002</v>
      </c>
      <c r="O110" s="231"/>
      <c r="P110" s="231"/>
      <c r="Q110" s="231">
        <f>Q111+Q112</f>
        <v>3857.6904999999997</v>
      </c>
      <c r="R110" s="231"/>
      <c r="S110" s="231">
        <f>S111+S112</f>
        <v>8065.0162</v>
      </c>
      <c r="U110" s="12"/>
      <c r="V110" s="11"/>
      <c r="W110" s="12"/>
    </row>
    <row r="111" spans="1:23" ht="28.5" customHeight="1">
      <c r="A111" s="14"/>
      <c r="B111" s="488"/>
      <c r="C111" s="489"/>
      <c r="D111" s="490"/>
      <c r="E111" s="87" t="s">
        <v>70</v>
      </c>
      <c r="F111" s="8"/>
      <c r="G111" s="231">
        <v>3.37</v>
      </c>
      <c r="H111" s="231">
        <f>G111*H145</f>
        <v>121.96029999999999</v>
      </c>
      <c r="I111" s="231"/>
      <c r="J111" s="231">
        <v>2.72</v>
      </c>
      <c r="K111" s="231">
        <f>J111*H145</f>
        <v>98.4368</v>
      </c>
      <c r="L111" s="231"/>
      <c r="M111" s="231">
        <v>4.54</v>
      </c>
      <c r="N111" s="231">
        <f>M111*J145</f>
        <v>173.1556</v>
      </c>
      <c r="O111" s="231"/>
      <c r="P111" s="231">
        <v>9.37</v>
      </c>
      <c r="Q111" s="231">
        <f>P111*J145</f>
        <v>357.37179999999995</v>
      </c>
      <c r="R111" s="231">
        <f>G111+J111+M111+P111</f>
        <v>20</v>
      </c>
      <c r="S111" s="231">
        <f>H111+K111+N111+Q111</f>
        <v>750.9244999999999</v>
      </c>
      <c r="U111" s="12"/>
      <c r="V111" s="11"/>
      <c r="W111" s="12"/>
    </row>
    <row r="112" spans="1:23" ht="25.5" customHeight="1">
      <c r="A112" s="14"/>
      <c r="B112" s="488"/>
      <c r="C112" s="489"/>
      <c r="D112" s="490"/>
      <c r="E112" s="87" t="s">
        <v>2</v>
      </c>
      <c r="F112" s="8"/>
      <c r="G112" s="231">
        <v>0.21</v>
      </c>
      <c r="H112" s="231">
        <f>G112*H147</f>
        <v>1223.5209</v>
      </c>
      <c r="I112" s="231"/>
      <c r="J112" s="231">
        <v>0.16</v>
      </c>
      <c r="K112" s="231">
        <f>J112*H147</f>
        <v>932.2064</v>
      </c>
      <c r="L112" s="231"/>
      <c r="M112" s="231">
        <v>0.27</v>
      </c>
      <c r="N112" s="231">
        <f>M112*J147</f>
        <v>1658.0457000000001</v>
      </c>
      <c r="O112" s="231"/>
      <c r="P112" s="231">
        <v>0.57</v>
      </c>
      <c r="Q112" s="231">
        <f>P112*J147</f>
        <v>3500.3187</v>
      </c>
      <c r="R112" s="231">
        <f>G112+J112+M112+P112</f>
        <v>1.21</v>
      </c>
      <c r="S112" s="231">
        <f>H112+K112+N112+Q112</f>
        <v>7314.0917</v>
      </c>
      <c r="U112" s="12"/>
      <c r="V112" s="11"/>
      <c r="W112" s="12"/>
    </row>
    <row r="113" spans="1:23" ht="25.5" customHeight="1">
      <c r="A113" s="14"/>
      <c r="B113" s="461" t="s">
        <v>49</v>
      </c>
      <c r="C113" s="462"/>
      <c r="D113" s="463"/>
      <c r="E113" s="79"/>
      <c r="F113" s="8"/>
      <c r="G113" s="231"/>
      <c r="H113" s="231">
        <f>H114+H115</f>
        <v>12834.0126</v>
      </c>
      <c r="I113" s="231"/>
      <c r="J113" s="231"/>
      <c r="K113" s="231">
        <f>K114+K115</f>
        <v>13147.4</v>
      </c>
      <c r="L113" s="231"/>
      <c r="M113" s="231"/>
      <c r="N113" s="231">
        <f>N114+N115</f>
        <v>10055.980399999999</v>
      </c>
      <c r="O113" s="231"/>
      <c r="P113" s="231"/>
      <c r="Q113" s="231">
        <f>Q114+Q115</f>
        <v>14244.6464</v>
      </c>
      <c r="R113" s="231"/>
      <c r="S113" s="231">
        <f>S114+S115</f>
        <v>50282.039399999994</v>
      </c>
      <c r="U113" s="12"/>
      <c r="V113" s="11"/>
      <c r="W113" s="12"/>
    </row>
    <row r="114" spans="1:23" ht="25.5" customHeight="1">
      <c r="A114" s="14"/>
      <c r="B114" s="488"/>
      <c r="C114" s="489"/>
      <c r="D114" s="490"/>
      <c r="E114" s="87" t="s">
        <v>70</v>
      </c>
      <c r="F114" s="8"/>
      <c r="G114" s="231">
        <v>35</v>
      </c>
      <c r="H114" s="231">
        <f>23*H145+12*H146</f>
        <v>1531.0099999999998</v>
      </c>
      <c r="I114" s="231"/>
      <c r="J114" s="231">
        <v>34</v>
      </c>
      <c r="K114" s="231">
        <f>22*H145+12*H146</f>
        <v>1494.82</v>
      </c>
      <c r="L114" s="231"/>
      <c r="M114" s="231">
        <v>24.5</v>
      </c>
      <c r="N114" s="231">
        <f>12.5*J145+12*J146</f>
        <v>1213.07</v>
      </c>
      <c r="O114" s="231"/>
      <c r="P114" s="231">
        <v>36.5</v>
      </c>
      <c r="Q114" s="231">
        <f>22.5*J145+14*J146</f>
        <v>1717.19</v>
      </c>
      <c r="R114" s="231">
        <f>G114+J114+M114+P114</f>
        <v>130</v>
      </c>
      <c r="S114" s="231">
        <f>H114+K114+N114+Q114</f>
        <v>5956.09</v>
      </c>
      <c r="U114" s="12"/>
      <c r="V114" s="11"/>
      <c r="W114" s="12"/>
    </row>
    <row r="115" spans="1:23" ht="25.5" customHeight="1">
      <c r="A115" s="14"/>
      <c r="B115" s="488"/>
      <c r="C115" s="489"/>
      <c r="D115" s="490"/>
      <c r="E115" s="87" t="s">
        <v>2</v>
      </c>
      <c r="F115" s="8"/>
      <c r="G115" s="231">
        <v>1.94</v>
      </c>
      <c r="H115" s="231">
        <f>G115*H147</f>
        <v>11303.0026</v>
      </c>
      <c r="I115" s="231"/>
      <c r="J115" s="231">
        <v>2</v>
      </c>
      <c r="K115" s="231">
        <f>J115*H147</f>
        <v>11652.58</v>
      </c>
      <c r="L115" s="231"/>
      <c r="M115" s="231">
        <v>1.44</v>
      </c>
      <c r="N115" s="231">
        <f>M115*J147</f>
        <v>8842.910399999999</v>
      </c>
      <c r="O115" s="231"/>
      <c r="P115" s="231">
        <v>2.04</v>
      </c>
      <c r="Q115" s="231">
        <f>P115*J147</f>
        <v>12527.4564</v>
      </c>
      <c r="R115" s="231">
        <f>G115+J115+M115+P115</f>
        <v>7.42</v>
      </c>
      <c r="S115" s="231">
        <f>H115+K115+N115+Q115</f>
        <v>44325.9494</v>
      </c>
      <c r="U115" s="12"/>
      <c r="V115" s="11"/>
      <c r="W115" s="12"/>
    </row>
    <row r="116" spans="1:23" ht="25.5" customHeight="1">
      <c r="A116" s="14"/>
      <c r="B116" s="461" t="s">
        <v>50</v>
      </c>
      <c r="C116" s="462"/>
      <c r="D116" s="463"/>
      <c r="E116" s="79"/>
      <c r="F116" s="8"/>
      <c r="G116" s="231"/>
      <c r="H116" s="231">
        <f>H117+H118</f>
        <v>6700.4937</v>
      </c>
      <c r="I116" s="231"/>
      <c r="J116" s="231"/>
      <c r="K116" s="231">
        <f>K117+K118</f>
        <v>5884.8989</v>
      </c>
      <c r="L116" s="231"/>
      <c r="M116" s="231"/>
      <c r="N116" s="231">
        <f>N117+N118</f>
        <v>5389.4289</v>
      </c>
      <c r="O116" s="231"/>
      <c r="P116" s="231"/>
      <c r="Q116" s="231">
        <f>Q117+Q118</f>
        <v>7085.4673</v>
      </c>
      <c r="R116" s="231"/>
      <c r="S116" s="231">
        <f>S117+S118</f>
        <v>25060.288800000002</v>
      </c>
      <c r="U116" s="12"/>
      <c r="V116" s="11"/>
      <c r="W116" s="12"/>
    </row>
    <row r="117" spans="1:23" ht="25.5" customHeight="1">
      <c r="A117" s="14"/>
      <c r="B117" s="488"/>
      <c r="C117" s="489"/>
      <c r="D117" s="490"/>
      <c r="E117" s="87" t="s">
        <v>70</v>
      </c>
      <c r="F117" s="8"/>
      <c r="G117" s="231">
        <v>17.5</v>
      </c>
      <c r="H117" s="231">
        <f>14.5*H145+3*H146</f>
        <v>699.415</v>
      </c>
      <c r="I117" s="231"/>
      <c r="J117" s="231">
        <v>15.5</v>
      </c>
      <c r="K117" s="231">
        <f>14.5*H145+1*H146</f>
        <v>582.975</v>
      </c>
      <c r="L117" s="231"/>
      <c r="M117" s="231">
        <v>13.5</v>
      </c>
      <c r="N117" s="231">
        <f>12.5*J145+1*J146</f>
        <v>538.11</v>
      </c>
      <c r="O117" s="231"/>
      <c r="P117" s="231">
        <v>17.5</v>
      </c>
      <c r="Q117" s="231">
        <f>13.5*J145+4*J146</f>
        <v>760.3299999999999</v>
      </c>
      <c r="R117" s="231">
        <f>G117+J117+M117+P117</f>
        <v>64</v>
      </c>
      <c r="S117" s="231">
        <f>H117+K117+N117+Q117</f>
        <v>2580.83</v>
      </c>
      <c r="U117" s="12"/>
      <c r="V117" s="11"/>
      <c r="W117" s="12"/>
    </row>
    <row r="118" spans="1:23" ht="25.5" customHeight="1">
      <c r="A118" s="14"/>
      <c r="B118" s="488"/>
      <c r="C118" s="489"/>
      <c r="D118" s="490"/>
      <c r="E118" s="87" t="s">
        <v>2</v>
      </c>
      <c r="F118" s="8"/>
      <c r="G118" s="231">
        <v>1.03</v>
      </c>
      <c r="H118" s="231">
        <f>G118*H147</f>
        <v>6001.0787</v>
      </c>
      <c r="I118" s="231"/>
      <c r="J118" s="231">
        <v>0.91</v>
      </c>
      <c r="K118" s="231">
        <f>J118*H147</f>
        <v>5301.9239</v>
      </c>
      <c r="L118" s="231"/>
      <c r="M118" s="231">
        <v>0.79</v>
      </c>
      <c r="N118" s="231">
        <f>M118*J147</f>
        <v>4851.3189</v>
      </c>
      <c r="O118" s="231"/>
      <c r="P118" s="231">
        <v>1.03</v>
      </c>
      <c r="Q118" s="231">
        <f>P118*J147</f>
        <v>6325.1373</v>
      </c>
      <c r="R118" s="231">
        <f>G118+J118+M118+P118</f>
        <v>3.76</v>
      </c>
      <c r="S118" s="231">
        <f>H118+K118+N118+Q118</f>
        <v>22479.4588</v>
      </c>
      <c r="U118" s="12"/>
      <c r="V118" s="11"/>
      <c r="W118" s="12"/>
    </row>
    <row r="119" spans="1:23" ht="54" customHeight="1">
      <c r="A119" s="14"/>
      <c r="B119" s="476" t="s">
        <v>40</v>
      </c>
      <c r="C119" s="476"/>
      <c r="D119" s="476"/>
      <c r="E119" s="84"/>
      <c r="F119" s="8"/>
      <c r="G119" s="231"/>
      <c r="H119" s="231">
        <f>H120+H121</f>
        <v>7665.4088</v>
      </c>
      <c r="I119" s="231"/>
      <c r="J119" s="231"/>
      <c r="K119" s="231">
        <f>K120+K121</f>
        <v>3028.962</v>
      </c>
      <c r="L119" s="231"/>
      <c r="M119" s="231"/>
      <c r="N119" s="231">
        <f>N120+N121</f>
        <v>2174.0984</v>
      </c>
      <c r="O119" s="231"/>
      <c r="P119" s="231"/>
      <c r="Q119" s="231">
        <f>Q120+Q121</f>
        <v>5702.6222</v>
      </c>
      <c r="R119" s="231"/>
      <c r="S119" s="231">
        <f>S120+S121</f>
        <v>18571.0914</v>
      </c>
      <c r="U119" s="12"/>
      <c r="V119" s="11"/>
      <c r="W119" s="12"/>
    </row>
    <row r="120" spans="1:23" ht="25.5" customHeight="1">
      <c r="A120" s="14"/>
      <c r="B120" s="488"/>
      <c r="C120" s="489"/>
      <c r="D120" s="490"/>
      <c r="E120" s="87" t="s">
        <v>70</v>
      </c>
      <c r="F120" s="8"/>
      <c r="G120" s="231">
        <v>20.23</v>
      </c>
      <c r="H120" s="231">
        <f>G120*H145</f>
        <v>732.1237</v>
      </c>
      <c r="I120" s="231"/>
      <c r="J120" s="262">
        <v>8.03</v>
      </c>
      <c r="K120" s="231">
        <f>J120*H145</f>
        <v>290.60569999999996</v>
      </c>
      <c r="L120" s="231"/>
      <c r="M120" s="231">
        <v>5.48</v>
      </c>
      <c r="N120" s="231">
        <f>M120*J145</f>
        <v>209.0072</v>
      </c>
      <c r="O120" s="231"/>
      <c r="P120" s="231">
        <v>14.27</v>
      </c>
      <c r="Q120" s="231">
        <f>P120*J145</f>
        <v>544.2578</v>
      </c>
      <c r="R120" s="231">
        <f>G120+J120+M120+P120</f>
        <v>48.00999999999999</v>
      </c>
      <c r="S120" s="231">
        <f>H120+K120+N120+Q120</f>
        <v>1775.9944</v>
      </c>
      <c r="T120" s="67" t="s">
        <v>83</v>
      </c>
      <c r="U120" s="12"/>
      <c r="V120" s="11"/>
      <c r="W120" s="12"/>
    </row>
    <row r="121" spans="1:23" ht="25.5" customHeight="1">
      <c r="A121" s="14"/>
      <c r="B121" s="488"/>
      <c r="C121" s="489"/>
      <c r="D121" s="490"/>
      <c r="E121" s="87" t="s">
        <v>2</v>
      </c>
      <c r="F121" s="8"/>
      <c r="G121" s="231">
        <v>1.19</v>
      </c>
      <c r="H121" s="231">
        <f>G121*H147</f>
        <v>6933.2851</v>
      </c>
      <c r="I121" s="231"/>
      <c r="J121" s="231">
        <v>0.47</v>
      </c>
      <c r="K121" s="231">
        <f>J121*H147</f>
        <v>2738.3563</v>
      </c>
      <c r="L121" s="231"/>
      <c r="M121" s="231">
        <v>0.32</v>
      </c>
      <c r="N121" s="231">
        <f>M121*J147</f>
        <v>1965.0912</v>
      </c>
      <c r="O121" s="231"/>
      <c r="P121" s="231">
        <v>0.84</v>
      </c>
      <c r="Q121" s="231">
        <f>P121*J147</f>
        <v>5158.3643999999995</v>
      </c>
      <c r="R121" s="231">
        <f>G121+J121+M121+P121</f>
        <v>2.82</v>
      </c>
      <c r="S121" s="231">
        <f>H121+K121+N121+Q121</f>
        <v>16795.097</v>
      </c>
      <c r="U121" s="12"/>
      <c r="V121" s="11"/>
      <c r="W121" s="12"/>
    </row>
    <row r="122" spans="1:23" s="97" customFormat="1" ht="43.5" customHeight="1">
      <c r="A122" s="91">
        <v>6</v>
      </c>
      <c r="B122" s="480" t="s">
        <v>53</v>
      </c>
      <c r="C122" s="481"/>
      <c r="D122" s="482"/>
      <c r="E122" s="92" t="s">
        <v>84</v>
      </c>
      <c r="F122" s="98"/>
      <c r="G122" s="93"/>
      <c r="H122" s="93">
        <f>H125+H128+H131</f>
        <v>1166053.9977</v>
      </c>
      <c r="I122" s="93"/>
      <c r="J122" s="93"/>
      <c r="K122" s="93">
        <f>K125+K128+K131</f>
        <v>1179443.6977</v>
      </c>
      <c r="L122" s="93"/>
      <c r="M122" s="93"/>
      <c r="N122" s="93">
        <f>N125+N128+N131</f>
        <v>1207037.1132</v>
      </c>
      <c r="O122" s="93"/>
      <c r="P122" s="93"/>
      <c r="Q122" s="93">
        <f>Q125+Q128+Q131</f>
        <v>1237055.1431999998</v>
      </c>
      <c r="R122" s="93"/>
      <c r="S122" s="93">
        <f>S125+S128+S131</f>
        <v>4789589.9518</v>
      </c>
      <c r="T122" s="94"/>
      <c r="U122" s="95"/>
      <c r="V122" s="96"/>
      <c r="W122" s="95"/>
    </row>
    <row r="123" spans="1:23" ht="43.5" customHeight="1">
      <c r="A123" s="14"/>
      <c r="B123" s="483"/>
      <c r="C123" s="484"/>
      <c r="D123" s="485"/>
      <c r="E123" s="86" t="s">
        <v>70</v>
      </c>
      <c r="F123" s="8"/>
      <c r="G123" s="59">
        <f>G126+G129+G132</f>
        <v>3225.73</v>
      </c>
      <c r="H123" s="59">
        <f>H126+H129+H132</f>
        <v>116739.1687</v>
      </c>
      <c r="I123" s="59"/>
      <c r="J123" s="59">
        <f>J126+J129+J132</f>
        <v>3273.73</v>
      </c>
      <c r="K123" s="59">
        <f>K126+K129+K132</f>
        <v>118476.28869999999</v>
      </c>
      <c r="L123" s="59"/>
      <c r="M123" s="59">
        <f>M126+M129+M132</f>
        <v>3293.73</v>
      </c>
      <c r="N123" s="59">
        <f>N126+N129+N132</f>
        <v>125622.8622</v>
      </c>
      <c r="O123" s="59"/>
      <c r="P123" s="59">
        <f>P126+P129+P132</f>
        <v>3275.73</v>
      </c>
      <c r="Q123" s="59">
        <f>Q126+Q129+Q132</f>
        <v>124936.3422</v>
      </c>
      <c r="R123" s="59">
        <f>G123+J123+M123+P123</f>
        <v>13068.92</v>
      </c>
      <c r="S123" s="59">
        <f>H123+K123+N123+Q123</f>
        <v>485774.6618</v>
      </c>
      <c r="U123" s="12"/>
      <c r="V123" s="11"/>
      <c r="W123" s="12"/>
    </row>
    <row r="124" spans="1:23" ht="43.5" customHeight="1">
      <c r="A124" s="14"/>
      <c r="B124" s="483"/>
      <c r="C124" s="484"/>
      <c r="D124" s="485"/>
      <c r="E124" s="86" t="s">
        <v>75</v>
      </c>
      <c r="F124" s="8"/>
      <c r="G124" s="59">
        <f>G127+G130+G133</f>
        <v>180.1</v>
      </c>
      <c r="H124" s="59">
        <f>H127+H130+H133</f>
        <v>1049314.829</v>
      </c>
      <c r="I124" s="59"/>
      <c r="J124" s="59">
        <f>J127+J130+J133</f>
        <v>182.1</v>
      </c>
      <c r="K124" s="59">
        <f>K127+K130+K133</f>
        <v>1060967.409</v>
      </c>
      <c r="L124" s="59"/>
      <c r="M124" s="59">
        <f>M127+M130+M133</f>
        <v>176.1</v>
      </c>
      <c r="N124" s="59">
        <f>N127+N130+N133</f>
        <v>1081414.251</v>
      </c>
      <c r="O124" s="59"/>
      <c r="P124" s="59">
        <f>P127+P130+P133</f>
        <v>181.1</v>
      </c>
      <c r="Q124" s="59">
        <f>Q127+Q130+Q133</f>
        <v>1112118.801</v>
      </c>
      <c r="R124" s="59">
        <f>G124+J124+M124+P124</f>
        <v>719.4</v>
      </c>
      <c r="S124" s="59">
        <f>H124+K124+N124+Q124</f>
        <v>4303815.29</v>
      </c>
      <c r="U124" s="12"/>
      <c r="V124" s="11"/>
      <c r="W124" s="12"/>
    </row>
    <row r="125" spans="1:23" ht="31.5" customHeight="1">
      <c r="A125" s="14"/>
      <c r="B125" s="461" t="s">
        <v>73</v>
      </c>
      <c r="C125" s="462"/>
      <c r="D125" s="463"/>
      <c r="E125" s="79"/>
      <c r="F125" s="8"/>
      <c r="G125" s="231"/>
      <c r="H125" s="231">
        <f>H126+H127</f>
        <v>18673.14</v>
      </c>
      <c r="I125" s="231"/>
      <c r="J125" s="231"/>
      <c r="K125" s="231">
        <f>K126+K127</f>
        <v>12774.47</v>
      </c>
      <c r="L125" s="231"/>
      <c r="M125" s="231"/>
      <c r="N125" s="231">
        <f>N126+N127</f>
        <v>7323.25</v>
      </c>
      <c r="O125" s="231"/>
      <c r="P125" s="231"/>
      <c r="Q125" s="231">
        <f>Q126+Q127</f>
        <v>19681.35</v>
      </c>
      <c r="R125" s="231"/>
      <c r="S125" s="231">
        <f>S126+S127</f>
        <v>58452.21</v>
      </c>
      <c r="U125" s="12"/>
      <c r="V125" s="11"/>
      <c r="W125" s="12"/>
    </row>
    <row r="126" spans="1:23" ht="25.5" customHeight="1">
      <c r="A126" s="14"/>
      <c r="B126" s="488"/>
      <c r="C126" s="489"/>
      <c r="D126" s="490"/>
      <c r="E126" s="87" t="s">
        <v>70</v>
      </c>
      <c r="F126" s="8"/>
      <c r="G126" s="231">
        <v>33</v>
      </c>
      <c r="H126" s="231">
        <f>G126*H145</f>
        <v>1194.27</v>
      </c>
      <c r="I126" s="231"/>
      <c r="J126" s="231">
        <v>31</v>
      </c>
      <c r="K126" s="231">
        <f>J126*H145</f>
        <v>1121.8899999999999</v>
      </c>
      <c r="L126" s="231"/>
      <c r="M126" s="231">
        <v>31</v>
      </c>
      <c r="N126" s="231">
        <f>M126*J145</f>
        <v>1182.34</v>
      </c>
      <c r="O126" s="231"/>
      <c r="P126" s="231">
        <v>33</v>
      </c>
      <c r="Q126" s="231">
        <f>P126*J145</f>
        <v>1258.6200000000001</v>
      </c>
      <c r="R126" s="231">
        <f>G126+J126+M126+P126</f>
        <v>128</v>
      </c>
      <c r="S126" s="231">
        <f>H126+K126+N126+Q126</f>
        <v>4757.12</v>
      </c>
      <c r="U126" s="12"/>
      <c r="V126" s="11"/>
      <c r="W126" s="12"/>
    </row>
    <row r="127" spans="1:23" ht="25.5" customHeight="1">
      <c r="A127" s="14"/>
      <c r="B127" s="488"/>
      <c r="C127" s="489"/>
      <c r="D127" s="490"/>
      <c r="E127" s="87" t="s">
        <v>2</v>
      </c>
      <c r="F127" s="8"/>
      <c r="G127" s="231">
        <v>3</v>
      </c>
      <c r="H127" s="231">
        <f>G127*H147</f>
        <v>17478.87</v>
      </c>
      <c r="I127" s="231"/>
      <c r="J127" s="231">
        <v>2</v>
      </c>
      <c r="K127" s="231">
        <f>J127*H147</f>
        <v>11652.58</v>
      </c>
      <c r="L127" s="231"/>
      <c r="M127" s="231">
        <v>1</v>
      </c>
      <c r="N127" s="231">
        <f>M127*J147</f>
        <v>6140.91</v>
      </c>
      <c r="O127" s="231"/>
      <c r="P127" s="231">
        <v>3</v>
      </c>
      <c r="Q127" s="231">
        <f>P127*J147</f>
        <v>18422.73</v>
      </c>
      <c r="R127" s="231">
        <f>G127+J127+M127+P127</f>
        <v>9</v>
      </c>
      <c r="S127" s="231">
        <f>H127+K127+N127+Q127</f>
        <v>53695.09</v>
      </c>
      <c r="U127" s="12"/>
      <c r="V127" s="11"/>
      <c r="W127" s="12"/>
    </row>
    <row r="128" spans="1:23" ht="33" customHeight="1">
      <c r="A128" s="14"/>
      <c r="B128" s="461" t="s">
        <v>55</v>
      </c>
      <c r="C128" s="462"/>
      <c r="D128" s="463"/>
      <c r="E128" s="79"/>
      <c r="F128" s="8"/>
      <c r="G128" s="231"/>
      <c r="H128" s="231">
        <f>H129+H130</f>
        <v>44403.03</v>
      </c>
      <c r="I128" s="231"/>
      <c r="J128" s="231"/>
      <c r="K128" s="231">
        <f>K129+K130</f>
        <v>63691.4</v>
      </c>
      <c r="L128" s="231"/>
      <c r="M128" s="231"/>
      <c r="N128" s="231">
        <f>N129+N130</f>
        <v>37188.35</v>
      </c>
      <c r="O128" s="231"/>
      <c r="P128" s="231"/>
      <c r="Q128" s="231">
        <f>Q129+Q130</f>
        <v>54848.28</v>
      </c>
      <c r="R128" s="231"/>
      <c r="S128" s="231">
        <f>S129+S130</f>
        <v>200131.06</v>
      </c>
      <c r="U128" s="12"/>
      <c r="V128" s="11"/>
      <c r="W128" s="12"/>
    </row>
    <row r="129" spans="1:23" ht="25.5" customHeight="1">
      <c r="A129" s="14"/>
      <c r="B129" s="488"/>
      <c r="C129" s="489"/>
      <c r="D129" s="490"/>
      <c r="E129" s="87" t="s">
        <v>70</v>
      </c>
      <c r="F129" s="8"/>
      <c r="G129" s="231">
        <v>100</v>
      </c>
      <c r="H129" s="231">
        <f>G129*H145</f>
        <v>3619</v>
      </c>
      <c r="I129" s="231"/>
      <c r="J129" s="231">
        <v>150</v>
      </c>
      <c r="K129" s="231">
        <f>J129*H145</f>
        <v>5428.5</v>
      </c>
      <c r="L129" s="231"/>
      <c r="M129" s="231">
        <v>170</v>
      </c>
      <c r="N129" s="231">
        <f>M129*J145</f>
        <v>6483.8</v>
      </c>
      <c r="O129" s="231"/>
      <c r="P129" s="231">
        <v>150</v>
      </c>
      <c r="Q129" s="231">
        <f>P129*J145</f>
        <v>5721</v>
      </c>
      <c r="R129" s="231">
        <f>G129+J129+M129+P129</f>
        <v>570</v>
      </c>
      <c r="S129" s="231">
        <f>H129+K129+N129+Q129</f>
        <v>21252.3</v>
      </c>
      <c r="T129" s="67" t="s">
        <v>82</v>
      </c>
      <c r="U129" s="12"/>
      <c r="V129" s="11"/>
      <c r="W129" s="12"/>
    </row>
    <row r="130" spans="1:23" ht="25.5" customHeight="1">
      <c r="A130" s="14"/>
      <c r="B130" s="488"/>
      <c r="C130" s="489"/>
      <c r="D130" s="490"/>
      <c r="E130" s="87" t="s">
        <v>2</v>
      </c>
      <c r="F130" s="8"/>
      <c r="G130" s="231">
        <v>7</v>
      </c>
      <c r="H130" s="231">
        <f>G130*H148</f>
        <v>40784.03</v>
      </c>
      <c r="I130" s="231"/>
      <c r="J130" s="231">
        <v>10</v>
      </c>
      <c r="K130" s="231">
        <f>J130*H148</f>
        <v>58262.9</v>
      </c>
      <c r="L130" s="231"/>
      <c r="M130" s="231">
        <v>5</v>
      </c>
      <c r="N130" s="231">
        <f>M130*J148</f>
        <v>30704.55</v>
      </c>
      <c r="O130" s="231"/>
      <c r="P130" s="231">
        <v>8</v>
      </c>
      <c r="Q130" s="231">
        <f>P130*J148</f>
        <v>49127.28</v>
      </c>
      <c r="R130" s="231">
        <f>G130+J130+M130+P130</f>
        <v>30</v>
      </c>
      <c r="S130" s="231">
        <f>H130+K130+N130+Q130</f>
        <v>178878.76</v>
      </c>
      <c r="U130" s="12"/>
      <c r="V130" s="11"/>
      <c r="W130" s="12"/>
    </row>
    <row r="131" spans="1:23" ht="33" customHeight="1">
      <c r="A131" s="14"/>
      <c r="B131" s="374" t="s">
        <v>91</v>
      </c>
      <c r="C131" s="375"/>
      <c r="D131" s="376"/>
      <c r="E131" s="160"/>
      <c r="F131" s="8"/>
      <c r="G131" s="231"/>
      <c r="H131" s="231">
        <f>SUM(H132:H133)</f>
        <v>1102977.8277</v>
      </c>
      <c r="I131" s="231"/>
      <c r="J131" s="231"/>
      <c r="K131" s="231">
        <f>SUM(K132:K133)</f>
        <v>1102977.8277</v>
      </c>
      <c r="L131" s="231"/>
      <c r="M131" s="231"/>
      <c r="N131" s="231">
        <f>SUM(N132:N133)</f>
        <v>1162525.5132</v>
      </c>
      <c r="O131" s="231"/>
      <c r="P131" s="231"/>
      <c r="Q131" s="231">
        <f>SUM(Q132:Q133)</f>
        <v>1162525.5132</v>
      </c>
      <c r="R131" s="231"/>
      <c r="S131" s="231">
        <f>SUM(S132:S133)</f>
        <v>4531006.6818</v>
      </c>
      <c r="U131" s="12"/>
      <c r="V131" s="11"/>
      <c r="W131" s="12"/>
    </row>
    <row r="132" spans="1:23" ht="25.5" customHeight="1">
      <c r="A132" s="14"/>
      <c r="B132" s="488"/>
      <c r="C132" s="489"/>
      <c r="D132" s="490"/>
      <c r="E132" s="161" t="s">
        <v>70</v>
      </c>
      <c r="F132" s="8"/>
      <c r="G132" s="231">
        <v>3092.73</v>
      </c>
      <c r="H132" s="231">
        <f>SUM(G132)*H145</f>
        <v>111925.89869999999</v>
      </c>
      <c r="I132" s="231"/>
      <c r="J132" s="231">
        <v>3092.73</v>
      </c>
      <c r="K132" s="231">
        <f>SUM(J132)*H145</f>
        <v>111925.89869999999</v>
      </c>
      <c r="L132" s="231"/>
      <c r="M132" s="231">
        <v>3092.73</v>
      </c>
      <c r="N132" s="231">
        <f>SUM(M132)*J145</f>
        <v>117956.7222</v>
      </c>
      <c r="O132" s="231"/>
      <c r="P132" s="231">
        <v>3092.73</v>
      </c>
      <c r="Q132" s="231">
        <f>SUM(P132)*J145</f>
        <v>117956.7222</v>
      </c>
      <c r="R132" s="231">
        <f>SUM(G132)+J132+M132+P132</f>
        <v>12370.92</v>
      </c>
      <c r="S132" s="231">
        <f>SUM(H132)+K132+N132+Q132</f>
        <v>459765.2418</v>
      </c>
      <c r="U132" s="12"/>
      <c r="V132" s="11"/>
      <c r="W132" s="12"/>
    </row>
    <row r="133" spans="1:23" ht="25.5" customHeight="1">
      <c r="A133" s="14"/>
      <c r="B133" s="488"/>
      <c r="C133" s="489"/>
      <c r="D133" s="490"/>
      <c r="E133" s="161" t="s">
        <v>2</v>
      </c>
      <c r="F133" s="8"/>
      <c r="G133" s="231">
        <v>170.1</v>
      </c>
      <c r="H133" s="231">
        <f>SUM(G133)*H147</f>
        <v>991051.929</v>
      </c>
      <c r="I133" s="231"/>
      <c r="J133" s="231">
        <v>170.1</v>
      </c>
      <c r="K133" s="231">
        <f>SUM(J133)*H147</f>
        <v>991051.929</v>
      </c>
      <c r="L133" s="231"/>
      <c r="M133" s="231">
        <v>170.1</v>
      </c>
      <c r="N133" s="231">
        <f>SUM(M133)*J147</f>
        <v>1044568.791</v>
      </c>
      <c r="O133" s="231"/>
      <c r="P133" s="231">
        <v>170.1</v>
      </c>
      <c r="Q133" s="231">
        <f>SUM(P133)*J147</f>
        <v>1044568.791</v>
      </c>
      <c r="R133" s="231">
        <f>SUM(G133)+J133+M133+P133</f>
        <v>680.4</v>
      </c>
      <c r="S133" s="231">
        <f>SUM(H133)+K133+N133+Q133</f>
        <v>4071241.4400000004</v>
      </c>
      <c r="U133" s="12"/>
      <c r="V133" s="11"/>
      <c r="W133" s="12"/>
    </row>
    <row r="134" spans="1:23" ht="25.5" customHeight="1">
      <c r="A134" s="100">
        <v>7</v>
      </c>
      <c r="B134" s="371" t="s">
        <v>96</v>
      </c>
      <c r="C134" s="372"/>
      <c r="D134" s="373"/>
      <c r="E134" s="92" t="s">
        <v>84</v>
      </c>
      <c r="F134" s="8"/>
      <c r="G134" s="295"/>
      <c r="H134" s="295">
        <f>H137+H140</f>
        <v>5297.243199999999</v>
      </c>
      <c r="I134" s="295"/>
      <c r="J134" s="295"/>
      <c r="K134" s="295">
        <f>K137+K140</f>
        <v>4714.973099999999</v>
      </c>
      <c r="L134" s="295"/>
      <c r="M134" s="295"/>
      <c r="N134" s="295">
        <f>N137+N140</f>
        <v>5238.0548</v>
      </c>
      <c r="O134" s="295"/>
      <c r="P134" s="295"/>
      <c r="Q134" s="295">
        <f>Q137+Q140</f>
        <v>5644.649399999999</v>
      </c>
      <c r="R134" s="295"/>
      <c r="S134" s="295">
        <f>S137+S140</f>
        <v>20894.920499999997</v>
      </c>
      <c r="U134" s="12"/>
      <c r="V134" s="11"/>
      <c r="W134" s="12"/>
    </row>
    <row r="135" spans="1:23" ht="25.5" customHeight="1">
      <c r="A135" s="100"/>
      <c r="B135" s="218"/>
      <c r="C135" s="219"/>
      <c r="D135" s="220"/>
      <c r="E135" s="224" t="s">
        <v>70</v>
      </c>
      <c r="F135" s="8"/>
      <c r="G135" s="59">
        <f>G138+G141</f>
        <v>12.75</v>
      </c>
      <c r="H135" s="59">
        <f aca="true" t="shared" si="14" ref="H135:Q136">H138+H141</f>
        <v>461.42249999999996</v>
      </c>
      <c r="I135" s="59">
        <f t="shared" si="14"/>
        <v>0</v>
      </c>
      <c r="J135" s="59">
        <f t="shared" si="14"/>
        <v>11.15</v>
      </c>
      <c r="K135" s="59">
        <f t="shared" si="14"/>
        <v>403.51849999999996</v>
      </c>
      <c r="L135" s="59">
        <f t="shared" si="14"/>
        <v>0</v>
      </c>
      <c r="M135" s="59">
        <f t="shared" si="14"/>
        <v>11.75</v>
      </c>
      <c r="N135" s="59">
        <f t="shared" si="14"/>
        <v>448.145</v>
      </c>
      <c r="O135" s="59">
        <f t="shared" si="14"/>
        <v>0</v>
      </c>
      <c r="P135" s="59">
        <f t="shared" si="14"/>
        <v>12.75</v>
      </c>
      <c r="Q135" s="59">
        <f t="shared" si="14"/>
        <v>486.28499999999997</v>
      </c>
      <c r="R135" s="59">
        <f>SUM(G135)+J135+M135+P135</f>
        <v>48.4</v>
      </c>
      <c r="S135" s="59">
        <f aca="true" t="shared" si="15" ref="S135:S142">SUM(H135)+K135+N135+Q135</f>
        <v>1799.3709999999996</v>
      </c>
      <c r="U135" s="12"/>
      <c r="V135" s="11"/>
      <c r="W135" s="12"/>
    </row>
    <row r="136" spans="1:23" ht="25.5" customHeight="1">
      <c r="A136" s="100"/>
      <c r="B136" s="218"/>
      <c r="C136" s="219"/>
      <c r="D136" s="220"/>
      <c r="E136" s="224" t="s">
        <v>75</v>
      </c>
      <c r="F136" s="8"/>
      <c r="G136" s="59">
        <f>G139+G142</f>
        <v>0.83</v>
      </c>
      <c r="H136" s="59">
        <f t="shared" si="14"/>
        <v>4835.820699999999</v>
      </c>
      <c r="I136" s="59">
        <f aca="true" t="shared" si="16" ref="I136:Q136">I139+I142</f>
        <v>0</v>
      </c>
      <c r="J136" s="59">
        <f t="shared" si="16"/>
        <v>0.74</v>
      </c>
      <c r="K136" s="59">
        <f t="shared" si="14"/>
        <v>4311.4546</v>
      </c>
      <c r="L136" s="59">
        <f t="shared" si="16"/>
        <v>0</v>
      </c>
      <c r="M136" s="59">
        <f t="shared" si="16"/>
        <v>0.78</v>
      </c>
      <c r="N136" s="59">
        <f t="shared" si="16"/>
        <v>4789.909799999999</v>
      </c>
      <c r="O136" s="59">
        <f t="shared" si="16"/>
        <v>0</v>
      </c>
      <c r="P136" s="59">
        <f t="shared" si="16"/>
        <v>0.84</v>
      </c>
      <c r="Q136" s="59">
        <f t="shared" si="16"/>
        <v>5158.3643999999995</v>
      </c>
      <c r="R136" s="59">
        <f>SUM(G136)+J136+M136+P136</f>
        <v>3.1899999999999995</v>
      </c>
      <c r="S136" s="59">
        <f t="shared" si="15"/>
        <v>19095.549499999997</v>
      </c>
      <c r="U136" s="12"/>
      <c r="V136" s="11"/>
      <c r="W136" s="12"/>
    </row>
    <row r="137" spans="1:23" ht="25.5" customHeight="1">
      <c r="A137" s="100"/>
      <c r="B137" s="360" t="s">
        <v>97</v>
      </c>
      <c r="C137" s="441"/>
      <c r="D137" s="442"/>
      <c r="E137" s="225"/>
      <c r="F137" s="8"/>
      <c r="G137" s="231"/>
      <c r="H137" s="231">
        <f>SUM(H138:H139)</f>
        <v>713.2719</v>
      </c>
      <c r="I137" s="231"/>
      <c r="J137" s="231"/>
      <c r="K137" s="231">
        <f>SUM(K138:K139)</f>
        <v>131.0018</v>
      </c>
      <c r="L137" s="231"/>
      <c r="M137" s="231"/>
      <c r="N137" s="231">
        <f>SUM(N138:N139)</f>
        <v>406.59459999999996</v>
      </c>
      <c r="O137" s="231"/>
      <c r="P137" s="231"/>
      <c r="Q137" s="231">
        <f>SUM(Q138:Q139)</f>
        <v>813.1891999999999</v>
      </c>
      <c r="R137" s="231"/>
      <c r="S137" s="231">
        <f t="shared" si="15"/>
        <v>2064.0575</v>
      </c>
      <c r="U137" s="12"/>
      <c r="V137" s="11"/>
      <c r="W137" s="12"/>
    </row>
    <row r="138" spans="1:23" ht="25.5" customHeight="1">
      <c r="A138" s="100"/>
      <c r="B138" s="221"/>
      <c r="C138" s="222"/>
      <c r="D138" s="223"/>
      <c r="E138" s="225" t="s">
        <v>70</v>
      </c>
      <c r="F138" s="8"/>
      <c r="G138" s="231">
        <v>2</v>
      </c>
      <c r="H138" s="231">
        <f>SUM(G138)*H145</f>
        <v>72.38</v>
      </c>
      <c r="I138" s="231"/>
      <c r="J138" s="231">
        <v>0.4</v>
      </c>
      <c r="K138" s="231">
        <f>SUM(J138)*H145</f>
        <v>14.475999999999999</v>
      </c>
      <c r="L138" s="231"/>
      <c r="M138" s="231">
        <v>1</v>
      </c>
      <c r="N138" s="231">
        <f>SUM(M138)*J145</f>
        <v>38.14</v>
      </c>
      <c r="O138" s="231"/>
      <c r="P138" s="231">
        <v>2</v>
      </c>
      <c r="Q138" s="231">
        <f>SUM(P138)*J145</f>
        <v>76.28</v>
      </c>
      <c r="R138" s="231">
        <f>SUM(G138)+J138+M138+P138</f>
        <v>5.4</v>
      </c>
      <c r="S138" s="231">
        <f t="shared" si="15"/>
        <v>201.276</v>
      </c>
      <c r="U138" s="12"/>
      <c r="V138" s="11"/>
      <c r="W138" s="12"/>
    </row>
    <row r="139" spans="1:23" ht="25.5" customHeight="1">
      <c r="A139" s="100"/>
      <c r="B139" s="221"/>
      <c r="C139" s="222"/>
      <c r="D139" s="223"/>
      <c r="E139" s="225" t="s">
        <v>2</v>
      </c>
      <c r="F139" s="8"/>
      <c r="G139" s="231">
        <v>0.11</v>
      </c>
      <c r="H139" s="231">
        <f>SUM(G139)*H147</f>
        <v>640.8919</v>
      </c>
      <c r="I139" s="231"/>
      <c r="J139" s="231">
        <v>0.02</v>
      </c>
      <c r="K139" s="231">
        <f>SUM(J139)*H147</f>
        <v>116.5258</v>
      </c>
      <c r="L139" s="231"/>
      <c r="M139" s="231">
        <v>0.06</v>
      </c>
      <c r="N139" s="231">
        <f>SUM(M139)*J147</f>
        <v>368.45459999999997</v>
      </c>
      <c r="O139" s="231"/>
      <c r="P139" s="231">
        <v>0.12</v>
      </c>
      <c r="Q139" s="231">
        <f>SUM(P139)*J147</f>
        <v>736.9091999999999</v>
      </c>
      <c r="R139" s="231">
        <f>SUM(G139)+J139+M139+P139</f>
        <v>0.31</v>
      </c>
      <c r="S139" s="231">
        <f t="shared" si="15"/>
        <v>1862.7815</v>
      </c>
      <c r="U139" s="12"/>
      <c r="V139" s="11"/>
      <c r="W139" s="12"/>
    </row>
    <row r="140" spans="1:23" ht="25.5" customHeight="1">
      <c r="A140" s="100"/>
      <c r="B140" s="360" t="s">
        <v>98</v>
      </c>
      <c r="C140" s="441"/>
      <c r="D140" s="442"/>
      <c r="E140" s="225"/>
      <c r="F140" s="8"/>
      <c r="G140" s="231"/>
      <c r="H140" s="231">
        <f>SUM(H141:H142)</f>
        <v>4583.971299999999</v>
      </c>
      <c r="I140" s="231"/>
      <c r="J140" s="231"/>
      <c r="K140" s="231">
        <f>SUM(K141:K142)</f>
        <v>4583.971299999999</v>
      </c>
      <c r="L140" s="231"/>
      <c r="M140" s="231"/>
      <c r="N140" s="231">
        <f>SUM(N141:N142)</f>
        <v>4831.4601999999995</v>
      </c>
      <c r="O140" s="231"/>
      <c r="P140" s="231"/>
      <c r="Q140" s="231">
        <f>SUM(Q141:Q142)</f>
        <v>4831.4601999999995</v>
      </c>
      <c r="R140" s="231"/>
      <c r="S140" s="231">
        <f t="shared" si="15"/>
        <v>18830.862999999998</v>
      </c>
      <c r="U140" s="12"/>
      <c r="V140" s="11"/>
      <c r="W140" s="12"/>
    </row>
    <row r="141" spans="1:23" ht="25.5" customHeight="1">
      <c r="A141" s="100"/>
      <c r="B141" s="221"/>
      <c r="C141" s="222"/>
      <c r="D141" s="223"/>
      <c r="E141" s="225" t="s">
        <v>70</v>
      </c>
      <c r="F141" s="8"/>
      <c r="G141" s="231">
        <v>10.75</v>
      </c>
      <c r="H141" s="231">
        <f>SUM(G141)*H145</f>
        <v>389.04249999999996</v>
      </c>
      <c r="I141" s="231"/>
      <c r="J141" s="231">
        <v>10.75</v>
      </c>
      <c r="K141" s="231">
        <f>SUM(J141)*H145</f>
        <v>389.04249999999996</v>
      </c>
      <c r="L141" s="231"/>
      <c r="M141" s="231">
        <v>10.75</v>
      </c>
      <c r="N141" s="231">
        <f>SUM(M141)*J145</f>
        <v>410.005</v>
      </c>
      <c r="O141" s="231"/>
      <c r="P141" s="231">
        <v>10.75</v>
      </c>
      <c r="Q141" s="231">
        <f>SUM(P141)*J145</f>
        <v>410.005</v>
      </c>
      <c r="R141" s="231">
        <f>SUM(G141)+J141+M141+P141</f>
        <v>43</v>
      </c>
      <c r="S141" s="231">
        <f t="shared" si="15"/>
        <v>1598.0949999999998</v>
      </c>
      <c r="U141" s="12"/>
      <c r="V141" s="11"/>
      <c r="W141" s="12"/>
    </row>
    <row r="142" spans="1:23" ht="25.5" customHeight="1">
      <c r="A142" s="100"/>
      <c r="B142" s="221"/>
      <c r="C142" s="222"/>
      <c r="D142" s="223"/>
      <c r="E142" s="225" t="s">
        <v>2</v>
      </c>
      <c r="F142" s="8"/>
      <c r="G142" s="231">
        <v>0.72</v>
      </c>
      <c r="H142" s="231">
        <f>SUM(G142)*H147</f>
        <v>4194.9288</v>
      </c>
      <c r="I142" s="231"/>
      <c r="J142" s="231">
        <v>0.72</v>
      </c>
      <c r="K142" s="231">
        <f>SUM(J142)*H147</f>
        <v>4194.9288</v>
      </c>
      <c r="L142" s="231"/>
      <c r="M142" s="231">
        <v>0.72</v>
      </c>
      <c r="N142" s="231">
        <f>SUM(M142)*J147</f>
        <v>4421.455199999999</v>
      </c>
      <c r="O142" s="231"/>
      <c r="P142" s="231">
        <v>0.72</v>
      </c>
      <c r="Q142" s="231">
        <f>SUM(P142)*J147</f>
        <v>4421.455199999999</v>
      </c>
      <c r="R142" s="231">
        <f>SUM(G142)+J142+M142+P142</f>
        <v>2.88</v>
      </c>
      <c r="S142" s="231">
        <f t="shared" si="15"/>
        <v>17232.768</v>
      </c>
      <c r="U142" s="12"/>
      <c r="V142" s="11"/>
      <c r="W142" s="12"/>
    </row>
    <row r="143" spans="1:23" ht="38.25" customHeight="1">
      <c r="A143" s="60"/>
      <c r="B143" s="477" t="s">
        <v>19</v>
      </c>
      <c r="C143" s="477"/>
      <c r="D143" s="477"/>
      <c r="E143" s="85"/>
      <c r="F143" s="14">
        <f>SUM(F70:F104)</f>
        <v>1552.1</v>
      </c>
      <c r="G143" s="59"/>
      <c r="H143" s="61">
        <f>H70+H73+H94+H103+H107+H122+H134</f>
        <v>1630653.3669399999</v>
      </c>
      <c r="I143" s="59">
        <f>SUM(I70:I104)</f>
        <v>0</v>
      </c>
      <c r="J143" s="59">
        <f>J70+J73+J94+J103+J107+J122</f>
        <v>0</v>
      </c>
      <c r="K143" s="59">
        <f>K70+K73+K94+K103+K107+K122+K134</f>
        <v>1667249.02323</v>
      </c>
      <c r="L143" s="59">
        <f>SUM(L70:L104)</f>
        <v>0</v>
      </c>
      <c r="M143" s="59">
        <f>M70+M73+M94+M103+M107+M122</f>
        <v>0</v>
      </c>
      <c r="N143" s="59">
        <f>N70+N73+N94+N103+N107+N122+N134</f>
        <v>1573924.77195</v>
      </c>
      <c r="O143" s="59">
        <f>SUM(O70:O104)</f>
        <v>0</v>
      </c>
      <c r="P143" s="59">
        <f>P70+P73+P94+P103+P107+P122</f>
        <v>0</v>
      </c>
      <c r="Q143" s="59">
        <f>Q70+Q73+Q94+Q103+Q107+Q122+Q134</f>
        <v>1827589.4864399997</v>
      </c>
      <c r="R143" s="59">
        <f>R70+R73+R94+R103+R107+R122</f>
        <v>0</v>
      </c>
      <c r="S143" s="59">
        <f>S70+S73+S94+S103+S107+S122+S134</f>
        <v>6699416.64856</v>
      </c>
      <c r="U143" s="12"/>
      <c r="V143" s="12"/>
      <c r="W143" s="12"/>
    </row>
    <row r="144" spans="1:23" ht="49.5" customHeight="1">
      <c r="A144" s="53"/>
      <c r="B144" s="491" t="s">
        <v>8</v>
      </c>
      <c r="C144" s="492"/>
      <c r="D144" s="493"/>
      <c r="E144" s="89"/>
      <c r="F144" s="449" t="s">
        <v>121</v>
      </c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U144" s="12"/>
      <c r="V144" s="12"/>
      <c r="W144" s="12"/>
    </row>
    <row r="145" spans="1:20" s="12" customFormat="1" ht="24.75" customHeight="1">
      <c r="A145" s="190"/>
      <c r="B145" s="191"/>
      <c r="C145" s="191"/>
      <c r="D145" s="191"/>
      <c r="E145" s="191"/>
      <c r="F145" s="181" t="s">
        <v>18</v>
      </c>
      <c r="G145" s="181" t="s">
        <v>18</v>
      </c>
      <c r="H145" s="192">
        <v>36.19</v>
      </c>
      <c r="I145" s="192" t="s">
        <v>16</v>
      </c>
      <c r="J145" s="192">
        <v>38.14</v>
      </c>
      <c r="K145" s="193"/>
      <c r="L145" s="193"/>
      <c r="M145" s="193"/>
      <c r="N145" s="193"/>
      <c r="O145" s="193"/>
      <c r="P145" s="193"/>
      <c r="Q145" s="193"/>
      <c r="R145" s="193"/>
      <c r="S145" s="193"/>
      <c r="T145" s="169"/>
    </row>
    <row r="146" spans="1:20" s="12" customFormat="1" ht="55.5" customHeight="1">
      <c r="A146" s="190"/>
      <c r="B146" s="191"/>
      <c r="C146" s="191"/>
      <c r="D146" s="191"/>
      <c r="E146" s="191"/>
      <c r="F146" s="181" t="s">
        <v>13</v>
      </c>
      <c r="G146" s="181" t="s">
        <v>32</v>
      </c>
      <c r="H146" s="192">
        <v>58.22</v>
      </c>
      <c r="I146" s="192"/>
      <c r="J146" s="192">
        <v>61.36</v>
      </c>
      <c r="K146" s="193"/>
      <c r="L146" s="193"/>
      <c r="M146" s="194" t="s">
        <v>78</v>
      </c>
      <c r="N146" s="193" t="s">
        <v>79</v>
      </c>
      <c r="O146" s="193"/>
      <c r="P146" s="193" t="s">
        <v>13</v>
      </c>
      <c r="Q146" s="193"/>
      <c r="R146" s="193"/>
      <c r="S146" s="193"/>
      <c r="T146" s="169"/>
    </row>
    <row r="147" spans="1:20" s="12" customFormat="1" ht="24" customHeight="1">
      <c r="A147" s="190"/>
      <c r="B147" s="191"/>
      <c r="C147" s="191"/>
      <c r="D147" s="191"/>
      <c r="E147" s="191"/>
      <c r="F147" s="181"/>
      <c r="G147" s="181"/>
      <c r="H147" s="195">
        <v>5826.29</v>
      </c>
      <c r="I147" s="195"/>
      <c r="J147" s="195">
        <v>6140.91</v>
      </c>
      <c r="K147" s="193"/>
      <c r="L147" s="193"/>
      <c r="M147" s="193" t="s">
        <v>80</v>
      </c>
      <c r="N147" s="193">
        <v>0.06054</v>
      </c>
      <c r="O147" s="193"/>
      <c r="P147" s="193">
        <v>0.05688</v>
      </c>
      <c r="Q147" s="196"/>
      <c r="R147" s="196"/>
      <c r="S147" s="197"/>
      <c r="T147" s="169"/>
    </row>
    <row r="148" spans="1:20" s="12" customFormat="1" ht="21" customHeight="1">
      <c r="A148" s="190"/>
      <c r="B148" s="191"/>
      <c r="C148" s="191"/>
      <c r="D148" s="191"/>
      <c r="E148" s="191"/>
      <c r="F148" s="181"/>
      <c r="G148" s="181"/>
      <c r="H148" s="195">
        <v>5826.29</v>
      </c>
      <c r="I148" s="195"/>
      <c r="J148" s="195">
        <v>6140.91</v>
      </c>
      <c r="K148" s="193"/>
      <c r="L148" s="193"/>
      <c r="M148" s="193" t="s">
        <v>81</v>
      </c>
      <c r="N148" s="193">
        <v>0.06054</v>
      </c>
      <c r="O148" s="193"/>
      <c r="P148" s="193">
        <v>0.05688</v>
      </c>
      <c r="Q148" s="494"/>
      <c r="R148" s="494"/>
      <c r="S148" s="494"/>
      <c r="T148" s="169"/>
    </row>
    <row r="149" spans="1:20" s="12" customFormat="1" ht="15" customHeight="1">
      <c r="A149" s="190"/>
      <c r="B149" s="191"/>
      <c r="C149" s="191"/>
      <c r="D149" s="191"/>
      <c r="E149" s="191"/>
      <c r="F149" s="181"/>
      <c r="G149" s="181"/>
      <c r="H149" s="195"/>
      <c r="I149" s="195"/>
      <c r="J149" s="195"/>
      <c r="K149" s="193"/>
      <c r="L149" s="193"/>
      <c r="M149" s="193"/>
      <c r="N149" s="193"/>
      <c r="O149" s="193"/>
      <c r="P149" s="193"/>
      <c r="Q149" s="494"/>
      <c r="R149" s="494"/>
      <c r="S149" s="494"/>
      <c r="T149" s="169"/>
    </row>
    <row r="150" spans="1:20" s="12" customFormat="1" ht="13.5" customHeight="1">
      <c r="A150" s="190"/>
      <c r="B150" s="191"/>
      <c r="C150" s="191"/>
      <c r="D150" s="191"/>
      <c r="E150" s="191"/>
      <c r="F150" s="181"/>
      <c r="G150" s="181"/>
      <c r="H150" s="181"/>
      <c r="I150" s="181"/>
      <c r="J150" s="181"/>
      <c r="K150" s="193"/>
      <c r="L150" s="193"/>
      <c r="M150" s="193"/>
      <c r="N150" s="193"/>
      <c r="O150" s="193"/>
      <c r="P150" s="193"/>
      <c r="Q150" s="494"/>
      <c r="R150" s="494"/>
      <c r="S150" s="494"/>
      <c r="T150" s="169"/>
    </row>
    <row r="151" spans="1:20" s="12" customFormat="1" ht="15.75" customHeight="1">
      <c r="A151" s="190"/>
      <c r="B151" s="191"/>
      <c r="C151" s="191"/>
      <c r="D151" s="191"/>
      <c r="E151" s="191"/>
      <c r="F151" s="181"/>
      <c r="G151" s="181"/>
      <c r="H151" s="181"/>
      <c r="I151" s="181"/>
      <c r="J151" s="181"/>
      <c r="K151" s="193"/>
      <c r="L151" s="193"/>
      <c r="M151" s="193"/>
      <c r="N151" s="193"/>
      <c r="O151" s="193"/>
      <c r="P151" s="193"/>
      <c r="Q151" s="193"/>
      <c r="R151" s="193"/>
      <c r="S151" s="193"/>
      <c r="T151" s="169"/>
    </row>
    <row r="152" spans="1:20" s="12" customFormat="1" ht="26.25" customHeight="1" hidden="1">
      <c r="A152" s="495" t="s">
        <v>62</v>
      </c>
      <c r="B152" s="495"/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T152" s="169"/>
    </row>
    <row r="153" spans="1:20" s="12" customFormat="1" ht="35.25" hidden="1">
      <c r="A153" s="496" t="s">
        <v>15</v>
      </c>
      <c r="B153" s="497" t="s">
        <v>0</v>
      </c>
      <c r="C153" s="498"/>
      <c r="D153" s="499"/>
      <c r="E153" s="198"/>
      <c r="F153" s="503" t="s">
        <v>1</v>
      </c>
      <c r="G153" s="503"/>
      <c r="H153" s="503"/>
      <c r="I153" s="503" t="s">
        <v>3</v>
      </c>
      <c r="J153" s="503"/>
      <c r="K153" s="503"/>
      <c r="L153" s="503" t="s">
        <v>4</v>
      </c>
      <c r="M153" s="503"/>
      <c r="N153" s="503"/>
      <c r="O153" s="503" t="s">
        <v>6</v>
      </c>
      <c r="P153" s="503"/>
      <c r="Q153" s="503"/>
      <c r="R153" s="503" t="s">
        <v>7</v>
      </c>
      <c r="S153" s="503"/>
      <c r="T153" s="169"/>
    </row>
    <row r="154" spans="1:20" s="12" customFormat="1" ht="35.25" hidden="1">
      <c r="A154" s="496"/>
      <c r="B154" s="500"/>
      <c r="C154" s="501"/>
      <c r="D154" s="502"/>
      <c r="E154" s="199"/>
      <c r="F154" s="118"/>
      <c r="G154" s="200" t="s">
        <v>10</v>
      </c>
      <c r="H154" s="200" t="s">
        <v>5</v>
      </c>
      <c r="I154" s="200" t="s">
        <v>10</v>
      </c>
      <c r="J154" s="200" t="s">
        <v>10</v>
      </c>
      <c r="K154" s="200" t="s">
        <v>5</v>
      </c>
      <c r="L154" s="200" t="s">
        <v>10</v>
      </c>
      <c r="M154" s="200" t="s">
        <v>10</v>
      </c>
      <c r="N154" s="200" t="s">
        <v>5</v>
      </c>
      <c r="O154" s="200" t="s">
        <v>10</v>
      </c>
      <c r="P154" s="200" t="s">
        <v>10</v>
      </c>
      <c r="Q154" s="200" t="s">
        <v>5</v>
      </c>
      <c r="R154" s="200" t="s">
        <v>10</v>
      </c>
      <c r="S154" s="200" t="s">
        <v>5</v>
      </c>
      <c r="T154" s="169"/>
    </row>
    <row r="155" spans="1:22" s="12" customFormat="1" ht="32.25" customHeight="1" hidden="1">
      <c r="A155" s="201">
        <v>1</v>
      </c>
      <c r="B155" s="504" t="s">
        <v>33</v>
      </c>
      <c r="C155" s="505"/>
      <c r="D155" s="506"/>
      <c r="E155" s="202"/>
      <c r="F155" s="201">
        <v>14.8</v>
      </c>
      <c r="G155" s="203">
        <v>3.3</v>
      </c>
      <c r="H155" s="203">
        <f>G155*J178</f>
        <v>97.152</v>
      </c>
      <c r="I155" s="203">
        <v>14.8</v>
      </c>
      <c r="J155" s="203">
        <v>3.3</v>
      </c>
      <c r="K155" s="203">
        <f>J155*J178</f>
        <v>97.152</v>
      </c>
      <c r="L155" s="203">
        <v>15</v>
      </c>
      <c r="M155" s="203">
        <v>3.4</v>
      </c>
      <c r="N155" s="203">
        <f>M155*J178</f>
        <v>100.096</v>
      </c>
      <c r="O155" s="203">
        <v>15</v>
      </c>
      <c r="P155" s="203">
        <v>3.3</v>
      </c>
      <c r="Q155" s="203">
        <f>P155*J178</f>
        <v>97.152</v>
      </c>
      <c r="R155" s="203">
        <f>G155+J155+M155+P155</f>
        <v>13.3</v>
      </c>
      <c r="S155" s="203">
        <f>H155+K155+N155+Q155</f>
        <v>391.55199999999996</v>
      </c>
      <c r="T155" s="169" t="s">
        <v>21</v>
      </c>
      <c r="U155" s="11"/>
      <c r="V155" s="11"/>
    </row>
    <row r="156" spans="1:22" s="12" customFormat="1" ht="32.25" customHeight="1" hidden="1">
      <c r="A156" s="201">
        <v>2</v>
      </c>
      <c r="B156" s="504" t="s">
        <v>41</v>
      </c>
      <c r="C156" s="505"/>
      <c r="D156" s="506"/>
      <c r="E156" s="202"/>
      <c r="F156" s="204"/>
      <c r="G156" s="203">
        <f>G157+G158+G159+G160+G161+G162</f>
        <v>4062.7</v>
      </c>
      <c r="H156" s="203">
        <f>H157+H158+H159+H160+H161+H162</f>
        <v>130684.578</v>
      </c>
      <c r="I156" s="203"/>
      <c r="J156" s="203">
        <f>J157+J158+J159+J160+J161+J162</f>
        <v>3746</v>
      </c>
      <c r="K156" s="203">
        <f>K157+K158+K159+K160+K161+K162</f>
        <v>121933.6</v>
      </c>
      <c r="L156" s="203"/>
      <c r="M156" s="203">
        <f>M157+M158+M159+M160+M161+M162</f>
        <v>3920.1</v>
      </c>
      <c r="N156" s="203">
        <f>N157+N158+N159+N160+N161+N162</f>
        <v>126797.51400000001</v>
      </c>
      <c r="O156" s="203"/>
      <c r="P156" s="203">
        <f>P157+P158+P159+P160+P161+P162</f>
        <v>3955.8</v>
      </c>
      <c r="Q156" s="203">
        <f>Q157+Q158+Q159+Q160+Q161+Q162</f>
        <v>128166.672</v>
      </c>
      <c r="R156" s="203">
        <f>R157+R158+R159+R160+R161+R162</f>
        <v>15684.6</v>
      </c>
      <c r="S156" s="203">
        <f>S157+S158+S159+S160+S161+S162</f>
        <v>507582.364</v>
      </c>
      <c r="T156" s="169"/>
      <c r="U156" s="11"/>
      <c r="V156" s="11"/>
    </row>
    <row r="157" spans="1:22" s="12" customFormat="1" ht="25.5" customHeight="1" hidden="1">
      <c r="A157" s="201"/>
      <c r="B157" s="507" t="s">
        <v>34</v>
      </c>
      <c r="C157" s="508"/>
      <c r="D157" s="509"/>
      <c r="E157" s="205"/>
      <c r="F157" s="204">
        <v>3068.8</v>
      </c>
      <c r="G157" s="206">
        <v>520</v>
      </c>
      <c r="H157" s="206">
        <f>G157*J178</f>
        <v>15308.800000000001</v>
      </c>
      <c r="I157" s="206">
        <v>2511</v>
      </c>
      <c r="J157" s="206">
        <v>185</v>
      </c>
      <c r="K157" s="206">
        <f>J157*J178</f>
        <v>5446.400000000001</v>
      </c>
      <c r="L157" s="206">
        <v>2511</v>
      </c>
      <c r="M157" s="206">
        <v>590</v>
      </c>
      <c r="N157" s="206">
        <f>M157*J178</f>
        <v>17369.600000000002</v>
      </c>
      <c r="O157" s="206">
        <v>2511</v>
      </c>
      <c r="P157" s="206">
        <v>342</v>
      </c>
      <c r="Q157" s="206">
        <f>P157*J178</f>
        <v>10068.48</v>
      </c>
      <c r="R157" s="206">
        <f aca="true" t="shared" si="17" ref="R157:S163">G157+J157+M157+P157</f>
        <v>1637</v>
      </c>
      <c r="S157" s="206">
        <f t="shared" si="17"/>
        <v>48193.28</v>
      </c>
      <c r="T157" s="169" t="s">
        <v>21</v>
      </c>
      <c r="U157" s="11"/>
      <c r="V157" s="11"/>
    </row>
    <row r="158" spans="1:22" s="12" customFormat="1" ht="27.75" customHeight="1" hidden="1">
      <c r="A158" s="201"/>
      <c r="B158" s="507" t="s">
        <v>35</v>
      </c>
      <c r="C158" s="508"/>
      <c r="D158" s="509"/>
      <c r="E158" s="205"/>
      <c r="F158" s="204">
        <v>609</v>
      </c>
      <c r="G158" s="206">
        <v>516</v>
      </c>
      <c r="H158" s="206">
        <f>G158*J178</f>
        <v>15191.04</v>
      </c>
      <c r="I158" s="206">
        <v>609</v>
      </c>
      <c r="J158" s="206">
        <v>516</v>
      </c>
      <c r="K158" s="206">
        <f>J158*J178</f>
        <v>15191.04</v>
      </c>
      <c r="L158" s="206">
        <v>609</v>
      </c>
      <c r="M158" s="206">
        <v>516</v>
      </c>
      <c r="N158" s="206">
        <f>M158*J178</f>
        <v>15191.04</v>
      </c>
      <c r="O158" s="206">
        <v>609</v>
      </c>
      <c r="P158" s="206">
        <v>516</v>
      </c>
      <c r="Q158" s="206">
        <f>P158*J178</f>
        <v>15191.04</v>
      </c>
      <c r="R158" s="206">
        <f t="shared" si="17"/>
        <v>2064</v>
      </c>
      <c r="S158" s="206">
        <f t="shared" si="17"/>
        <v>60764.16</v>
      </c>
      <c r="T158" s="169" t="s">
        <v>21</v>
      </c>
      <c r="U158" s="11"/>
      <c r="V158" s="11"/>
    </row>
    <row r="159" spans="1:22" s="12" customFormat="1" ht="26.25" customHeight="1" hidden="1">
      <c r="A159" s="201"/>
      <c r="B159" s="507" t="s">
        <v>36</v>
      </c>
      <c r="C159" s="508"/>
      <c r="D159" s="509"/>
      <c r="E159" s="205"/>
      <c r="F159" s="204">
        <v>725.1</v>
      </c>
      <c r="G159" s="206">
        <v>616</v>
      </c>
      <c r="H159" s="206">
        <f>G159*J179</f>
        <v>22490.16</v>
      </c>
      <c r="I159" s="206">
        <v>885.2</v>
      </c>
      <c r="J159" s="206">
        <v>752</v>
      </c>
      <c r="K159" s="206">
        <f>J159*J179</f>
        <v>27455.519999999997</v>
      </c>
      <c r="L159" s="206">
        <v>727.3</v>
      </c>
      <c r="M159" s="206">
        <v>618</v>
      </c>
      <c r="N159" s="206">
        <f>M159*J179</f>
        <v>22563.18</v>
      </c>
      <c r="O159" s="206">
        <v>892.61</v>
      </c>
      <c r="P159" s="206">
        <v>759</v>
      </c>
      <c r="Q159" s="206">
        <f>P159*J179</f>
        <v>27711.09</v>
      </c>
      <c r="R159" s="206">
        <f t="shared" si="17"/>
        <v>2745</v>
      </c>
      <c r="S159" s="206">
        <f t="shared" si="17"/>
        <v>100219.94999999998</v>
      </c>
      <c r="T159" s="169" t="s">
        <v>21</v>
      </c>
      <c r="U159" s="11"/>
      <c r="V159" s="11"/>
    </row>
    <row r="160" spans="1:22" s="12" customFormat="1" ht="24" customHeight="1" hidden="1">
      <c r="A160" s="201"/>
      <c r="B160" s="510" t="s">
        <v>37</v>
      </c>
      <c r="C160" s="510"/>
      <c r="D160" s="510"/>
      <c r="E160" s="207"/>
      <c r="F160" s="204">
        <v>1639</v>
      </c>
      <c r="G160" s="206">
        <v>951</v>
      </c>
      <c r="H160" s="206">
        <f>G160*J179</f>
        <v>34721.009999999995</v>
      </c>
      <c r="I160" s="206">
        <v>1584</v>
      </c>
      <c r="J160" s="206">
        <v>896</v>
      </c>
      <c r="K160" s="206">
        <f>J160*J179</f>
        <v>32712.96</v>
      </c>
      <c r="L160" s="206">
        <v>1344</v>
      </c>
      <c r="M160" s="206">
        <v>993</v>
      </c>
      <c r="N160" s="206">
        <f>M160*J179</f>
        <v>36254.43</v>
      </c>
      <c r="O160" s="206">
        <v>1639</v>
      </c>
      <c r="P160" s="206">
        <v>897</v>
      </c>
      <c r="Q160" s="206">
        <f>P160*J179</f>
        <v>32749.469999999998</v>
      </c>
      <c r="R160" s="206">
        <f t="shared" si="17"/>
        <v>3737</v>
      </c>
      <c r="S160" s="206">
        <f t="shared" si="17"/>
        <v>136437.87</v>
      </c>
      <c r="T160" s="169" t="s">
        <v>21</v>
      </c>
      <c r="U160" s="11"/>
      <c r="V160" s="11"/>
    </row>
    <row r="161" spans="1:22" s="12" customFormat="1" ht="24.75" customHeight="1" hidden="1">
      <c r="A161" s="201"/>
      <c r="B161" s="510" t="s">
        <v>38</v>
      </c>
      <c r="C161" s="510"/>
      <c r="D161" s="510"/>
      <c r="E161" s="207"/>
      <c r="F161" s="204">
        <v>53.7</v>
      </c>
      <c r="G161" s="206">
        <v>1393</v>
      </c>
      <c r="H161" s="206">
        <f>G161*J178</f>
        <v>41009.92</v>
      </c>
      <c r="I161" s="206">
        <v>43.6</v>
      </c>
      <c r="J161" s="206">
        <v>1346</v>
      </c>
      <c r="K161" s="206">
        <f>J161*J178</f>
        <v>39626.240000000005</v>
      </c>
      <c r="L161" s="206">
        <v>43.8</v>
      </c>
      <c r="M161" s="206">
        <v>1142</v>
      </c>
      <c r="N161" s="206">
        <f>M161*J178</f>
        <v>33620.48</v>
      </c>
      <c r="O161" s="206">
        <v>43.8</v>
      </c>
      <c r="P161" s="206">
        <v>1393</v>
      </c>
      <c r="Q161" s="206">
        <f>P161*J178</f>
        <v>41009.92</v>
      </c>
      <c r="R161" s="206">
        <f t="shared" si="17"/>
        <v>5274</v>
      </c>
      <c r="S161" s="206">
        <f t="shared" si="17"/>
        <v>155266.56</v>
      </c>
      <c r="T161" s="169" t="s">
        <v>21</v>
      </c>
      <c r="U161" s="11"/>
      <c r="V161" s="11"/>
    </row>
    <row r="162" spans="1:22" s="12" customFormat="1" ht="54.75" customHeight="1" hidden="1">
      <c r="A162" s="201"/>
      <c r="B162" s="510" t="s">
        <v>39</v>
      </c>
      <c r="C162" s="510"/>
      <c r="D162" s="510"/>
      <c r="E162" s="207"/>
      <c r="F162" s="204">
        <v>51</v>
      </c>
      <c r="G162" s="206">
        <v>66.7</v>
      </c>
      <c r="H162" s="206">
        <f>G162*J178</f>
        <v>1963.6480000000001</v>
      </c>
      <c r="I162" s="206">
        <v>48</v>
      </c>
      <c r="J162" s="206">
        <v>51</v>
      </c>
      <c r="K162" s="206">
        <f>J162*J178</f>
        <v>1501.44</v>
      </c>
      <c r="L162" s="206">
        <v>48</v>
      </c>
      <c r="M162" s="206">
        <v>61.1</v>
      </c>
      <c r="N162" s="206">
        <f>M162*J178</f>
        <v>1798.784</v>
      </c>
      <c r="O162" s="206">
        <v>51</v>
      </c>
      <c r="P162" s="206">
        <v>48.8</v>
      </c>
      <c r="Q162" s="206">
        <f>P162*J178</f>
        <v>1436.672</v>
      </c>
      <c r="R162" s="206">
        <f t="shared" si="17"/>
        <v>227.60000000000002</v>
      </c>
      <c r="S162" s="206">
        <f t="shared" si="17"/>
        <v>6700.544</v>
      </c>
      <c r="T162" s="169" t="s">
        <v>21</v>
      </c>
      <c r="U162" s="11"/>
      <c r="V162" s="11"/>
    </row>
    <row r="163" spans="1:22" s="12" customFormat="1" ht="24" customHeight="1" hidden="1">
      <c r="A163" s="201">
        <v>3</v>
      </c>
      <c r="B163" s="504" t="s">
        <v>42</v>
      </c>
      <c r="C163" s="505"/>
      <c r="D163" s="506"/>
      <c r="E163" s="202"/>
      <c r="F163" s="204">
        <v>76.86</v>
      </c>
      <c r="G163" s="203">
        <v>201</v>
      </c>
      <c r="H163" s="203">
        <f>G163*J178</f>
        <v>5917.4400000000005</v>
      </c>
      <c r="I163" s="203">
        <v>76.86</v>
      </c>
      <c r="J163" s="203">
        <v>201</v>
      </c>
      <c r="K163" s="203">
        <f>J163*J178</f>
        <v>5917.4400000000005</v>
      </c>
      <c r="L163" s="203">
        <v>76.86</v>
      </c>
      <c r="M163" s="203">
        <v>201</v>
      </c>
      <c r="N163" s="203">
        <f>M163*J178</f>
        <v>5917.4400000000005</v>
      </c>
      <c r="O163" s="203">
        <v>76.86</v>
      </c>
      <c r="P163" s="203">
        <v>201</v>
      </c>
      <c r="Q163" s="203">
        <f>P163*J178</f>
        <v>5917.4400000000005</v>
      </c>
      <c r="R163" s="203">
        <f t="shared" si="17"/>
        <v>804</v>
      </c>
      <c r="S163" s="203">
        <f t="shared" si="17"/>
        <v>23669.760000000002</v>
      </c>
      <c r="T163" s="169" t="s">
        <v>21</v>
      </c>
      <c r="U163" s="11"/>
      <c r="V163" s="11"/>
    </row>
    <row r="164" spans="1:22" s="12" customFormat="1" ht="30.75" customHeight="1" hidden="1">
      <c r="A164" s="201">
        <v>4</v>
      </c>
      <c r="B164" s="504" t="s">
        <v>43</v>
      </c>
      <c r="C164" s="505"/>
      <c r="D164" s="506"/>
      <c r="E164" s="202"/>
      <c r="F164" s="204">
        <v>172</v>
      </c>
      <c r="G164" s="203">
        <f>G165</f>
        <v>23.4</v>
      </c>
      <c r="H164" s="203">
        <f>H165</f>
        <v>688.896</v>
      </c>
      <c r="I164" s="203"/>
      <c r="J164" s="203">
        <f>J165</f>
        <v>23.4</v>
      </c>
      <c r="K164" s="203">
        <f>K165</f>
        <v>688.896</v>
      </c>
      <c r="L164" s="203"/>
      <c r="M164" s="203">
        <f>M165</f>
        <v>23.4</v>
      </c>
      <c r="N164" s="203">
        <f>N165</f>
        <v>688.896</v>
      </c>
      <c r="O164" s="203"/>
      <c r="P164" s="203">
        <f>P165</f>
        <v>23.1</v>
      </c>
      <c r="Q164" s="203">
        <f>Q165</f>
        <v>680.0640000000001</v>
      </c>
      <c r="R164" s="203">
        <f>R165</f>
        <v>93.29999999999998</v>
      </c>
      <c r="S164" s="203">
        <f>S165</f>
        <v>2746.7520000000004</v>
      </c>
      <c r="T164" s="169" t="s">
        <v>21</v>
      </c>
      <c r="U164" s="11"/>
      <c r="V164" s="11"/>
    </row>
    <row r="165" spans="1:22" s="12" customFormat="1" ht="30.75" customHeight="1" hidden="1">
      <c r="A165" s="201"/>
      <c r="B165" s="507" t="s">
        <v>44</v>
      </c>
      <c r="C165" s="508"/>
      <c r="D165" s="509"/>
      <c r="E165" s="205"/>
      <c r="F165" s="204"/>
      <c r="G165" s="206">
        <v>23.4</v>
      </c>
      <c r="H165" s="206">
        <f>G165*J178</f>
        <v>688.896</v>
      </c>
      <c r="I165" s="206"/>
      <c r="J165" s="206">
        <v>23.4</v>
      </c>
      <c r="K165" s="206">
        <f>J165*J178</f>
        <v>688.896</v>
      </c>
      <c r="L165" s="206"/>
      <c r="M165" s="206">
        <v>23.4</v>
      </c>
      <c r="N165" s="206">
        <f>M165*J178</f>
        <v>688.896</v>
      </c>
      <c r="O165" s="206"/>
      <c r="P165" s="206">
        <v>23.1</v>
      </c>
      <c r="Q165" s="206">
        <f>P165*J178</f>
        <v>680.0640000000001</v>
      </c>
      <c r="R165" s="206">
        <f>G165+J165+M165+P165</f>
        <v>93.29999999999998</v>
      </c>
      <c r="S165" s="206">
        <f>H165+K165+N165+Q165</f>
        <v>2746.7520000000004</v>
      </c>
      <c r="T165" s="169"/>
      <c r="U165" s="11"/>
      <c r="V165" s="11"/>
    </row>
    <row r="166" spans="1:22" s="12" customFormat="1" ht="30.75" customHeight="1" hidden="1">
      <c r="A166" s="201">
        <v>5</v>
      </c>
      <c r="B166" s="504" t="s">
        <v>47</v>
      </c>
      <c r="C166" s="505"/>
      <c r="D166" s="506"/>
      <c r="E166" s="202"/>
      <c r="F166" s="204"/>
      <c r="G166" s="203">
        <f>G167+G168+G169+G170+G171+G172</f>
        <v>127.91</v>
      </c>
      <c r="H166" s="203">
        <f>H167+H168+H169+H170+H171+H172</f>
        <v>3854.7524000000003</v>
      </c>
      <c r="I166" s="203"/>
      <c r="J166" s="203">
        <f>J167+J168+J169+J171+J172+J170</f>
        <v>122.46000000000001</v>
      </c>
      <c r="K166" s="203">
        <f>K167+K168+K169+K170+K171+K172</f>
        <v>3672.3874</v>
      </c>
      <c r="L166" s="203"/>
      <c r="M166" s="203">
        <f>M167+M168+M169+M170+M171+M172</f>
        <v>110.28999999999999</v>
      </c>
      <c r="N166" s="203">
        <f>N167+N168+N169+N170+N171+N172</f>
        <v>3314.1026</v>
      </c>
      <c r="O166" s="203"/>
      <c r="P166" s="203">
        <f>P167+P168+P169+P170+P171+P172</f>
        <v>122.81</v>
      </c>
      <c r="Q166" s="203">
        <f>Q167+Q168+Q169+Q170+Q171+Q172</f>
        <v>3701.0734</v>
      </c>
      <c r="R166" s="203">
        <f>R167+R168+R169+R170+R171+R172</f>
        <v>483.46999999999997</v>
      </c>
      <c r="S166" s="203">
        <f>S167+S168+S169+S170+S171+S172</f>
        <v>14542.3158</v>
      </c>
      <c r="T166" s="169"/>
      <c r="U166" s="11"/>
      <c r="V166" s="11"/>
    </row>
    <row r="167" spans="1:22" s="12" customFormat="1" ht="30.75" customHeight="1" hidden="1">
      <c r="A167" s="201"/>
      <c r="B167" s="507" t="s">
        <v>48</v>
      </c>
      <c r="C167" s="508"/>
      <c r="D167" s="509"/>
      <c r="E167" s="205"/>
      <c r="F167" s="204"/>
      <c r="G167" s="206">
        <v>7.71</v>
      </c>
      <c r="H167" s="206">
        <f>G167*J178</f>
        <v>226.9824</v>
      </c>
      <c r="I167" s="206"/>
      <c r="J167" s="206">
        <v>6.36</v>
      </c>
      <c r="K167" s="206">
        <f>J167*J178</f>
        <v>187.2384</v>
      </c>
      <c r="L167" s="206"/>
      <c r="M167" s="206">
        <v>3.69</v>
      </c>
      <c r="N167" s="206">
        <f>M167*J178</f>
        <v>108.6336</v>
      </c>
      <c r="O167" s="206"/>
      <c r="P167" s="206">
        <v>6.11</v>
      </c>
      <c r="Q167" s="206">
        <f>P167*J178</f>
        <v>179.87840000000003</v>
      </c>
      <c r="R167" s="206">
        <f aca="true" t="shared" si="18" ref="R167:S172">G167+J167+M167+P167</f>
        <v>23.87</v>
      </c>
      <c r="S167" s="206">
        <f t="shared" si="18"/>
        <v>702.7328000000001</v>
      </c>
      <c r="T167" s="169"/>
      <c r="U167" s="11"/>
      <c r="V167" s="11"/>
    </row>
    <row r="168" spans="1:22" s="12" customFormat="1" ht="30.75" customHeight="1" hidden="1">
      <c r="A168" s="201"/>
      <c r="B168" s="507" t="s">
        <v>49</v>
      </c>
      <c r="C168" s="508"/>
      <c r="D168" s="509"/>
      <c r="E168" s="205"/>
      <c r="F168" s="204"/>
      <c r="G168" s="206">
        <v>40</v>
      </c>
      <c r="H168" s="206">
        <f>G168*J178</f>
        <v>1177.6000000000001</v>
      </c>
      <c r="I168" s="206"/>
      <c r="J168" s="206">
        <v>40</v>
      </c>
      <c r="K168" s="206">
        <f>J168*J178</f>
        <v>1177.6000000000001</v>
      </c>
      <c r="L168" s="206"/>
      <c r="M168" s="206">
        <v>40</v>
      </c>
      <c r="N168" s="206">
        <f>M168*J178</f>
        <v>1177.6000000000001</v>
      </c>
      <c r="O168" s="206"/>
      <c r="P168" s="206">
        <v>40</v>
      </c>
      <c r="Q168" s="206">
        <f>P168*J178</f>
        <v>1177.6000000000001</v>
      </c>
      <c r="R168" s="206">
        <f t="shared" si="18"/>
        <v>160</v>
      </c>
      <c r="S168" s="206">
        <f t="shared" si="18"/>
        <v>4710.400000000001</v>
      </c>
      <c r="T168" s="169"/>
      <c r="U168" s="11"/>
      <c r="V168" s="11"/>
    </row>
    <row r="169" spans="1:22" s="12" customFormat="1" ht="30.75" customHeight="1" hidden="1">
      <c r="A169" s="201"/>
      <c r="B169" s="507" t="s">
        <v>50</v>
      </c>
      <c r="C169" s="508"/>
      <c r="D169" s="509"/>
      <c r="E169" s="205"/>
      <c r="F169" s="204"/>
      <c r="G169" s="206">
        <v>27.6</v>
      </c>
      <c r="H169" s="208">
        <f>G169*J178</f>
        <v>812.5440000000001</v>
      </c>
      <c r="I169" s="206"/>
      <c r="J169" s="206">
        <v>27.6</v>
      </c>
      <c r="K169" s="206">
        <f>J169*J178</f>
        <v>812.5440000000001</v>
      </c>
      <c r="L169" s="206"/>
      <c r="M169" s="206">
        <v>27.6</v>
      </c>
      <c r="N169" s="206">
        <f>M169*J178</f>
        <v>812.5440000000001</v>
      </c>
      <c r="O169" s="206"/>
      <c r="P169" s="206">
        <v>27.6</v>
      </c>
      <c r="Q169" s="206">
        <f>P169*J178</f>
        <v>812.5440000000001</v>
      </c>
      <c r="R169" s="206">
        <f t="shared" si="18"/>
        <v>110.4</v>
      </c>
      <c r="S169" s="206">
        <f t="shared" si="18"/>
        <v>3250.1760000000004</v>
      </c>
      <c r="T169" s="169"/>
      <c r="U169" s="11"/>
      <c r="V169" s="11"/>
    </row>
    <row r="170" spans="1:22" s="12" customFormat="1" ht="30.75" customHeight="1" hidden="1">
      <c r="A170" s="201"/>
      <c r="B170" s="510" t="s">
        <v>40</v>
      </c>
      <c r="C170" s="510"/>
      <c r="D170" s="510"/>
      <c r="E170" s="207"/>
      <c r="F170" s="204"/>
      <c r="G170" s="206">
        <v>40</v>
      </c>
      <c r="H170" s="206">
        <f>G170*J178</f>
        <v>1177.6000000000001</v>
      </c>
      <c r="I170" s="206"/>
      <c r="J170" s="206">
        <v>39</v>
      </c>
      <c r="K170" s="206">
        <f>J170*J178</f>
        <v>1148.16</v>
      </c>
      <c r="L170" s="206"/>
      <c r="M170" s="206">
        <v>29.5</v>
      </c>
      <c r="N170" s="206">
        <f>M170*J178</f>
        <v>868.48</v>
      </c>
      <c r="O170" s="206"/>
      <c r="P170" s="206">
        <v>37</v>
      </c>
      <c r="Q170" s="206">
        <f>P170*J178</f>
        <v>1089.28</v>
      </c>
      <c r="R170" s="206">
        <f t="shared" si="18"/>
        <v>145.5</v>
      </c>
      <c r="S170" s="206">
        <f t="shared" si="18"/>
        <v>4283.52</v>
      </c>
      <c r="T170" s="169"/>
      <c r="U170" s="11"/>
      <c r="V170" s="11"/>
    </row>
    <row r="171" spans="1:22" s="12" customFormat="1" ht="30.75" customHeight="1" hidden="1">
      <c r="A171" s="201"/>
      <c r="B171" s="510" t="s">
        <v>51</v>
      </c>
      <c r="C171" s="510"/>
      <c r="D171" s="510"/>
      <c r="E171" s="207"/>
      <c r="F171" s="204"/>
      <c r="G171" s="206">
        <v>4.6</v>
      </c>
      <c r="H171" s="206">
        <f>G171*J179</f>
        <v>167.94599999999997</v>
      </c>
      <c r="I171" s="206"/>
      <c r="J171" s="206">
        <v>1.5</v>
      </c>
      <c r="K171" s="206">
        <f>J171*J179</f>
        <v>54.765</v>
      </c>
      <c r="L171" s="206"/>
      <c r="M171" s="206">
        <v>1.5</v>
      </c>
      <c r="N171" s="206">
        <f>M171*J179</f>
        <v>54.765</v>
      </c>
      <c r="O171" s="206"/>
      <c r="P171" s="206">
        <v>4.1</v>
      </c>
      <c r="Q171" s="206">
        <f>P171*J179</f>
        <v>149.69099999999997</v>
      </c>
      <c r="R171" s="206">
        <f t="shared" si="18"/>
        <v>11.7</v>
      </c>
      <c r="S171" s="206">
        <f t="shared" si="18"/>
        <v>427.1669999999999</v>
      </c>
      <c r="T171" s="169"/>
      <c r="U171" s="11"/>
      <c r="V171" s="11"/>
    </row>
    <row r="172" spans="1:22" s="12" customFormat="1" ht="30.75" customHeight="1" hidden="1">
      <c r="A172" s="201"/>
      <c r="B172" s="510" t="s">
        <v>52</v>
      </c>
      <c r="C172" s="510"/>
      <c r="D172" s="510"/>
      <c r="E172" s="207"/>
      <c r="F172" s="204"/>
      <c r="G172" s="206">
        <v>8</v>
      </c>
      <c r="H172" s="206">
        <f>G172*J179</f>
        <v>292.08</v>
      </c>
      <c r="I172" s="206"/>
      <c r="J172" s="206">
        <v>8</v>
      </c>
      <c r="K172" s="206">
        <f>J172*J179</f>
        <v>292.08</v>
      </c>
      <c r="L172" s="206"/>
      <c r="M172" s="206">
        <v>8</v>
      </c>
      <c r="N172" s="206">
        <f>M172*J179</f>
        <v>292.08</v>
      </c>
      <c r="O172" s="206"/>
      <c r="P172" s="206">
        <v>8</v>
      </c>
      <c r="Q172" s="206">
        <f>P172*J179</f>
        <v>292.08</v>
      </c>
      <c r="R172" s="206">
        <f t="shared" si="18"/>
        <v>32</v>
      </c>
      <c r="S172" s="206">
        <f t="shared" si="18"/>
        <v>1168.32</v>
      </c>
      <c r="T172" s="169"/>
      <c r="U172" s="11"/>
      <c r="V172" s="11"/>
    </row>
    <row r="173" spans="1:22" s="12" customFormat="1" ht="30.75" customHeight="1" hidden="1">
      <c r="A173" s="201">
        <v>6</v>
      </c>
      <c r="B173" s="504" t="s">
        <v>53</v>
      </c>
      <c r="C173" s="505"/>
      <c r="D173" s="506"/>
      <c r="E173" s="202"/>
      <c r="F173" s="204"/>
      <c r="G173" s="203">
        <f>G174+G175</f>
        <v>428.14000000000004</v>
      </c>
      <c r="H173" s="203">
        <f>H174+H175</f>
        <v>12604.4416</v>
      </c>
      <c r="I173" s="203"/>
      <c r="J173" s="203">
        <f>J174+J175</f>
        <v>444.5</v>
      </c>
      <c r="K173" s="203">
        <f>K174+K175</f>
        <v>13086.08</v>
      </c>
      <c r="L173" s="203"/>
      <c r="M173" s="203">
        <f>M174+M175</f>
        <v>216.12</v>
      </c>
      <c r="N173" s="203">
        <f>N174+N175</f>
        <v>6362.5728</v>
      </c>
      <c r="O173" s="203"/>
      <c r="P173" s="203">
        <f>P174+P175</f>
        <v>423.71000000000004</v>
      </c>
      <c r="Q173" s="203">
        <f>Q174+Q175</f>
        <v>12474.022400000002</v>
      </c>
      <c r="R173" s="203">
        <f>R174+R175</f>
        <v>1512.47</v>
      </c>
      <c r="S173" s="203">
        <f>S174+S175</f>
        <v>44527.1168</v>
      </c>
      <c r="T173" s="169"/>
      <c r="U173" s="11"/>
      <c r="V173" s="11"/>
    </row>
    <row r="174" spans="1:22" s="12" customFormat="1" ht="30.75" customHeight="1" hidden="1">
      <c r="A174" s="204"/>
      <c r="B174" s="507" t="s">
        <v>54</v>
      </c>
      <c r="C174" s="508"/>
      <c r="D174" s="509"/>
      <c r="E174" s="205"/>
      <c r="F174" s="204"/>
      <c r="G174" s="206">
        <v>27.6</v>
      </c>
      <c r="H174" s="206">
        <f>G174*J178</f>
        <v>812.5440000000001</v>
      </c>
      <c r="I174" s="206"/>
      <c r="J174" s="206">
        <v>44.5</v>
      </c>
      <c r="K174" s="206">
        <f>J174*J178</f>
        <v>1310.0800000000002</v>
      </c>
      <c r="L174" s="206"/>
      <c r="M174" s="206">
        <v>74.6</v>
      </c>
      <c r="N174" s="206">
        <f>M174*J178</f>
        <v>2196.2239999999997</v>
      </c>
      <c r="O174" s="206"/>
      <c r="P174" s="206">
        <v>23.1</v>
      </c>
      <c r="Q174" s="206">
        <f>P174*J178</f>
        <v>680.0640000000001</v>
      </c>
      <c r="R174" s="206">
        <f>G174+J174+M174+P174</f>
        <v>169.79999999999998</v>
      </c>
      <c r="S174" s="206">
        <f>H174+K174+N174+Q174</f>
        <v>4998.912</v>
      </c>
      <c r="T174" s="169"/>
      <c r="U174" s="11"/>
      <c r="V174" s="11"/>
    </row>
    <row r="175" spans="1:22" s="12" customFormat="1" ht="30.75" customHeight="1" hidden="1">
      <c r="A175" s="204"/>
      <c r="B175" s="507" t="s">
        <v>55</v>
      </c>
      <c r="C175" s="508"/>
      <c r="D175" s="509"/>
      <c r="E175" s="205"/>
      <c r="F175" s="204"/>
      <c r="G175" s="206">
        <v>400.54</v>
      </c>
      <c r="H175" s="206">
        <f>G175*J178</f>
        <v>11791.8976</v>
      </c>
      <c r="I175" s="206"/>
      <c r="J175" s="206">
        <v>400</v>
      </c>
      <c r="K175" s="206">
        <f>J175*J178</f>
        <v>11776</v>
      </c>
      <c r="L175" s="206"/>
      <c r="M175" s="206">
        <v>141.52</v>
      </c>
      <c r="N175" s="206">
        <f>M175*J178</f>
        <v>4166.348800000001</v>
      </c>
      <c r="O175" s="206"/>
      <c r="P175" s="206">
        <v>400.61</v>
      </c>
      <c r="Q175" s="206">
        <f>P175*J178</f>
        <v>11793.958400000001</v>
      </c>
      <c r="R175" s="206">
        <f>G175+J175+M175+P175</f>
        <v>1342.67</v>
      </c>
      <c r="S175" s="206">
        <f>H175+K175+N175+Q175</f>
        <v>39528.2048</v>
      </c>
      <c r="T175" s="169"/>
      <c r="U175" s="11"/>
      <c r="V175" s="11"/>
    </row>
    <row r="176" spans="1:20" s="12" customFormat="1" ht="35.25" hidden="1">
      <c r="A176" s="209"/>
      <c r="B176" s="511" t="s">
        <v>19</v>
      </c>
      <c r="C176" s="512"/>
      <c r="D176" s="513"/>
      <c r="E176" s="210"/>
      <c r="F176" s="201" t="e">
        <f>F155+#REF!+#REF!+F157+F158+F159+#REF!+F160+F161+F162+F163+F164+#REF!</f>
        <v>#REF!</v>
      </c>
      <c r="G176" s="203">
        <f>G155+G156+G163+G164+G166+G173</f>
        <v>4846.45</v>
      </c>
      <c r="H176" s="203">
        <f>H155+H156+H163+H164+H166+H173</f>
        <v>153847.25999999998</v>
      </c>
      <c r="I176" s="203" t="e">
        <f>I155+I157+I158+I159+#REF!+I160+I161+I162+I163+I164</f>
        <v>#REF!</v>
      </c>
      <c r="J176" s="203">
        <f>J155+J156+J163+J164+J166+J173</f>
        <v>4540.66</v>
      </c>
      <c r="K176" s="203">
        <f>K155+K156+K163+K164+K166+K173</f>
        <v>145395.55539999998</v>
      </c>
      <c r="L176" s="203" t="e">
        <f>L155+L157+L158+L159+#REF!+L160+L161+L162+L163+L164</f>
        <v>#REF!</v>
      </c>
      <c r="M176" s="203">
        <f>M155+M156+M163+M164+M166+M173</f>
        <v>4474.3099999999995</v>
      </c>
      <c r="N176" s="203">
        <f>N155+N156+N163+N164+N166+N173</f>
        <v>143180.62140000003</v>
      </c>
      <c r="O176" s="203" t="e">
        <f>O155+O157+O158+O159+#REF!+O160+O161+O162+O163+O164</f>
        <v>#REF!</v>
      </c>
      <c r="P176" s="203">
        <f>P155+P156+P163+P164+P166+P173</f>
        <v>4729.720000000001</v>
      </c>
      <c r="Q176" s="203">
        <f>Q155+Q156+Q163+Q164+Q166+Q173</f>
        <v>151036.4238</v>
      </c>
      <c r="R176" s="203">
        <f>R155+R156+R163+R164+R166+R173</f>
        <v>18591.140000000003</v>
      </c>
      <c r="S176" s="203">
        <f>S155+S156+S163+S164+S166+S173</f>
        <v>593459.8605999999</v>
      </c>
      <c r="T176" s="169"/>
    </row>
    <row r="177" spans="1:20" s="12" customFormat="1" ht="35.25" hidden="1">
      <c r="A177" s="209"/>
      <c r="B177" s="514" t="s">
        <v>17</v>
      </c>
      <c r="C177" s="514"/>
      <c r="D177" s="514"/>
      <c r="E177" s="211"/>
      <c r="F177" s="496" t="s">
        <v>60</v>
      </c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T177" s="169"/>
    </row>
    <row r="178" spans="1:20" s="12" customFormat="1" ht="25.5" customHeight="1" hidden="1">
      <c r="A178" s="181"/>
      <c r="B178" s="181"/>
      <c r="C178" s="181"/>
      <c r="D178" s="181"/>
      <c r="E178" s="181"/>
      <c r="F178" s="181"/>
      <c r="G178" s="181"/>
      <c r="H178" s="184" t="s">
        <v>12</v>
      </c>
      <c r="I178" s="184"/>
      <c r="J178" s="184">
        <v>29.44</v>
      </c>
      <c r="K178" s="184"/>
      <c r="L178" s="181"/>
      <c r="M178" s="181"/>
      <c r="N178" s="181"/>
      <c r="O178" s="181"/>
      <c r="P178" s="181"/>
      <c r="Q178" s="181"/>
      <c r="R178" s="181"/>
      <c r="S178" s="181"/>
      <c r="T178" s="169"/>
    </row>
    <row r="179" spans="1:20" s="12" customFormat="1" ht="33" customHeight="1" hidden="1">
      <c r="A179" s="181"/>
      <c r="B179" s="181"/>
      <c r="C179" s="181"/>
      <c r="D179" s="181"/>
      <c r="E179" s="181"/>
      <c r="F179" s="181"/>
      <c r="G179" s="181"/>
      <c r="H179" s="184" t="s">
        <v>13</v>
      </c>
      <c r="I179" s="184"/>
      <c r="J179" s="184">
        <v>36.51</v>
      </c>
      <c r="K179" s="184"/>
      <c r="L179" s="181"/>
      <c r="M179" s="181"/>
      <c r="N179" s="181"/>
      <c r="O179" s="181"/>
      <c r="P179" s="181"/>
      <c r="Q179" s="196"/>
      <c r="R179" s="196"/>
      <c r="S179" s="181"/>
      <c r="T179" s="169"/>
    </row>
    <row r="180" spans="1:20" s="12" customFormat="1" ht="34.5" customHeight="1" hidden="1">
      <c r="A180" s="495" t="s">
        <v>63</v>
      </c>
      <c r="B180" s="495"/>
      <c r="C180" s="495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  <c r="T180" s="169"/>
    </row>
    <row r="181" spans="1:20" s="12" customFormat="1" ht="35.25" hidden="1">
      <c r="A181" s="496" t="s">
        <v>15</v>
      </c>
      <c r="B181" s="497" t="s">
        <v>0</v>
      </c>
      <c r="C181" s="498"/>
      <c r="D181" s="499"/>
      <c r="E181" s="198"/>
      <c r="F181" s="503" t="s">
        <v>1</v>
      </c>
      <c r="G181" s="503"/>
      <c r="H181" s="503"/>
      <c r="I181" s="503" t="s">
        <v>3</v>
      </c>
      <c r="J181" s="503"/>
      <c r="K181" s="503"/>
      <c r="L181" s="503" t="s">
        <v>4</v>
      </c>
      <c r="M181" s="503"/>
      <c r="N181" s="503"/>
      <c r="O181" s="503" t="s">
        <v>6</v>
      </c>
      <c r="P181" s="503"/>
      <c r="Q181" s="503"/>
      <c r="R181" s="503" t="s">
        <v>7</v>
      </c>
      <c r="S181" s="503"/>
      <c r="T181" s="169"/>
    </row>
    <row r="182" spans="1:20" s="12" customFormat="1" ht="35.25" hidden="1">
      <c r="A182" s="496"/>
      <c r="B182" s="500"/>
      <c r="C182" s="501"/>
      <c r="D182" s="502"/>
      <c r="E182" s="212"/>
      <c r="F182" s="200" t="s">
        <v>10</v>
      </c>
      <c r="G182" s="200" t="s">
        <v>10</v>
      </c>
      <c r="H182" s="200" t="s">
        <v>5</v>
      </c>
      <c r="I182" s="200" t="s">
        <v>10</v>
      </c>
      <c r="J182" s="200" t="s">
        <v>10</v>
      </c>
      <c r="K182" s="200" t="s">
        <v>5</v>
      </c>
      <c r="L182" s="200" t="s">
        <v>10</v>
      </c>
      <c r="M182" s="200" t="s">
        <v>10</v>
      </c>
      <c r="N182" s="200" t="s">
        <v>5</v>
      </c>
      <c r="O182" s="200" t="s">
        <v>10</v>
      </c>
      <c r="P182" s="200" t="s">
        <v>10</v>
      </c>
      <c r="Q182" s="200" t="s">
        <v>5</v>
      </c>
      <c r="R182" s="200" t="s">
        <v>10</v>
      </c>
      <c r="S182" s="200" t="s">
        <v>5</v>
      </c>
      <c r="T182" s="169"/>
    </row>
    <row r="183" spans="1:23" s="12" customFormat="1" ht="25.5" customHeight="1" hidden="1">
      <c r="A183" s="201">
        <v>1</v>
      </c>
      <c r="B183" s="504" t="s">
        <v>33</v>
      </c>
      <c r="C183" s="505"/>
      <c r="D183" s="506"/>
      <c r="E183" s="202"/>
      <c r="F183" s="204">
        <v>17.5</v>
      </c>
      <c r="G183" s="203">
        <v>12.3</v>
      </c>
      <c r="H183" s="203">
        <f>G183*J206</f>
        <v>457.068</v>
      </c>
      <c r="I183" s="203">
        <v>17.5</v>
      </c>
      <c r="J183" s="203">
        <v>8.3</v>
      </c>
      <c r="K183" s="203">
        <f>J183*J206</f>
        <v>308.428</v>
      </c>
      <c r="L183" s="203">
        <v>17.5</v>
      </c>
      <c r="M183" s="203">
        <v>5.4</v>
      </c>
      <c r="N183" s="203">
        <f>M183*K206</f>
        <v>207.9</v>
      </c>
      <c r="O183" s="203">
        <v>17.5</v>
      </c>
      <c r="P183" s="203">
        <v>11.3</v>
      </c>
      <c r="Q183" s="203">
        <f>P183*K206</f>
        <v>435.05</v>
      </c>
      <c r="R183" s="203">
        <f>G183+J183+M183+P183</f>
        <v>37.3</v>
      </c>
      <c r="S183" s="203">
        <f>H183+K183+N183+Q183</f>
        <v>1408.446</v>
      </c>
      <c r="T183" s="169" t="s">
        <v>21</v>
      </c>
      <c r="U183" s="11">
        <f>41.08*P183</f>
        <v>464.204</v>
      </c>
      <c r="V183" s="11">
        <f>H183+K183+N183+Q183</f>
        <v>1408.446</v>
      </c>
      <c r="W183" s="12">
        <f aca="true" t="shared" si="19" ref="W183:W192">G183+J183+M183+P183</f>
        <v>37.3</v>
      </c>
    </row>
    <row r="184" spans="1:22" s="12" customFormat="1" ht="25.5" customHeight="1" hidden="1">
      <c r="A184" s="201">
        <v>2</v>
      </c>
      <c r="B184" s="504" t="s">
        <v>41</v>
      </c>
      <c r="C184" s="505"/>
      <c r="D184" s="506"/>
      <c r="E184" s="202"/>
      <c r="F184" s="204"/>
      <c r="G184" s="203">
        <f>G185+G186+G187+G188+G189+G190</f>
        <v>5188.679999999999</v>
      </c>
      <c r="H184" s="203">
        <f>H185+H186+H188+H189+H190+H187</f>
        <v>136057.8288</v>
      </c>
      <c r="I184" s="203"/>
      <c r="J184" s="203">
        <f>J185+J186+J187+J188+J189+J190</f>
        <v>4597.45</v>
      </c>
      <c r="K184" s="203">
        <f>K185+K186+K187+K188+K189+K190</f>
        <v>119534.57199999999</v>
      </c>
      <c r="L184" s="203"/>
      <c r="M184" s="203">
        <f>M185+M186+M187+M188+M189+M190</f>
        <v>4948.61</v>
      </c>
      <c r="N184" s="203">
        <f>N185+N186+N187+N188+N189+N190</f>
        <v>134143.28500000003</v>
      </c>
      <c r="O184" s="203"/>
      <c r="P184" s="203">
        <f>P185+P186+P187+P188+P189+P190</f>
        <v>4697.63</v>
      </c>
      <c r="Q184" s="203">
        <f>Q185+Q186+Q187+Q188+Q189+Q190</f>
        <v>125820.235</v>
      </c>
      <c r="R184" s="203">
        <f>R185+R186+R188+R189+R190+R187</f>
        <v>19432.370000000003</v>
      </c>
      <c r="S184" s="203">
        <f>S185+S186+S187+S188+S189+S190</f>
        <v>515555.92079999996</v>
      </c>
      <c r="T184" s="169"/>
      <c r="U184" s="11"/>
      <c r="V184" s="11"/>
    </row>
    <row r="185" spans="1:23" s="12" customFormat="1" ht="32.25" customHeight="1" hidden="1">
      <c r="A185" s="204"/>
      <c r="B185" s="507" t="s">
        <v>34</v>
      </c>
      <c r="C185" s="508"/>
      <c r="D185" s="509"/>
      <c r="E185" s="205"/>
      <c r="F185" s="204">
        <v>2715</v>
      </c>
      <c r="G185" s="206">
        <v>748.28</v>
      </c>
      <c r="H185" s="206">
        <f>G185*J206</f>
        <v>27806.084799999997</v>
      </c>
      <c r="I185" s="206">
        <v>2715</v>
      </c>
      <c r="J185" s="206">
        <v>409.15</v>
      </c>
      <c r="K185" s="206">
        <f>J185*J206</f>
        <v>15204.013999999997</v>
      </c>
      <c r="L185" s="206">
        <v>2715</v>
      </c>
      <c r="M185" s="206">
        <v>662.91</v>
      </c>
      <c r="N185" s="206">
        <f>M185*K206</f>
        <v>25522.035</v>
      </c>
      <c r="O185" s="206">
        <v>2715</v>
      </c>
      <c r="P185" s="206">
        <v>464.93</v>
      </c>
      <c r="Q185" s="206">
        <f>P185*K206</f>
        <v>17899.805</v>
      </c>
      <c r="R185" s="206">
        <f aca="true" t="shared" si="20" ref="R185:S191">G185+J185+M185+P185</f>
        <v>2285.2699999999995</v>
      </c>
      <c r="S185" s="206">
        <f t="shared" si="20"/>
        <v>86431.9388</v>
      </c>
      <c r="T185" s="169" t="s">
        <v>21</v>
      </c>
      <c r="U185" s="11">
        <f aca="true" t="shared" si="21" ref="U185:U192">41.08*P185</f>
        <v>19099.324399999998</v>
      </c>
      <c r="V185" s="11">
        <f aca="true" t="shared" si="22" ref="V185:V192">H185+K185+N185+Q185</f>
        <v>86431.9388</v>
      </c>
      <c r="W185" s="12">
        <f t="shared" si="19"/>
        <v>2285.2699999999995</v>
      </c>
    </row>
    <row r="186" spans="1:23" s="12" customFormat="1" ht="33.75" customHeight="1" hidden="1">
      <c r="A186" s="204"/>
      <c r="B186" s="507" t="s">
        <v>35</v>
      </c>
      <c r="C186" s="508"/>
      <c r="D186" s="509"/>
      <c r="E186" s="205"/>
      <c r="F186" s="204">
        <v>816</v>
      </c>
      <c r="G186" s="206">
        <v>660</v>
      </c>
      <c r="H186" s="206">
        <f>G186*J206</f>
        <v>24525.6</v>
      </c>
      <c r="I186" s="206">
        <v>816</v>
      </c>
      <c r="J186" s="206">
        <v>660</v>
      </c>
      <c r="K186" s="206">
        <f>J186*J206</f>
        <v>24525.6</v>
      </c>
      <c r="L186" s="206">
        <v>816</v>
      </c>
      <c r="M186" s="206">
        <v>660</v>
      </c>
      <c r="N186" s="206">
        <f>M186*K206</f>
        <v>25410</v>
      </c>
      <c r="O186" s="206">
        <v>816</v>
      </c>
      <c r="P186" s="206">
        <v>660</v>
      </c>
      <c r="Q186" s="206">
        <f>P186*K206</f>
        <v>25410</v>
      </c>
      <c r="R186" s="206">
        <f t="shared" si="20"/>
        <v>2640</v>
      </c>
      <c r="S186" s="206">
        <f t="shared" si="20"/>
        <v>99871.2</v>
      </c>
      <c r="T186" s="169" t="s">
        <v>21</v>
      </c>
      <c r="U186" s="11">
        <f t="shared" si="21"/>
        <v>27112.8</v>
      </c>
      <c r="V186" s="11">
        <f t="shared" si="22"/>
        <v>99871.2</v>
      </c>
      <c r="W186" s="12">
        <f t="shared" si="19"/>
        <v>2640</v>
      </c>
    </row>
    <row r="187" spans="1:23" s="12" customFormat="1" ht="34.5" customHeight="1" hidden="1">
      <c r="A187" s="204"/>
      <c r="B187" s="507" t="s">
        <v>36</v>
      </c>
      <c r="C187" s="508"/>
      <c r="D187" s="509"/>
      <c r="E187" s="205"/>
      <c r="F187" s="204">
        <v>910.2</v>
      </c>
      <c r="G187" s="206">
        <v>774</v>
      </c>
      <c r="H187" s="206">
        <f>G187*J207</f>
        <v>8196.66</v>
      </c>
      <c r="I187" s="206">
        <v>1072.5</v>
      </c>
      <c r="J187" s="206">
        <v>912</v>
      </c>
      <c r="K187" s="206">
        <f>J187*J207</f>
        <v>9658.08</v>
      </c>
      <c r="L187" s="206">
        <v>905.1</v>
      </c>
      <c r="M187" s="206">
        <v>769</v>
      </c>
      <c r="N187" s="206">
        <f>M187*K207</f>
        <v>8143.71</v>
      </c>
      <c r="O187" s="206">
        <v>1121.6</v>
      </c>
      <c r="P187" s="206">
        <v>940</v>
      </c>
      <c r="Q187" s="206">
        <f>P187*K207</f>
        <v>9954.6</v>
      </c>
      <c r="R187" s="206">
        <f t="shared" si="20"/>
        <v>3395</v>
      </c>
      <c r="S187" s="206">
        <f t="shared" si="20"/>
        <v>35953.049999999996</v>
      </c>
      <c r="T187" s="169" t="s">
        <v>21</v>
      </c>
      <c r="U187" s="11">
        <f>11.81*P187</f>
        <v>11101.4</v>
      </c>
      <c r="V187" s="11">
        <f t="shared" si="22"/>
        <v>35953.049999999996</v>
      </c>
      <c r="W187" s="12">
        <f t="shared" si="19"/>
        <v>3395</v>
      </c>
    </row>
    <row r="188" spans="1:23" s="12" customFormat="1" ht="28.5" customHeight="1" hidden="1">
      <c r="A188" s="204"/>
      <c r="B188" s="510" t="s">
        <v>37</v>
      </c>
      <c r="C188" s="510"/>
      <c r="D188" s="510"/>
      <c r="E188" s="207"/>
      <c r="F188" s="204">
        <v>1845</v>
      </c>
      <c r="G188" s="206">
        <v>1362</v>
      </c>
      <c r="H188" s="206">
        <f>G188*J207</f>
        <v>14423.58</v>
      </c>
      <c r="I188" s="206">
        <v>1803</v>
      </c>
      <c r="J188" s="206">
        <v>1019</v>
      </c>
      <c r="K188" s="206">
        <f>J188*J207</f>
        <v>10791.21</v>
      </c>
      <c r="L188" s="206">
        <v>1803</v>
      </c>
      <c r="M188" s="206">
        <v>1251</v>
      </c>
      <c r="N188" s="206">
        <f>M188*K207</f>
        <v>13248.09</v>
      </c>
      <c r="O188" s="206">
        <v>1813.3</v>
      </c>
      <c r="P188" s="206">
        <v>1032</v>
      </c>
      <c r="Q188" s="206">
        <f>P188*K207</f>
        <v>10928.88</v>
      </c>
      <c r="R188" s="206">
        <f t="shared" si="20"/>
        <v>4664</v>
      </c>
      <c r="S188" s="206">
        <f t="shared" si="20"/>
        <v>49391.76</v>
      </c>
      <c r="T188" s="169" t="s">
        <v>21</v>
      </c>
      <c r="U188" s="11">
        <f t="shared" si="21"/>
        <v>42394.56</v>
      </c>
      <c r="V188" s="11">
        <f t="shared" si="22"/>
        <v>49391.76</v>
      </c>
      <c r="W188" s="12">
        <f t="shared" si="19"/>
        <v>4664</v>
      </c>
    </row>
    <row r="189" spans="1:23" s="12" customFormat="1" ht="33" customHeight="1" hidden="1">
      <c r="A189" s="204"/>
      <c r="B189" s="510" t="s">
        <v>38</v>
      </c>
      <c r="C189" s="510"/>
      <c r="D189" s="510"/>
      <c r="E189" s="207"/>
      <c r="F189" s="204">
        <v>74.5</v>
      </c>
      <c r="G189" s="206">
        <v>1568</v>
      </c>
      <c r="H189" s="206">
        <f>G189*J206</f>
        <v>58266.88</v>
      </c>
      <c r="I189" s="206">
        <v>72.8</v>
      </c>
      <c r="J189" s="206">
        <v>1533</v>
      </c>
      <c r="K189" s="206">
        <f>J189*J206</f>
        <v>56966.27999999999</v>
      </c>
      <c r="L189" s="206">
        <v>72.9</v>
      </c>
      <c r="M189" s="206">
        <v>1533</v>
      </c>
      <c r="N189" s="206">
        <f>M189*K206</f>
        <v>59020.5</v>
      </c>
      <c r="O189" s="206">
        <v>72.9</v>
      </c>
      <c r="P189" s="206">
        <v>1541</v>
      </c>
      <c r="Q189" s="206">
        <f>P189*K206</f>
        <v>59328.5</v>
      </c>
      <c r="R189" s="206">
        <f t="shared" si="20"/>
        <v>6175</v>
      </c>
      <c r="S189" s="206">
        <f t="shared" si="20"/>
        <v>233582.15999999997</v>
      </c>
      <c r="T189" s="169" t="s">
        <v>21</v>
      </c>
      <c r="U189" s="11">
        <f t="shared" si="21"/>
        <v>63304.28</v>
      </c>
      <c r="V189" s="11">
        <f t="shared" si="22"/>
        <v>233582.15999999997</v>
      </c>
      <c r="W189" s="12">
        <f t="shared" si="19"/>
        <v>6175</v>
      </c>
    </row>
    <row r="190" spans="1:23" s="12" customFormat="1" ht="44.25" customHeight="1" hidden="1">
      <c r="A190" s="204"/>
      <c r="B190" s="510" t="s">
        <v>39</v>
      </c>
      <c r="C190" s="510"/>
      <c r="D190" s="510"/>
      <c r="E190" s="207"/>
      <c r="F190" s="204">
        <v>88.6</v>
      </c>
      <c r="G190" s="206">
        <v>76.4</v>
      </c>
      <c r="H190" s="206">
        <f>G190*J206</f>
        <v>2839.024</v>
      </c>
      <c r="I190" s="206">
        <v>88.5</v>
      </c>
      <c r="J190" s="206">
        <v>64.3</v>
      </c>
      <c r="K190" s="206">
        <f>J190*J206</f>
        <v>2389.3879999999995</v>
      </c>
      <c r="L190" s="206">
        <v>88.5</v>
      </c>
      <c r="M190" s="206">
        <v>72.7</v>
      </c>
      <c r="N190" s="206">
        <f>M190*K206</f>
        <v>2798.9500000000003</v>
      </c>
      <c r="O190" s="206">
        <v>88.5</v>
      </c>
      <c r="P190" s="206">
        <v>59.7</v>
      </c>
      <c r="Q190" s="206">
        <f>P190*K206</f>
        <v>2298.4500000000003</v>
      </c>
      <c r="R190" s="206">
        <f>G190+J190+M190+P190</f>
        <v>273.09999999999997</v>
      </c>
      <c r="S190" s="206">
        <f t="shared" si="20"/>
        <v>10325.812</v>
      </c>
      <c r="T190" s="169" t="s">
        <v>21</v>
      </c>
      <c r="U190" s="11">
        <f t="shared" si="21"/>
        <v>2452.476</v>
      </c>
      <c r="V190" s="11">
        <f t="shared" si="22"/>
        <v>10325.812</v>
      </c>
      <c r="W190" s="12">
        <f t="shared" si="19"/>
        <v>273.09999999999997</v>
      </c>
    </row>
    <row r="191" spans="1:23" s="12" customFormat="1" ht="51.75" customHeight="1" hidden="1">
      <c r="A191" s="201">
        <v>3</v>
      </c>
      <c r="B191" s="504" t="s">
        <v>42</v>
      </c>
      <c r="C191" s="505"/>
      <c r="D191" s="506"/>
      <c r="E191" s="202"/>
      <c r="F191" s="204">
        <v>118.05</v>
      </c>
      <c r="G191" s="203">
        <v>263</v>
      </c>
      <c r="H191" s="203">
        <f>G191*J206</f>
        <v>9773.08</v>
      </c>
      <c r="I191" s="203">
        <v>118.05</v>
      </c>
      <c r="J191" s="203">
        <v>252</v>
      </c>
      <c r="K191" s="203">
        <f>J191*J206</f>
        <v>9364.32</v>
      </c>
      <c r="L191" s="203">
        <v>118.05</v>
      </c>
      <c r="M191" s="203">
        <v>248</v>
      </c>
      <c r="N191" s="203">
        <f>M191*K206</f>
        <v>9548</v>
      </c>
      <c r="O191" s="203">
        <v>118.05</v>
      </c>
      <c r="P191" s="203">
        <v>268</v>
      </c>
      <c r="Q191" s="203">
        <f>P191*K206</f>
        <v>10318</v>
      </c>
      <c r="R191" s="203">
        <f t="shared" si="20"/>
        <v>1031</v>
      </c>
      <c r="S191" s="203">
        <f t="shared" si="20"/>
        <v>39003.4</v>
      </c>
      <c r="T191" s="169" t="s">
        <v>21</v>
      </c>
      <c r="U191" s="11">
        <f t="shared" si="21"/>
        <v>11009.439999999999</v>
      </c>
      <c r="V191" s="11">
        <f t="shared" si="22"/>
        <v>39003.4</v>
      </c>
      <c r="W191" s="12">
        <f t="shared" si="19"/>
        <v>1031</v>
      </c>
    </row>
    <row r="192" spans="1:23" s="12" customFormat="1" ht="33.75" customHeight="1" hidden="1">
      <c r="A192" s="201">
        <v>4</v>
      </c>
      <c r="B192" s="504" t="s">
        <v>43</v>
      </c>
      <c r="C192" s="505"/>
      <c r="D192" s="506"/>
      <c r="E192" s="202"/>
      <c r="F192" s="204">
        <v>180</v>
      </c>
      <c r="G192" s="203">
        <f>G193</f>
        <v>23.4</v>
      </c>
      <c r="H192" s="203">
        <f>H193</f>
        <v>869.5439999999999</v>
      </c>
      <c r="I192" s="203"/>
      <c r="J192" s="203">
        <f>J193</f>
        <v>23.4</v>
      </c>
      <c r="K192" s="203">
        <f>K193</f>
        <v>869.5439999999999</v>
      </c>
      <c r="L192" s="203"/>
      <c r="M192" s="203">
        <f>M193</f>
        <v>23.4</v>
      </c>
      <c r="N192" s="203">
        <f>N193</f>
        <v>900.9</v>
      </c>
      <c r="O192" s="203"/>
      <c r="P192" s="203">
        <f>P193</f>
        <v>23.1</v>
      </c>
      <c r="Q192" s="203">
        <f>Q193</f>
        <v>889.35</v>
      </c>
      <c r="R192" s="203">
        <f>R193</f>
        <v>93.29999999999998</v>
      </c>
      <c r="S192" s="203">
        <f>S193</f>
        <v>3529.3379999999997</v>
      </c>
      <c r="T192" s="169" t="s">
        <v>21</v>
      </c>
      <c r="U192" s="11">
        <f t="shared" si="21"/>
        <v>948.948</v>
      </c>
      <c r="V192" s="11">
        <f t="shared" si="22"/>
        <v>3529.3379999999997</v>
      </c>
      <c r="W192" s="12">
        <f t="shared" si="19"/>
        <v>93.29999999999998</v>
      </c>
    </row>
    <row r="193" spans="1:22" s="12" customFormat="1" ht="27.75" customHeight="1" hidden="1">
      <c r="A193" s="204"/>
      <c r="B193" s="507" t="s">
        <v>44</v>
      </c>
      <c r="C193" s="508"/>
      <c r="D193" s="509"/>
      <c r="E193" s="205"/>
      <c r="F193" s="204"/>
      <c r="G193" s="206">
        <v>23.4</v>
      </c>
      <c r="H193" s="206">
        <f>G193*J206</f>
        <v>869.5439999999999</v>
      </c>
      <c r="I193" s="206"/>
      <c r="J193" s="206">
        <v>23.4</v>
      </c>
      <c r="K193" s="206">
        <f>J193*J206</f>
        <v>869.5439999999999</v>
      </c>
      <c r="L193" s="206"/>
      <c r="M193" s="206">
        <v>23.4</v>
      </c>
      <c r="N193" s="206">
        <f>M193*K206</f>
        <v>900.9</v>
      </c>
      <c r="O193" s="206"/>
      <c r="P193" s="206">
        <v>23.1</v>
      </c>
      <c r="Q193" s="206">
        <f>P193*K206</f>
        <v>889.35</v>
      </c>
      <c r="R193" s="206">
        <f>G193+J193+M193+P193</f>
        <v>93.29999999999998</v>
      </c>
      <c r="S193" s="206">
        <f>H193+K193+N193+Q193</f>
        <v>3529.3379999999997</v>
      </c>
      <c r="T193" s="169"/>
      <c r="U193" s="11"/>
      <c r="V193" s="11"/>
    </row>
    <row r="194" spans="1:22" s="12" customFormat="1" ht="33.75" customHeight="1" hidden="1">
      <c r="A194" s="201">
        <v>5</v>
      </c>
      <c r="B194" s="504" t="s">
        <v>47</v>
      </c>
      <c r="C194" s="505"/>
      <c r="D194" s="506"/>
      <c r="E194" s="202"/>
      <c r="F194" s="204"/>
      <c r="G194" s="203">
        <f>G195+G196+G197+G198+G199+G200</f>
        <v>189.14000000000001</v>
      </c>
      <c r="H194" s="203">
        <f>H195+H196+H197+H198+H199+H200</f>
        <v>6316.366399999999</v>
      </c>
      <c r="I194" s="203"/>
      <c r="J194" s="203">
        <f>J195+J196+J197+J198+J199+J200</f>
        <v>169.2</v>
      </c>
      <c r="K194" s="203">
        <f>K195+K196+K198+K200+K197+K199</f>
        <v>5710.902999999999</v>
      </c>
      <c r="L194" s="203"/>
      <c r="M194" s="203">
        <f>M195+M196+M197+M198+M199+M200</f>
        <v>143.23000000000002</v>
      </c>
      <c r="N194" s="203">
        <f>N195+N196+N197+N198+N199+N200</f>
        <v>4908.708</v>
      </c>
      <c r="O194" s="203"/>
      <c r="P194" s="203">
        <f>P195+P196+P197+P198+P199+P200</f>
        <v>174.28</v>
      </c>
      <c r="Q194" s="203">
        <f>Q195+Q196+Q197+Q198+Q199+Q200</f>
        <v>5942.255</v>
      </c>
      <c r="R194" s="203">
        <f>R195+R196+R197+R198+R199+R200</f>
        <v>675.85</v>
      </c>
      <c r="S194" s="203">
        <f>S195+S196+S197+S198+S199+S200</f>
        <v>22878.2324</v>
      </c>
      <c r="T194" s="169"/>
      <c r="U194" s="11"/>
      <c r="V194" s="11"/>
    </row>
    <row r="195" spans="1:22" s="12" customFormat="1" ht="33.75" customHeight="1" hidden="1">
      <c r="A195" s="201"/>
      <c r="B195" s="507" t="s">
        <v>48</v>
      </c>
      <c r="C195" s="508"/>
      <c r="D195" s="509"/>
      <c r="E195" s="205"/>
      <c r="F195" s="204"/>
      <c r="G195" s="206">
        <v>8.64</v>
      </c>
      <c r="H195" s="206">
        <f>G195*J206</f>
        <v>321.06239999999997</v>
      </c>
      <c r="I195" s="206"/>
      <c r="J195" s="206">
        <v>8</v>
      </c>
      <c r="K195" s="206">
        <f>J195*J206</f>
        <v>297.28</v>
      </c>
      <c r="L195" s="206"/>
      <c r="M195" s="206">
        <v>5.23</v>
      </c>
      <c r="N195" s="206">
        <f>M195*K206</f>
        <v>201.35500000000002</v>
      </c>
      <c r="O195" s="206"/>
      <c r="P195" s="206">
        <v>7.48</v>
      </c>
      <c r="Q195" s="206">
        <f>P195*K206</f>
        <v>287.98</v>
      </c>
      <c r="R195" s="206">
        <f aca="true" t="shared" si="23" ref="R195:S200">G195+J195+M195+P195</f>
        <v>29.35</v>
      </c>
      <c r="S195" s="206">
        <f t="shared" si="23"/>
        <v>1107.6774</v>
      </c>
      <c r="T195" s="169"/>
      <c r="U195" s="11"/>
      <c r="V195" s="11"/>
    </row>
    <row r="196" spans="1:22" s="12" customFormat="1" ht="33.75" customHeight="1" hidden="1">
      <c r="A196" s="201"/>
      <c r="B196" s="507" t="s">
        <v>49</v>
      </c>
      <c r="C196" s="508"/>
      <c r="D196" s="509"/>
      <c r="E196" s="205"/>
      <c r="F196" s="204"/>
      <c r="G196" s="206">
        <v>53.5</v>
      </c>
      <c r="H196" s="206">
        <f>G196*J206</f>
        <v>1988.0599999999997</v>
      </c>
      <c r="I196" s="206"/>
      <c r="J196" s="206">
        <v>52.5</v>
      </c>
      <c r="K196" s="206">
        <f>J196*J206</f>
        <v>1950.8999999999999</v>
      </c>
      <c r="L196" s="206"/>
      <c r="M196" s="206">
        <v>42.5</v>
      </c>
      <c r="N196" s="206">
        <f>M196*K206</f>
        <v>1636.25</v>
      </c>
      <c r="O196" s="206"/>
      <c r="P196" s="206">
        <v>51.5</v>
      </c>
      <c r="Q196" s="206">
        <f>P196*K206</f>
        <v>1982.75</v>
      </c>
      <c r="R196" s="206">
        <f t="shared" si="23"/>
        <v>200</v>
      </c>
      <c r="S196" s="206">
        <f t="shared" si="23"/>
        <v>7557.959999999999</v>
      </c>
      <c r="T196" s="169"/>
      <c r="U196" s="11"/>
      <c r="V196" s="11"/>
    </row>
    <row r="197" spans="1:22" s="12" customFormat="1" ht="33.75" customHeight="1" hidden="1">
      <c r="A197" s="201"/>
      <c r="B197" s="507" t="s">
        <v>50</v>
      </c>
      <c r="C197" s="508"/>
      <c r="D197" s="509"/>
      <c r="E197" s="205"/>
      <c r="F197" s="204"/>
      <c r="G197" s="206">
        <v>40</v>
      </c>
      <c r="H197" s="206">
        <f>G197*J206</f>
        <v>1486.3999999999999</v>
      </c>
      <c r="I197" s="206"/>
      <c r="J197" s="206">
        <v>40</v>
      </c>
      <c r="K197" s="206">
        <f>J197*J206</f>
        <v>1486.3999999999999</v>
      </c>
      <c r="L197" s="206"/>
      <c r="M197" s="206">
        <v>38.9</v>
      </c>
      <c r="N197" s="206">
        <f>M197*K206</f>
        <v>1497.6499999999999</v>
      </c>
      <c r="O197" s="206"/>
      <c r="P197" s="206">
        <v>39.5</v>
      </c>
      <c r="Q197" s="206">
        <f>P197*K206</f>
        <v>1520.75</v>
      </c>
      <c r="R197" s="206">
        <f t="shared" si="23"/>
        <v>158.4</v>
      </c>
      <c r="S197" s="206">
        <f t="shared" si="23"/>
        <v>5991.2</v>
      </c>
      <c r="T197" s="169"/>
      <c r="U197" s="11"/>
      <c r="V197" s="11"/>
    </row>
    <row r="198" spans="1:22" s="12" customFormat="1" ht="33.75" customHeight="1" hidden="1">
      <c r="A198" s="201"/>
      <c r="B198" s="510" t="s">
        <v>40</v>
      </c>
      <c r="C198" s="510"/>
      <c r="D198" s="510"/>
      <c r="E198" s="207"/>
      <c r="F198" s="204"/>
      <c r="G198" s="206">
        <v>60.2</v>
      </c>
      <c r="H198" s="206">
        <f>G198*J206</f>
        <v>2237.0319999999997</v>
      </c>
      <c r="I198" s="206"/>
      <c r="J198" s="206">
        <v>47</v>
      </c>
      <c r="K198" s="206">
        <f>J198*J206</f>
        <v>1746.5199999999998</v>
      </c>
      <c r="L198" s="206"/>
      <c r="M198" s="206">
        <v>34.9</v>
      </c>
      <c r="N198" s="206">
        <f>M198*K206</f>
        <v>1343.6499999999999</v>
      </c>
      <c r="O198" s="206"/>
      <c r="P198" s="206">
        <v>48.3</v>
      </c>
      <c r="Q198" s="206">
        <f>P198*K206</f>
        <v>1859.55</v>
      </c>
      <c r="R198" s="206">
        <f t="shared" si="23"/>
        <v>190.39999999999998</v>
      </c>
      <c r="S198" s="206">
        <f t="shared" si="23"/>
        <v>7186.7519999999995</v>
      </c>
      <c r="T198" s="169"/>
      <c r="U198" s="11"/>
      <c r="V198" s="11"/>
    </row>
    <row r="199" spans="1:22" s="12" customFormat="1" ht="33.75" customHeight="1" hidden="1">
      <c r="A199" s="201"/>
      <c r="B199" s="510" t="s">
        <v>51</v>
      </c>
      <c r="C199" s="510"/>
      <c r="D199" s="510"/>
      <c r="E199" s="207"/>
      <c r="F199" s="204"/>
      <c r="G199" s="206">
        <v>7.3</v>
      </c>
      <c r="H199" s="206">
        <f>G199*J207</f>
        <v>77.307</v>
      </c>
      <c r="I199" s="206"/>
      <c r="J199" s="206">
        <v>2.2</v>
      </c>
      <c r="K199" s="206">
        <f>J199*J207</f>
        <v>23.298000000000002</v>
      </c>
      <c r="L199" s="206"/>
      <c r="M199" s="206">
        <v>2.2</v>
      </c>
      <c r="N199" s="206">
        <f>M199*K207</f>
        <v>23.298000000000002</v>
      </c>
      <c r="O199" s="206"/>
      <c r="P199" s="206">
        <v>8</v>
      </c>
      <c r="Q199" s="206">
        <f>P199*K207</f>
        <v>84.72</v>
      </c>
      <c r="R199" s="206">
        <f t="shared" si="23"/>
        <v>19.7</v>
      </c>
      <c r="S199" s="206">
        <f t="shared" si="23"/>
        <v>208.623</v>
      </c>
      <c r="T199" s="169"/>
      <c r="U199" s="11"/>
      <c r="V199" s="11"/>
    </row>
    <row r="200" spans="1:22" s="12" customFormat="1" ht="33.75" customHeight="1" hidden="1">
      <c r="A200" s="201"/>
      <c r="B200" s="510" t="s">
        <v>52</v>
      </c>
      <c r="C200" s="510"/>
      <c r="D200" s="510"/>
      <c r="E200" s="207"/>
      <c r="F200" s="204"/>
      <c r="G200" s="206">
        <v>19.5</v>
      </c>
      <c r="H200" s="206">
        <f>G200*J207</f>
        <v>206.505</v>
      </c>
      <c r="I200" s="206"/>
      <c r="J200" s="206">
        <v>19.5</v>
      </c>
      <c r="K200" s="206">
        <f>J200*J207</f>
        <v>206.505</v>
      </c>
      <c r="L200" s="206"/>
      <c r="M200" s="206">
        <v>19.5</v>
      </c>
      <c r="N200" s="206">
        <f>M200*K207</f>
        <v>206.505</v>
      </c>
      <c r="O200" s="206"/>
      <c r="P200" s="206">
        <v>19.5</v>
      </c>
      <c r="Q200" s="206">
        <f>P200*K207</f>
        <v>206.505</v>
      </c>
      <c r="R200" s="206">
        <f t="shared" si="23"/>
        <v>78</v>
      </c>
      <c r="S200" s="206">
        <f t="shared" si="23"/>
        <v>826.02</v>
      </c>
      <c r="T200" s="169"/>
      <c r="U200" s="11"/>
      <c r="V200" s="11"/>
    </row>
    <row r="201" spans="1:22" s="12" customFormat="1" ht="33.75" customHeight="1" hidden="1">
      <c r="A201" s="201">
        <v>6</v>
      </c>
      <c r="B201" s="504" t="s">
        <v>53</v>
      </c>
      <c r="C201" s="505"/>
      <c r="D201" s="506"/>
      <c r="E201" s="202"/>
      <c r="F201" s="204"/>
      <c r="G201" s="203">
        <f>G202+G203</f>
        <v>463.75</v>
      </c>
      <c r="H201" s="203">
        <f>H202+H203</f>
        <v>17232.949999999997</v>
      </c>
      <c r="I201" s="203"/>
      <c r="J201" s="203">
        <f>J202+J203</f>
        <v>564.53</v>
      </c>
      <c r="K201" s="203">
        <f>K202+K203</f>
        <v>20977.934799999995</v>
      </c>
      <c r="L201" s="203"/>
      <c r="M201" s="203">
        <f>M202+M203</f>
        <v>284.18</v>
      </c>
      <c r="N201" s="203">
        <f>N202+N203</f>
        <v>10940.93</v>
      </c>
      <c r="O201" s="203"/>
      <c r="P201" s="203">
        <f>P202+P203</f>
        <v>550.62</v>
      </c>
      <c r="Q201" s="203">
        <f>Q202+Q203</f>
        <v>21198.87</v>
      </c>
      <c r="R201" s="203">
        <f>R202+R203</f>
        <v>1863.08</v>
      </c>
      <c r="S201" s="203">
        <f>S202+S203</f>
        <v>70350.6848</v>
      </c>
      <c r="T201" s="169"/>
      <c r="U201" s="11"/>
      <c r="V201" s="11"/>
    </row>
    <row r="202" spans="1:22" s="12" customFormat="1" ht="33.75" customHeight="1" hidden="1">
      <c r="A202" s="204"/>
      <c r="B202" s="507" t="s">
        <v>54</v>
      </c>
      <c r="C202" s="508"/>
      <c r="D202" s="509"/>
      <c r="E202" s="205"/>
      <c r="F202" s="204"/>
      <c r="G202" s="206">
        <v>45.6</v>
      </c>
      <c r="H202" s="206">
        <f>G202*J206</f>
        <v>1694.4959999999999</v>
      </c>
      <c r="I202" s="206"/>
      <c r="J202" s="206">
        <v>64.5</v>
      </c>
      <c r="K202" s="206">
        <f>J202*J206</f>
        <v>2396.8199999999997</v>
      </c>
      <c r="L202" s="206"/>
      <c r="M202" s="206">
        <v>113.6</v>
      </c>
      <c r="N202" s="206">
        <f>M202*K206</f>
        <v>4373.599999999999</v>
      </c>
      <c r="O202" s="206"/>
      <c r="P202" s="206">
        <v>50.1</v>
      </c>
      <c r="Q202" s="206">
        <f>P202*K206</f>
        <v>1928.8500000000001</v>
      </c>
      <c r="R202" s="206">
        <f>G202+J202+M202+P202</f>
        <v>273.8</v>
      </c>
      <c r="S202" s="206">
        <f>H202+K202+N202+Q202</f>
        <v>10393.766</v>
      </c>
      <c r="T202" s="169"/>
      <c r="U202" s="11"/>
      <c r="V202" s="11"/>
    </row>
    <row r="203" spans="1:22" s="12" customFormat="1" ht="33.75" customHeight="1" hidden="1">
      <c r="A203" s="204"/>
      <c r="B203" s="507" t="s">
        <v>55</v>
      </c>
      <c r="C203" s="508"/>
      <c r="D203" s="509"/>
      <c r="E203" s="205"/>
      <c r="F203" s="204"/>
      <c r="G203" s="206">
        <v>418.15</v>
      </c>
      <c r="H203" s="206">
        <f>G203*J206</f>
        <v>15538.453999999998</v>
      </c>
      <c r="I203" s="206"/>
      <c r="J203" s="206">
        <v>500.03</v>
      </c>
      <c r="K203" s="206">
        <f>J203*J206</f>
        <v>18581.114799999996</v>
      </c>
      <c r="L203" s="206"/>
      <c r="M203" s="206">
        <v>170.58</v>
      </c>
      <c r="N203" s="206">
        <f>M203*K206</f>
        <v>6567.330000000001</v>
      </c>
      <c r="O203" s="206"/>
      <c r="P203" s="206">
        <v>500.52</v>
      </c>
      <c r="Q203" s="206">
        <f>P203*K206</f>
        <v>19270.02</v>
      </c>
      <c r="R203" s="206">
        <f>G203+J203+M203+P203</f>
        <v>1589.28</v>
      </c>
      <c r="S203" s="206">
        <f>H203+K203+N203+Q203</f>
        <v>59956.9188</v>
      </c>
      <c r="T203" s="169"/>
      <c r="U203" s="11"/>
      <c r="V203" s="11"/>
    </row>
    <row r="204" spans="1:20" s="12" customFormat="1" ht="35.25" hidden="1">
      <c r="A204" s="213"/>
      <c r="B204" s="515" t="s">
        <v>19</v>
      </c>
      <c r="C204" s="515"/>
      <c r="D204" s="515"/>
      <c r="E204" s="214"/>
      <c r="F204" s="201">
        <f>SUM(F183:F192)</f>
        <v>6764.85</v>
      </c>
      <c r="G204" s="203">
        <f>G183+G184+G191+G192+G194+G201</f>
        <v>6140.2699999999995</v>
      </c>
      <c r="H204" s="203">
        <f>H183+H184+H191+H192+H194+H201</f>
        <v>170706.83719999995</v>
      </c>
      <c r="I204" s="203">
        <f>SUM(I183:I192)</f>
        <v>6703.35</v>
      </c>
      <c r="J204" s="203">
        <f>J183+J184+J191+J192+J194+J201</f>
        <v>5614.879999999999</v>
      </c>
      <c r="K204" s="203">
        <f>K183+K184+K191+K192+K194+K201</f>
        <v>156765.70179999995</v>
      </c>
      <c r="L204" s="203">
        <f>SUM(L183:L192)</f>
        <v>6536.05</v>
      </c>
      <c r="M204" s="203">
        <f>M183+M184+M191+M192+M194+M201</f>
        <v>5652.82</v>
      </c>
      <c r="N204" s="203">
        <f>N183+N184+N191+N192+N194+N201</f>
        <v>160649.72300000003</v>
      </c>
      <c r="O204" s="203">
        <f>SUM(O183:O192)</f>
        <v>6762.85</v>
      </c>
      <c r="P204" s="203">
        <f>P183+P184+P191+P192+P194+P201</f>
        <v>5724.93</v>
      </c>
      <c r="Q204" s="203">
        <f>Q183+Q184+Q191+Q192+Q194+Q201</f>
        <v>164603.76</v>
      </c>
      <c r="R204" s="203">
        <f>R183+R184+R191+R192+R194+R201</f>
        <v>23132.9</v>
      </c>
      <c r="S204" s="203">
        <f>S183+S184+S191+S192+S194+S201</f>
        <v>652726.022</v>
      </c>
      <c r="T204" s="169"/>
    </row>
    <row r="205" spans="1:20" s="12" customFormat="1" ht="35.25" hidden="1">
      <c r="A205" s="209"/>
      <c r="B205" s="516" t="s">
        <v>8</v>
      </c>
      <c r="C205" s="517"/>
      <c r="D205" s="518"/>
      <c r="E205" s="215"/>
      <c r="F205" s="503" t="s">
        <v>61</v>
      </c>
      <c r="G205" s="503"/>
      <c r="H205" s="503"/>
      <c r="I205" s="503"/>
      <c r="J205" s="503"/>
      <c r="K205" s="503"/>
      <c r="L205" s="503"/>
      <c r="M205" s="503"/>
      <c r="N205" s="503"/>
      <c r="O205" s="503"/>
      <c r="P205" s="503"/>
      <c r="Q205" s="503"/>
      <c r="R205" s="503"/>
      <c r="S205" s="503"/>
      <c r="T205" s="169"/>
    </row>
    <row r="206" spans="1:20" s="12" customFormat="1" ht="35.25" hidden="1">
      <c r="A206" s="181"/>
      <c r="B206" s="181"/>
      <c r="C206" s="181"/>
      <c r="D206" s="181"/>
      <c r="E206" s="181"/>
      <c r="F206" s="181"/>
      <c r="G206" s="181"/>
      <c r="H206" s="184" t="s">
        <v>12</v>
      </c>
      <c r="I206" s="184"/>
      <c r="J206" s="184">
        <v>37.16</v>
      </c>
      <c r="K206" s="184">
        <v>38.5</v>
      </c>
      <c r="L206" s="181"/>
      <c r="M206" s="181"/>
      <c r="N206" s="181"/>
      <c r="O206" s="181"/>
      <c r="P206" s="181"/>
      <c r="Q206" s="181"/>
      <c r="R206" s="181"/>
      <c r="S206" s="181"/>
      <c r="T206" s="169"/>
    </row>
    <row r="207" spans="1:20" s="12" customFormat="1" ht="35.25" hidden="1">
      <c r="A207" s="181"/>
      <c r="B207" s="181"/>
      <c r="C207" s="181"/>
      <c r="D207" s="181"/>
      <c r="E207" s="181"/>
      <c r="F207" s="181"/>
      <c r="G207" s="181"/>
      <c r="H207" s="184" t="s">
        <v>20</v>
      </c>
      <c r="I207" s="184"/>
      <c r="J207" s="184">
        <v>10.59</v>
      </c>
      <c r="K207" s="184">
        <v>10.59</v>
      </c>
      <c r="L207" s="181"/>
      <c r="M207" s="181"/>
      <c r="N207" s="181"/>
      <c r="O207" s="181"/>
      <c r="P207" s="181"/>
      <c r="Q207" s="181"/>
      <c r="R207" s="181"/>
      <c r="S207" s="181"/>
      <c r="T207" s="169"/>
    </row>
    <row r="208" spans="1:20" s="12" customFormat="1" ht="35.25">
      <c r="A208" s="181"/>
      <c r="B208" s="181"/>
      <c r="C208" s="181"/>
      <c r="D208" s="181"/>
      <c r="E208" s="181"/>
      <c r="F208" s="181"/>
      <c r="G208" s="181"/>
      <c r="H208" s="181"/>
      <c r="I208" s="118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  <c r="T208" s="169"/>
    </row>
    <row r="209" spans="1:19" ht="35.25">
      <c r="A209" s="5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spans="1:19" ht="35.25">
      <c r="A210" s="6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spans="1:19" ht="35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35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35.25">
      <c r="A213" s="6"/>
      <c r="B213" s="6"/>
      <c r="C213" s="6"/>
      <c r="D213" s="6"/>
      <c r="E213" s="6"/>
      <c r="F213" s="53"/>
      <c r="L213" s="6"/>
      <c r="M213" s="6"/>
      <c r="N213" s="6"/>
      <c r="O213" s="6"/>
      <c r="P213" s="6"/>
      <c r="Q213" s="6"/>
      <c r="R213" s="6"/>
      <c r="S213" s="6"/>
    </row>
    <row r="214" ht="35.25">
      <c r="F214" s="54" t="s">
        <v>22</v>
      </c>
    </row>
    <row r="215" ht="35.25">
      <c r="F215" s="54" t="s">
        <v>23</v>
      </c>
    </row>
    <row r="216" ht="35.25">
      <c r="F216" s="54" t="s">
        <v>24</v>
      </c>
    </row>
    <row r="217" ht="35.25">
      <c r="F217" s="54" t="s">
        <v>25</v>
      </c>
    </row>
    <row r="218" ht="35.25">
      <c r="F218" s="54" t="s">
        <v>26</v>
      </c>
    </row>
    <row r="219" ht="35.25">
      <c r="F219" s="54" t="s">
        <v>27</v>
      </c>
    </row>
    <row r="220" ht="35.25">
      <c r="F220" s="54" t="s">
        <v>29</v>
      </c>
    </row>
    <row r="221" ht="35.25">
      <c r="F221" s="54" t="s">
        <v>30</v>
      </c>
    </row>
    <row r="222" ht="35.25">
      <c r="F222" s="54" t="s">
        <v>28</v>
      </c>
    </row>
  </sheetData>
  <sheetProtection/>
  <mergeCells count="218">
    <mergeCell ref="B137:D137"/>
    <mergeCell ref="B140:D140"/>
    <mergeCell ref="B109:D109"/>
    <mergeCell ref="B123:D123"/>
    <mergeCell ref="B124:D124"/>
    <mergeCell ref="B116:D116"/>
    <mergeCell ref="B119:D119"/>
    <mergeCell ref="B126:D126"/>
    <mergeCell ref="B122:D122"/>
    <mergeCell ref="B125:D125"/>
    <mergeCell ref="B115:D115"/>
    <mergeCell ref="B117:D117"/>
    <mergeCell ref="B102:D102"/>
    <mergeCell ref="B105:D105"/>
    <mergeCell ref="B106:D106"/>
    <mergeCell ref="B111:D111"/>
    <mergeCell ref="B112:D112"/>
    <mergeCell ref="B114:D114"/>
    <mergeCell ref="B107:D107"/>
    <mergeCell ref="B110:D110"/>
    <mergeCell ref="B113:D113"/>
    <mergeCell ref="B108:D108"/>
    <mergeCell ref="B85:D85"/>
    <mergeCell ref="B97:D97"/>
    <mergeCell ref="B100:D100"/>
    <mergeCell ref="B98:D98"/>
    <mergeCell ref="B87:D87"/>
    <mergeCell ref="B89:D89"/>
    <mergeCell ref="B90:D90"/>
    <mergeCell ref="B88:D88"/>
    <mergeCell ref="B202:D202"/>
    <mergeCell ref="B203:D203"/>
    <mergeCell ref="B189:D189"/>
    <mergeCell ref="B190:D190"/>
    <mergeCell ref="B191:D191"/>
    <mergeCell ref="B192:D192"/>
    <mergeCell ref="B193:D193"/>
    <mergeCell ref="B194:D194"/>
    <mergeCell ref="B204:D204"/>
    <mergeCell ref="B205:D205"/>
    <mergeCell ref="F205:S205"/>
    <mergeCell ref="B195:D195"/>
    <mergeCell ref="B196:D196"/>
    <mergeCell ref="B197:D197"/>
    <mergeCell ref="B198:D198"/>
    <mergeCell ref="B199:D199"/>
    <mergeCell ref="B200:D200"/>
    <mergeCell ref="B201:D201"/>
    <mergeCell ref="B183:D183"/>
    <mergeCell ref="B184:D184"/>
    <mergeCell ref="B185:D185"/>
    <mergeCell ref="B186:D186"/>
    <mergeCell ref="B187:D187"/>
    <mergeCell ref="B188:D188"/>
    <mergeCell ref="B177:D177"/>
    <mergeCell ref="F177:S177"/>
    <mergeCell ref="A180:S180"/>
    <mergeCell ref="A181:A182"/>
    <mergeCell ref="B181:D182"/>
    <mergeCell ref="F181:H181"/>
    <mergeCell ref="I181:K181"/>
    <mergeCell ref="L181:N181"/>
    <mergeCell ref="O181:Q181"/>
    <mergeCell ref="R181:S181"/>
    <mergeCell ref="B171:D171"/>
    <mergeCell ref="B172:D172"/>
    <mergeCell ref="B173:D173"/>
    <mergeCell ref="B174:D174"/>
    <mergeCell ref="B175:D175"/>
    <mergeCell ref="B176:D176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O153:Q153"/>
    <mergeCell ref="R153:S153"/>
    <mergeCell ref="B155:D155"/>
    <mergeCell ref="B156:D156"/>
    <mergeCell ref="B157:D157"/>
    <mergeCell ref="B158:D158"/>
    <mergeCell ref="F144:S144"/>
    <mergeCell ref="Q148:S148"/>
    <mergeCell ref="Q149:S149"/>
    <mergeCell ref="Q150:S150"/>
    <mergeCell ref="A152:S152"/>
    <mergeCell ref="A153:A154"/>
    <mergeCell ref="B153:D154"/>
    <mergeCell ref="F153:H153"/>
    <mergeCell ref="I153:K153"/>
    <mergeCell ref="L153:N153"/>
    <mergeCell ref="B128:D128"/>
    <mergeCell ref="B143:D143"/>
    <mergeCell ref="B144:D144"/>
    <mergeCell ref="B127:D127"/>
    <mergeCell ref="B129:D129"/>
    <mergeCell ref="B130:D130"/>
    <mergeCell ref="B131:D131"/>
    <mergeCell ref="B132:D132"/>
    <mergeCell ref="B133:D133"/>
    <mergeCell ref="B134:D134"/>
    <mergeCell ref="B118:D118"/>
    <mergeCell ref="B120:D120"/>
    <mergeCell ref="B121:D121"/>
    <mergeCell ref="B91:D91"/>
    <mergeCell ref="B94:D94"/>
    <mergeCell ref="B103:D103"/>
    <mergeCell ref="B104:D104"/>
    <mergeCell ref="B99:D99"/>
    <mergeCell ref="B92:D92"/>
    <mergeCell ref="B93:D93"/>
    <mergeCell ref="B78:D78"/>
    <mergeCell ref="B80:D80"/>
    <mergeCell ref="B81:D81"/>
    <mergeCell ref="B83:D83"/>
    <mergeCell ref="B101:D101"/>
    <mergeCell ref="B95:D95"/>
    <mergeCell ref="B96:D96"/>
    <mergeCell ref="B82:D82"/>
    <mergeCell ref="B84:D84"/>
    <mergeCell ref="B86:D86"/>
    <mergeCell ref="R68:S68"/>
    <mergeCell ref="B70:D70"/>
    <mergeCell ref="B73:D73"/>
    <mergeCell ref="B76:D76"/>
    <mergeCell ref="B79:D79"/>
    <mergeCell ref="B75:D75"/>
    <mergeCell ref="E68:E69"/>
    <mergeCell ref="B77:D77"/>
    <mergeCell ref="B72:D72"/>
    <mergeCell ref="B71:D71"/>
    <mergeCell ref="A68:A69"/>
    <mergeCell ref="B68:D69"/>
    <mergeCell ref="F68:H68"/>
    <mergeCell ref="I68:K68"/>
    <mergeCell ref="L68:N68"/>
    <mergeCell ref="O68:Q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4" r:id="rId1"/>
  <rowBreaks count="1" manualBreakCount="1">
    <brk id="96" max="18" man="1"/>
  </rowBreaks>
  <colBreaks count="1" manualBreakCount="1">
    <brk id="20" max="9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9"/>
  <sheetViews>
    <sheetView view="pageBreakPreview" zoomScale="50" zoomScaleNormal="50" zoomScaleSheetLayoutView="50" workbookViewId="0" topLeftCell="A19">
      <selection activeCell="I5" sqref="I5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61.140625" style="10" customWidth="1"/>
    <col min="5" max="5" width="14.421875" style="10" hidden="1" customWidth="1"/>
    <col min="6" max="6" width="24.7109375" style="10" customWidth="1"/>
    <col min="7" max="7" width="32.00390625" style="52" customWidth="1"/>
    <col min="8" max="8" width="9.8515625" style="10" hidden="1" customWidth="1"/>
    <col min="9" max="9" width="29.421875" style="10" customWidth="1"/>
    <col min="10" max="10" width="30.140625" style="52" customWidth="1"/>
    <col min="11" max="11" width="9.8515625" style="10" hidden="1" customWidth="1"/>
    <col min="12" max="12" width="28.140625" style="10" customWidth="1"/>
    <col min="13" max="13" width="29.00390625" style="52" customWidth="1"/>
    <col min="14" max="14" width="9.8515625" style="10" hidden="1" customWidth="1"/>
    <col min="15" max="15" width="27.00390625" style="10" customWidth="1"/>
    <col min="16" max="16" width="30.421875" style="52" customWidth="1"/>
    <col min="17" max="17" width="29.28125" style="10" customWidth="1"/>
    <col min="18" max="18" width="30.57421875" style="52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0.75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148"/>
      <c r="O1" s="148"/>
      <c r="P1" s="156" t="s">
        <v>132</v>
      </c>
      <c r="Q1" s="157"/>
      <c r="R1" s="158"/>
      <c r="T1" s="12"/>
      <c r="U1" s="12"/>
      <c r="V1" s="12"/>
    </row>
    <row r="2" spans="1:22" ht="30.75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148"/>
      <c r="O2" s="148"/>
      <c r="P2" s="532" t="s">
        <v>31</v>
      </c>
      <c r="Q2" s="532"/>
      <c r="R2" s="532"/>
      <c r="T2" s="12"/>
      <c r="U2" s="12"/>
      <c r="V2" s="12"/>
    </row>
    <row r="3" spans="1:22" ht="30.75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358"/>
      <c r="O3" s="358"/>
      <c r="P3" s="532" t="s">
        <v>89</v>
      </c>
      <c r="Q3" s="532"/>
      <c r="R3" s="532"/>
      <c r="T3" s="12"/>
      <c r="U3" s="12"/>
      <c r="V3" s="12"/>
    </row>
    <row r="4" spans="1:22" ht="30.75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148"/>
      <c r="O4" s="148"/>
      <c r="P4" s="559" t="s">
        <v>90</v>
      </c>
      <c r="Q4" s="559"/>
      <c r="R4" s="559"/>
      <c r="T4" s="12"/>
      <c r="U4" s="12"/>
      <c r="V4" s="12"/>
    </row>
    <row r="5" spans="1:22" ht="30.75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148"/>
      <c r="O5" s="148"/>
      <c r="P5" s="532" t="s">
        <v>130</v>
      </c>
      <c r="Q5" s="532"/>
      <c r="R5" s="532"/>
      <c r="T5" s="12"/>
      <c r="U5" s="12"/>
      <c r="V5" s="12"/>
    </row>
    <row r="6" spans="1:22" ht="9.75" customHeight="1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148"/>
      <c r="O6" s="148"/>
      <c r="P6" s="111"/>
      <c r="Q6" s="149"/>
      <c r="R6" s="111"/>
      <c r="T6" s="12"/>
      <c r="U6" s="12"/>
      <c r="V6" s="12"/>
    </row>
    <row r="7" spans="1:22" ht="57.75" customHeight="1">
      <c r="A7" s="447" t="s">
        <v>103</v>
      </c>
      <c r="B7" s="448"/>
      <c r="C7" s="448"/>
      <c r="D7" s="448"/>
      <c r="E7" s="448"/>
      <c r="F7" s="448"/>
      <c r="G7" s="448"/>
      <c r="H7" s="448"/>
      <c r="I7" s="448"/>
      <c r="J7" s="448"/>
      <c r="K7" s="448"/>
      <c r="L7" s="448"/>
      <c r="M7" s="448"/>
      <c r="N7" s="448"/>
      <c r="O7" s="448"/>
      <c r="P7" s="448"/>
      <c r="Q7" s="448"/>
      <c r="R7" s="448"/>
      <c r="T7" s="12"/>
      <c r="U7" s="12"/>
      <c r="V7" s="12"/>
    </row>
    <row r="8" spans="1:22" ht="33.75" customHeight="1">
      <c r="A8" s="429" t="s">
        <v>104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T8" s="12"/>
      <c r="U8" s="12"/>
      <c r="V8" s="12"/>
    </row>
    <row r="9" spans="1:22" ht="30.75" customHeight="1">
      <c r="A9" s="456" t="s">
        <v>15</v>
      </c>
      <c r="B9" s="450" t="s">
        <v>0</v>
      </c>
      <c r="C9" s="451"/>
      <c r="D9" s="452"/>
      <c r="E9" s="396" t="s">
        <v>1</v>
      </c>
      <c r="F9" s="397"/>
      <c r="G9" s="398"/>
      <c r="H9" s="396" t="s">
        <v>3</v>
      </c>
      <c r="I9" s="397"/>
      <c r="J9" s="398"/>
      <c r="K9" s="396" t="s">
        <v>4</v>
      </c>
      <c r="L9" s="397"/>
      <c r="M9" s="398"/>
      <c r="N9" s="396" t="s">
        <v>6</v>
      </c>
      <c r="O9" s="397"/>
      <c r="P9" s="398"/>
      <c r="Q9" s="396" t="s">
        <v>7</v>
      </c>
      <c r="R9" s="398"/>
      <c r="U9" s="12"/>
      <c r="V9" s="12"/>
    </row>
    <row r="10" spans="1:22" ht="51">
      <c r="A10" s="457"/>
      <c r="B10" s="453"/>
      <c r="C10" s="454"/>
      <c r="D10" s="455"/>
      <c r="E10" s="353"/>
      <c r="F10" s="353" t="s">
        <v>2</v>
      </c>
      <c r="G10" s="106" t="s">
        <v>5</v>
      </c>
      <c r="H10" s="353"/>
      <c r="I10" s="352" t="s">
        <v>2</v>
      </c>
      <c r="J10" s="106" t="s">
        <v>5</v>
      </c>
      <c r="K10" s="353"/>
      <c r="L10" s="353" t="s">
        <v>2</v>
      </c>
      <c r="M10" s="106" t="s">
        <v>5</v>
      </c>
      <c r="N10" s="353" t="s">
        <v>2</v>
      </c>
      <c r="O10" s="353" t="s">
        <v>2</v>
      </c>
      <c r="P10" s="106" t="s">
        <v>5</v>
      </c>
      <c r="Q10" s="353" t="s">
        <v>2</v>
      </c>
      <c r="R10" s="106" t="s">
        <v>5</v>
      </c>
      <c r="U10" s="12"/>
      <c r="V10" s="12"/>
    </row>
    <row r="11" spans="1:22" s="97" customFormat="1" ht="30" customHeight="1">
      <c r="A11" s="100">
        <v>1</v>
      </c>
      <c r="B11" s="363" t="s">
        <v>33</v>
      </c>
      <c r="C11" s="524"/>
      <c r="D11" s="525"/>
      <c r="E11" s="91">
        <v>22.6</v>
      </c>
      <c r="F11" s="226">
        <v>7</v>
      </c>
      <c r="G11" s="227">
        <f>F11*F41</f>
        <v>42986.369999999995</v>
      </c>
      <c r="H11" s="93">
        <v>7.9</v>
      </c>
      <c r="I11" s="228">
        <v>5</v>
      </c>
      <c r="J11" s="227">
        <f>I11*F41</f>
        <v>30704.55</v>
      </c>
      <c r="K11" s="93">
        <v>2.9</v>
      </c>
      <c r="L11" s="228">
        <v>1</v>
      </c>
      <c r="M11" s="227">
        <f>L11*G41</f>
        <v>6460.24</v>
      </c>
      <c r="N11" s="93">
        <v>20.6</v>
      </c>
      <c r="O11" s="228">
        <v>17</v>
      </c>
      <c r="P11" s="227">
        <f>O11*G41</f>
        <v>109824.08</v>
      </c>
      <c r="Q11" s="93">
        <f aca="true" t="shared" si="0" ref="Q11:R20">F11+I11+L11+O11</f>
        <v>30</v>
      </c>
      <c r="R11" s="227">
        <f t="shared" si="0"/>
        <v>189975.24</v>
      </c>
      <c r="S11" s="94" t="s">
        <v>82</v>
      </c>
      <c r="T11" s="101"/>
      <c r="U11" s="96"/>
      <c r="V11" s="95"/>
    </row>
    <row r="12" spans="1:22" s="97" customFormat="1" ht="30" customHeight="1">
      <c r="A12" s="100">
        <v>2</v>
      </c>
      <c r="B12" s="363" t="s">
        <v>41</v>
      </c>
      <c r="C12" s="524"/>
      <c r="D12" s="525"/>
      <c r="E12" s="91"/>
      <c r="F12" s="226">
        <f>F13+F14+F15+F16+F17+F18</f>
        <v>2613.46</v>
      </c>
      <c r="G12" s="227">
        <f>F12*F41</f>
        <v>16049022.648599999</v>
      </c>
      <c r="H12" s="93"/>
      <c r="I12" s="228">
        <f>I13+I14+I15+I16+I17+I18</f>
        <v>974.07</v>
      </c>
      <c r="J12" s="227">
        <f>J13+J14+J15+J16+J17+J18</f>
        <v>5981676.2037</v>
      </c>
      <c r="K12" s="93"/>
      <c r="L12" s="228">
        <f>L13+L14+L15+L16+L17+L18</f>
        <v>283.974</v>
      </c>
      <c r="M12" s="227">
        <f>M13+M14+M15+M16+M17+M18</f>
        <v>1834540.19376</v>
      </c>
      <c r="N12" s="93"/>
      <c r="O12" s="228">
        <f>O13+O14+O15+O16+O17+O18</f>
        <v>2193.691</v>
      </c>
      <c r="P12" s="227">
        <f>P13+P14+P15+P16+P17+P18</f>
        <v>14171770.345839998</v>
      </c>
      <c r="Q12" s="93">
        <f>Q13+Q14+Q15+Q16+Q17+Q18</f>
        <v>6065.195000000001</v>
      </c>
      <c r="R12" s="227">
        <f>R13+R14+R15+R16+R17+R18</f>
        <v>38037009.3919</v>
      </c>
      <c r="S12" s="94"/>
      <c r="T12" s="101"/>
      <c r="U12" s="96"/>
      <c r="V12" s="95"/>
    </row>
    <row r="13" spans="1:21" s="17" customFormat="1" ht="51.75" customHeight="1">
      <c r="A13" s="90"/>
      <c r="B13" s="360" t="s">
        <v>34</v>
      </c>
      <c r="C13" s="441"/>
      <c r="D13" s="442"/>
      <c r="E13" s="14">
        <v>968.6</v>
      </c>
      <c r="F13" s="229">
        <v>510</v>
      </c>
      <c r="G13" s="230">
        <f>F13*F41</f>
        <v>3131864.1</v>
      </c>
      <c r="H13" s="231">
        <v>347.1</v>
      </c>
      <c r="I13" s="232">
        <v>150</v>
      </c>
      <c r="J13" s="230">
        <f>I13*F41</f>
        <v>921136.5</v>
      </c>
      <c r="K13" s="231">
        <v>138.9</v>
      </c>
      <c r="L13" s="232">
        <v>50</v>
      </c>
      <c r="M13" s="230">
        <f>L13*G41</f>
        <v>323012</v>
      </c>
      <c r="N13" s="231">
        <v>879.1</v>
      </c>
      <c r="O13" s="232">
        <v>290</v>
      </c>
      <c r="P13" s="230">
        <f>O13*G41</f>
        <v>1873469.5999999999</v>
      </c>
      <c r="Q13" s="231">
        <f t="shared" si="0"/>
        <v>1000</v>
      </c>
      <c r="R13" s="230">
        <f t="shared" si="0"/>
        <v>6249482.199999999</v>
      </c>
      <c r="S13" s="67" t="s">
        <v>82</v>
      </c>
      <c r="T13" s="16"/>
      <c r="U13" s="16"/>
    </row>
    <row r="14" spans="1:22" ht="55.5" customHeight="1">
      <c r="A14" s="7"/>
      <c r="B14" s="360" t="s">
        <v>35</v>
      </c>
      <c r="C14" s="441"/>
      <c r="D14" s="442"/>
      <c r="E14" s="14">
        <v>275.5</v>
      </c>
      <c r="F14" s="229">
        <v>260.8</v>
      </c>
      <c r="G14" s="233">
        <f>F14*F41</f>
        <v>1601549.328</v>
      </c>
      <c r="H14" s="231">
        <v>101.3</v>
      </c>
      <c r="I14" s="232">
        <v>82.4</v>
      </c>
      <c r="J14" s="230">
        <f>I14*F41</f>
        <v>506010.984</v>
      </c>
      <c r="K14" s="231">
        <v>40.3</v>
      </c>
      <c r="L14" s="232">
        <v>24.8</v>
      </c>
      <c r="M14" s="230">
        <f>L14*G41</f>
        <v>160213.952</v>
      </c>
      <c r="N14" s="231">
        <v>245.5</v>
      </c>
      <c r="O14" s="232">
        <v>214.4</v>
      </c>
      <c r="P14" s="230">
        <f>O14*G41</f>
        <v>1385075.456</v>
      </c>
      <c r="Q14" s="231">
        <f t="shared" si="0"/>
        <v>582.4000000000001</v>
      </c>
      <c r="R14" s="230">
        <f t="shared" si="0"/>
        <v>3652849.7199999997</v>
      </c>
      <c r="S14" s="67"/>
      <c r="T14" s="13"/>
      <c r="U14" s="11"/>
      <c r="V14" s="12"/>
    </row>
    <row r="15" spans="1:22" ht="29.25" customHeight="1">
      <c r="A15" s="7"/>
      <c r="B15" s="360" t="s">
        <v>36</v>
      </c>
      <c r="C15" s="441"/>
      <c r="D15" s="442"/>
      <c r="E15" s="14">
        <v>1020.1</v>
      </c>
      <c r="F15" s="229">
        <v>874.5</v>
      </c>
      <c r="G15" s="230">
        <f>F15*F41</f>
        <v>5370225.795</v>
      </c>
      <c r="H15" s="231">
        <v>343</v>
      </c>
      <c r="I15" s="232">
        <v>313.8</v>
      </c>
      <c r="J15" s="230">
        <f>I15*F41</f>
        <v>1927017.558</v>
      </c>
      <c r="K15" s="231">
        <v>122.2</v>
      </c>
      <c r="L15" s="232">
        <v>95.1</v>
      </c>
      <c r="M15" s="230">
        <f>L15*G41</f>
        <v>614368.8239999999</v>
      </c>
      <c r="N15" s="231">
        <v>920.9</v>
      </c>
      <c r="O15" s="232">
        <v>816.6</v>
      </c>
      <c r="P15" s="230">
        <f>O15*G41</f>
        <v>5275431.984</v>
      </c>
      <c r="Q15" s="231">
        <f t="shared" si="0"/>
        <v>2100</v>
      </c>
      <c r="R15" s="230">
        <f t="shared" si="0"/>
        <v>13187044.161</v>
      </c>
      <c r="S15" s="67" t="s">
        <v>82</v>
      </c>
      <c r="T15" s="13"/>
      <c r="U15" s="11"/>
      <c r="V15" s="12"/>
    </row>
    <row r="16" spans="1:22" ht="35.25" customHeight="1">
      <c r="A16" s="18"/>
      <c r="B16" s="360" t="s">
        <v>37</v>
      </c>
      <c r="C16" s="441"/>
      <c r="D16" s="442"/>
      <c r="E16" s="8">
        <v>186.3</v>
      </c>
      <c r="F16" s="229">
        <v>215.9</v>
      </c>
      <c r="G16" s="230">
        <f>F16*F41</f>
        <v>1325822.469</v>
      </c>
      <c r="H16" s="231">
        <v>55.3</v>
      </c>
      <c r="I16" s="232">
        <v>74.5</v>
      </c>
      <c r="J16" s="230">
        <f>I16*F41</f>
        <v>457497.795</v>
      </c>
      <c r="K16" s="231">
        <v>2.8</v>
      </c>
      <c r="L16" s="232">
        <v>24.7</v>
      </c>
      <c r="M16" s="230">
        <f>L16*G41</f>
        <v>159567.92799999999</v>
      </c>
      <c r="N16" s="231">
        <v>158.5</v>
      </c>
      <c r="O16" s="232">
        <v>181.1</v>
      </c>
      <c r="P16" s="230">
        <f>O16*G41</f>
        <v>1169949.464</v>
      </c>
      <c r="Q16" s="231">
        <f t="shared" si="0"/>
        <v>496.19999999999993</v>
      </c>
      <c r="R16" s="230">
        <f t="shared" si="0"/>
        <v>3112837.656</v>
      </c>
      <c r="S16" s="67"/>
      <c r="T16" s="13"/>
      <c r="U16" s="11"/>
      <c r="V16" s="12"/>
    </row>
    <row r="17" spans="1:22" ht="36" customHeight="1">
      <c r="A17" s="18"/>
      <c r="B17" s="360" t="s">
        <v>38</v>
      </c>
      <c r="C17" s="441"/>
      <c r="D17" s="442"/>
      <c r="E17" s="8">
        <v>619</v>
      </c>
      <c r="F17" s="229">
        <v>550.4</v>
      </c>
      <c r="G17" s="230">
        <f>F17*F41</f>
        <v>3379956.8639999996</v>
      </c>
      <c r="H17" s="231">
        <v>532.4</v>
      </c>
      <c r="I17" s="232">
        <v>193.1</v>
      </c>
      <c r="J17" s="230">
        <f>I17*F41</f>
        <v>1185809.721</v>
      </c>
      <c r="K17" s="231">
        <v>142.3</v>
      </c>
      <c r="L17" s="232">
        <v>65</v>
      </c>
      <c r="M17" s="230">
        <f>L17*G41</f>
        <v>419915.6</v>
      </c>
      <c r="N17" s="231">
        <v>646.5</v>
      </c>
      <c r="O17" s="232">
        <v>463.1</v>
      </c>
      <c r="P17" s="230">
        <f>O17*G41</f>
        <v>2991737.144</v>
      </c>
      <c r="Q17" s="231">
        <f t="shared" si="0"/>
        <v>1271.6</v>
      </c>
      <c r="R17" s="230">
        <f t="shared" si="0"/>
        <v>7977419.328999998</v>
      </c>
      <c r="S17" s="67"/>
      <c r="T17" s="13"/>
      <c r="U17" s="11"/>
      <c r="V17" s="12"/>
    </row>
    <row r="18" spans="1:22" ht="52.5" customHeight="1">
      <c r="A18" s="18"/>
      <c r="B18" s="360" t="s">
        <v>39</v>
      </c>
      <c r="C18" s="441"/>
      <c r="D18" s="442"/>
      <c r="E18" s="8">
        <v>277.52</v>
      </c>
      <c r="F18" s="234">
        <v>201.86</v>
      </c>
      <c r="G18" s="230">
        <f>F18*F41</f>
        <v>1239604.0926</v>
      </c>
      <c r="H18" s="231">
        <v>129</v>
      </c>
      <c r="I18" s="235">
        <v>160.27</v>
      </c>
      <c r="J18" s="230">
        <f>I18*F41</f>
        <v>984203.6457</v>
      </c>
      <c r="K18" s="231">
        <v>7.2</v>
      </c>
      <c r="L18" s="236">
        <v>24.374</v>
      </c>
      <c r="M18" s="230">
        <f>L18*G41</f>
        <v>157461.88976</v>
      </c>
      <c r="N18" s="231">
        <v>182.6</v>
      </c>
      <c r="O18" s="236">
        <v>228.491</v>
      </c>
      <c r="P18" s="230">
        <f>O18*G41</f>
        <v>1476106.69784</v>
      </c>
      <c r="Q18" s="231">
        <f t="shared" si="0"/>
        <v>614.995</v>
      </c>
      <c r="R18" s="230">
        <f t="shared" si="0"/>
        <v>3857376.3259000005</v>
      </c>
      <c r="S18" s="68" t="s">
        <v>82</v>
      </c>
      <c r="T18" s="13"/>
      <c r="U18" s="11"/>
      <c r="V18" s="12"/>
    </row>
    <row r="19" spans="1:22" s="97" customFormat="1" ht="30.75" customHeight="1">
      <c r="A19" s="100">
        <v>3</v>
      </c>
      <c r="B19" s="363" t="s">
        <v>42</v>
      </c>
      <c r="C19" s="524"/>
      <c r="D19" s="525"/>
      <c r="E19" s="98"/>
      <c r="F19" s="237">
        <v>276.948</v>
      </c>
      <c r="G19" s="227">
        <f>F19*F41</f>
        <v>1700712.74268</v>
      </c>
      <c r="H19" s="93"/>
      <c r="I19" s="238">
        <v>118.148</v>
      </c>
      <c r="J19" s="227">
        <f>I19*F41</f>
        <v>725536.23468</v>
      </c>
      <c r="K19" s="93"/>
      <c r="L19" s="238">
        <v>67.148</v>
      </c>
      <c r="M19" s="227">
        <f>L19*G41</f>
        <v>433792.19551999995</v>
      </c>
      <c r="N19" s="93"/>
      <c r="O19" s="238">
        <v>246.348</v>
      </c>
      <c r="P19" s="227">
        <f>O19*G41</f>
        <v>1591467.20352</v>
      </c>
      <c r="Q19" s="239">
        <f t="shared" si="0"/>
        <v>708.5920000000001</v>
      </c>
      <c r="R19" s="227">
        <f t="shared" si="0"/>
        <v>4451508.3763999995</v>
      </c>
      <c r="S19" s="94"/>
      <c r="T19" s="101"/>
      <c r="U19" s="96"/>
      <c r="V19" s="95"/>
    </row>
    <row r="20" spans="1:22" s="97" customFormat="1" ht="39" customHeight="1">
      <c r="A20" s="100">
        <v>4</v>
      </c>
      <c r="B20" s="363" t="s">
        <v>43</v>
      </c>
      <c r="C20" s="524"/>
      <c r="D20" s="525"/>
      <c r="E20" s="98"/>
      <c r="F20" s="226">
        <f>SUM(F21)</f>
        <v>38.5</v>
      </c>
      <c r="G20" s="227">
        <f aca="true" t="shared" si="1" ref="G20:P20">SUM(G21)</f>
        <v>236425.035</v>
      </c>
      <c r="H20" s="93">
        <f t="shared" si="1"/>
        <v>0</v>
      </c>
      <c r="I20" s="228">
        <f t="shared" si="1"/>
        <v>12.6</v>
      </c>
      <c r="J20" s="227">
        <f t="shared" si="1"/>
        <v>77375.466</v>
      </c>
      <c r="K20" s="93">
        <f t="shared" si="1"/>
        <v>0</v>
      </c>
      <c r="L20" s="228">
        <f t="shared" si="1"/>
        <v>4</v>
      </c>
      <c r="M20" s="227">
        <f t="shared" si="1"/>
        <v>25840.96</v>
      </c>
      <c r="N20" s="93">
        <f t="shared" si="1"/>
        <v>0</v>
      </c>
      <c r="O20" s="228">
        <f t="shared" si="1"/>
        <v>32</v>
      </c>
      <c r="P20" s="227">
        <f t="shared" si="1"/>
        <v>206727.68</v>
      </c>
      <c r="Q20" s="93">
        <f t="shared" si="0"/>
        <v>87.1</v>
      </c>
      <c r="R20" s="227">
        <f t="shared" si="0"/>
        <v>546369.1410000001</v>
      </c>
      <c r="S20" s="94"/>
      <c r="T20" s="96"/>
      <c r="U20" s="96"/>
      <c r="V20" s="95"/>
    </row>
    <row r="21" spans="1:22" ht="36" customHeight="1">
      <c r="A21" s="18"/>
      <c r="B21" s="360" t="s">
        <v>44</v>
      </c>
      <c r="C21" s="441"/>
      <c r="D21" s="442"/>
      <c r="E21" s="8"/>
      <c r="F21" s="229">
        <v>38.5</v>
      </c>
      <c r="G21" s="230">
        <f>F21*F41</f>
        <v>236425.035</v>
      </c>
      <c r="H21" s="231"/>
      <c r="I21" s="232">
        <v>12.6</v>
      </c>
      <c r="J21" s="230">
        <f>I21*F41</f>
        <v>77375.466</v>
      </c>
      <c r="K21" s="231"/>
      <c r="L21" s="232">
        <v>4</v>
      </c>
      <c r="M21" s="230">
        <f>L21*G41</f>
        <v>25840.96</v>
      </c>
      <c r="N21" s="231"/>
      <c r="O21" s="232">
        <v>32</v>
      </c>
      <c r="P21" s="230">
        <f>O21*G41</f>
        <v>206727.68</v>
      </c>
      <c r="Q21" s="231">
        <f>F21+I21+L21+O21</f>
        <v>87.1</v>
      </c>
      <c r="R21" s="230">
        <f>G21+J21+M21+P21</f>
        <v>546369.1410000001</v>
      </c>
      <c r="S21" s="67" t="s">
        <v>83</v>
      </c>
      <c r="T21" s="11"/>
      <c r="U21" s="11"/>
      <c r="V21" s="12"/>
    </row>
    <row r="22" spans="1:22" ht="36" customHeight="1" hidden="1">
      <c r="A22" s="18"/>
      <c r="B22" s="360" t="s">
        <v>45</v>
      </c>
      <c r="C22" s="441"/>
      <c r="D22" s="442"/>
      <c r="E22" s="8"/>
      <c r="F22" s="229"/>
      <c r="G22" s="230">
        <f>F22*F41</f>
        <v>0</v>
      </c>
      <c r="H22" s="231"/>
      <c r="I22" s="232"/>
      <c r="J22" s="230">
        <f>I22*F41</f>
        <v>0</v>
      </c>
      <c r="K22" s="231"/>
      <c r="L22" s="232"/>
      <c r="M22" s="230">
        <f>L22*G41</f>
        <v>0</v>
      </c>
      <c r="N22" s="231"/>
      <c r="O22" s="232"/>
      <c r="P22" s="230">
        <f>O22*G41</f>
        <v>0</v>
      </c>
      <c r="Q22" s="231">
        <f>F22+I22+L22+O22</f>
        <v>0</v>
      </c>
      <c r="R22" s="230">
        <f>G22+J22+M22+P22</f>
        <v>0</v>
      </c>
      <c r="S22" s="67"/>
      <c r="T22" s="11"/>
      <c r="U22" s="11"/>
      <c r="V22" s="12"/>
    </row>
    <row r="23" spans="1:22" s="97" customFormat="1" ht="56.25" customHeight="1">
      <c r="A23" s="100">
        <v>5</v>
      </c>
      <c r="B23" s="363" t="s">
        <v>47</v>
      </c>
      <c r="C23" s="524"/>
      <c r="D23" s="525"/>
      <c r="E23" s="98"/>
      <c r="F23" s="226">
        <f>F24+F25+F26+F27</f>
        <v>587.9200000000001</v>
      </c>
      <c r="G23" s="227">
        <f>F23*F41</f>
        <v>3610363.8072</v>
      </c>
      <c r="H23" s="93"/>
      <c r="I23" s="228">
        <f>I24+I25+I26+I27</f>
        <v>226.71999999999997</v>
      </c>
      <c r="J23" s="227">
        <f>J24+J25+J26+J27</f>
        <v>1392267.1152</v>
      </c>
      <c r="K23" s="93"/>
      <c r="L23" s="228">
        <f>L24+L25+L26+L27</f>
        <v>113.22</v>
      </c>
      <c r="M23" s="227">
        <f>M24+M25+M26+M27</f>
        <v>731428.3728</v>
      </c>
      <c r="N23" s="93"/>
      <c r="O23" s="228">
        <f>O24+O25+O26+O27</f>
        <v>440.49</v>
      </c>
      <c r="P23" s="227">
        <f>P24+P25+P26+P27</f>
        <v>2845671.1175999995</v>
      </c>
      <c r="Q23" s="93">
        <f>Q24+Q25+Q26+Q27</f>
        <v>1368.3500000000001</v>
      </c>
      <c r="R23" s="227">
        <f>R24+R25+R26+R27</f>
        <v>8579730.4128</v>
      </c>
      <c r="S23" s="94"/>
      <c r="T23" s="96"/>
      <c r="U23" s="96"/>
      <c r="V23" s="95"/>
    </row>
    <row r="24" spans="1:22" ht="39" customHeight="1">
      <c r="A24" s="18"/>
      <c r="B24" s="360" t="s">
        <v>48</v>
      </c>
      <c r="C24" s="441"/>
      <c r="D24" s="442"/>
      <c r="E24" s="8"/>
      <c r="F24" s="229">
        <v>12.43</v>
      </c>
      <c r="G24" s="230">
        <f>F24*F41</f>
        <v>76331.5113</v>
      </c>
      <c r="H24" s="231"/>
      <c r="I24" s="232">
        <v>12.43</v>
      </c>
      <c r="J24" s="230">
        <f>I24*F41</f>
        <v>76331.5113</v>
      </c>
      <c r="K24" s="231"/>
      <c r="L24" s="232">
        <v>12.43</v>
      </c>
      <c r="M24" s="230">
        <f>L24*G41</f>
        <v>80300.78319999999</v>
      </c>
      <c r="N24" s="231"/>
      <c r="O24" s="232">
        <v>12.43</v>
      </c>
      <c r="P24" s="230">
        <f>O24*G41</f>
        <v>80300.78319999999</v>
      </c>
      <c r="Q24" s="231">
        <f aca="true" t="shared" si="2" ref="Q24:R26">F24+I24+L24+O24</f>
        <v>49.72</v>
      </c>
      <c r="R24" s="230">
        <f t="shared" si="2"/>
        <v>313264.589</v>
      </c>
      <c r="S24" s="67"/>
      <c r="T24" s="11"/>
      <c r="U24" s="11"/>
      <c r="V24" s="12"/>
    </row>
    <row r="25" spans="1:22" ht="33" customHeight="1">
      <c r="A25" s="18"/>
      <c r="B25" s="360" t="s">
        <v>49</v>
      </c>
      <c r="C25" s="441"/>
      <c r="D25" s="442"/>
      <c r="E25" s="8"/>
      <c r="F25" s="229">
        <v>380.5</v>
      </c>
      <c r="G25" s="230">
        <f>F25*F41</f>
        <v>2336616.255</v>
      </c>
      <c r="H25" s="231"/>
      <c r="I25" s="232">
        <v>95.29</v>
      </c>
      <c r="J25" s="230">
        <f>I25*F41</f>
        <v>585167.3139000001</v>
      </c>
      <c r="K25" s="231"/>
      <c r="L25" s="232">
        <v>7.8</v>
      </c>
      <c r="M25" s="230">
        <f>L25*G41</f>
        <v>50389.871999999996</v>
      </c>
      <c r="N25" s="231"/>
      <c r="O25" s="232">
        <v>256.07</v>
      </c>
      <c r="P25" s="230">
        <f>O25*G41</f>
        <v>1654273.6568</v>
      </c>
      <c r="Q25" s="231">
        <f t="shared" si="2"/>
        <v>739.6600000000001</v>
      </c>
      <c r="R25" s="230">
        <f t="shared" si="2"/>
        <v>4626447.0977</v>
      </c>
      <c r="S25" s="67"/>
      <c r="T25" s="11"/>
      <c r="U25" s="11"/>
      <c r="V25" s="12"/>
    </row>
    <row r="26" spans="1:22" ht="39.75" customHeight="1">
      <c r="A26" s="18"/>
      <c r="B26" s="360" t="s">
        <v>50</v>
      </c>
      <c r="C26" s="441"/>
      <c r="D26" s="442"/>
      <c r="E26" s="8"/>
      <c r="F26" s="229">
        <v>91.99</v>
      </c>
      <c r="G26" s="230">
        <f>F26*F41</f>
        <v>564902.3108999999</v>
      </c>
      <c r="H26" s="231"/>
      <c r="I26" s="232">
        <v>91.99</v>
      </c>
      <c r="J26" s="230">
        <f>I26*F41</f>
        <v>564902.3108999999</v>
      </c>
      <c r="K26" s="231"/>
      <c r="L26" s="232">
        <v>91.99</v>
      </c>
      <c r="M26" s="230">
        <f>L26*G41</f>
        <v>594277.4776</v>
      </c>
      <c r="N26" s="231"/>
      <c r="O26" s="232">
        <v>91.99</v>
      </c>
      <c r="P26" s="230">
        <f>O26*G41</f>
        <v>594277.4776</v>
      </c>
      <c r="Q26" s="231">
        <f t="shared" si="2"/>
        <v>367.96</v>
      </c>
      <c r="R26" s="230">
        <f t="shared" si="2"/>
        <v>2318359.5769999996</v>
      </c>
      <c r="S26" s="67"/>
      <c r="T26" s="11"/>
      <c r="U26" s="11"/>
      <c r="V26" s="12"/>
    </row>
    <row r="27" spans="1:22" ht="34.5" customHeight="1">
      <c r="A27" s="18"/>
      <c r="B27" s="360" t="s">
        <v>40</v>
      </c>
      <c r="C27" s="441"/>
      <c r="D27" s="442"/>
      <c r="E27" s="8">
        <v>112.1</v>
      </c>
      <c r="F27" s="229">
        <v>103</v>
      </c>
      <c r="G27" s="230">
        <f>F27*F41</f>
        <v>632513.73</v>
      </c>
      <c r="H27" s="231"/>
      <c r="I27" s="232">
        <v>27.01</v>
      </c>
      <c r="J27" s="230">
        <f>I27*F41</f>
        <v>165865.9791</v>
      </c>
      <c r="K27" s="231"/>
      <c r="L27" s="232">
        <v>1</v>
      </c>
      <c r="M27" s="230">
        <f>L27*G41</f>
        <v>6460.24</v>
      </c>
      <c r="N27" s="231"/>
      <c r="O27" s="232">
        <v>80</v>
      </c>
      <c r="P27" s="230">
        <f>O27*G41</f>
        <v>516819.19999999995</v>
      </c>
      <c r="Q27" s="231">
        <f>F27+I27+L27+O27</f>
        <v>211.01</v>
      </c>
      <c r="R27" s="230">
        <f>G27+J27+M27+P27</f>
        <v>1321659.1491</v>
      </c>
      <c r="S27" s="67"/>
      <c r="T27" s="11"/>
      <c r="U27" s="11"/>
      <c r="V27" s="12"/>
    </row>
    <row r="28" spans="1:22" s="97" customFormat="1" ht="28.5" customHeight="1">
      <c r="A28" s="100">
        <v>6</v>
      </c>
      <c r="B28" s="363" t="s">
        <v>53</v>
      </c>
      <c r="C28" s="524"/>
      <c r="D28" s="525"/>
      <c r="E28" s="98"/>
      <c r="F28" s="226">
        <f>F29+F30+F31</f>
        <v>950.4</v>
      </c>
      <c r="G28" s="227">
        <f>SUM(G29:G31)</f>
        <v>5836320.864</v>
      </c>
      <c r="H28" s="93"/>
      <c r="I28" s="228">
        <f>I29+I30+I31</f>
        <v>315.2</v>
      </c>
      <c r="J28" s="227">
        <f>J29+J30+J31</f>
        <v>1935614.832</v>
      </c>
      <c r="K28" s="93"/>
      <c r="L28" s="228">
        <f>L29+L30+L31</f>
        <v>96.6</v>
      </c>
      <c r="M28" s="227">
        <f>M29+M30+M31</f>
        <v>624059.1839999999</v>
      </c>
      <c r="N28" s="93"/>
      <c r="O28" s="228">
        <f>O29+O30+O31</f>
        <v>805.8</v>
      </c>
      <c r="P28" s="227">
        <f>P29+P30+P31</f>
        <v>5205661.392</v>
      </c>
      <c r="Q28" s="93">
        <f>Q29+Q30+Q31</f>
        <v>2168</v>
      </c>
      <c r="R28" s="227">
        <f>R29+R30+R31</f>
        <v>13601656.272</v>
      </c>
      <c r="S28" s="94"/>
      <c r="T28" s="96"/>
      <c r="U28" s="96"/>
      <c r="V28" s="95"/>
    </row>
    <row r="29" spans="1:22" ht="42" customHeight="1">
      <c r="A29" s="18"/>
      <c r="B29" s="360" t="s">
        <v>73</v>
      </c>
      <c r="C29" s="441"/>
      <c r="D29" s="442"/>
      <c r="E29" s="8"/>
      <c r="F29" s="229">
        <v>15</v>
      </c>
      <c r="G29" s="230">
        <f>F29*F41</f>
        <v>92113.65</v>
      </c>
      <c r="H29" s="231"/>
      <c r="I29" s="232">
        <v>6</v>
      </c>
      <c r="J29" s="230">
        <f>I29*F41</f>
        <v>36845.46</v>
      </c>
      <c r="K29" s="231"/>
      <c r="L29" s="232">
        <v>1</v>
      </c>
      <c r="M29" s="230">
        <f>L29*G41</f>
        <v>6460.24</v>
      </c>
      <c r="N29" s="231"/>
      <c r="O29" s="232">
        <v>28</v>
      </c>
      <c r="P29" s="230">
        <f>O29*G41</f>
        <v>180886.72</v>
      </c>
      <c r="Q29" s="231">
        <f aca="true" t="shared" si="3" ref="Q29:R37">F29+I29+L29+O29</f>
        <v>50</v>
      </c>
      <c r="R29" s="230">
        <f t="shared" si="3"/>
        <v>316306.06999999995</v>
      </c>
      <c r="S29" s="67"/>
      <c r="T29" s="11"/>
      <c r="U29" s="11"/>
      <c r="V29" s="12"/>
    </row>
    <row r="30" spans="1:22" ht="34.5" customHeight="1">
      <c r="A30" s="18"/>
      <c r="B30" s="360" t="s">
        <v>55</v>
      </c>
      <c r="C30" s="441"/>
      <c r="D30" s="442"/>
      <c r="E30" s="8"/>
      <c r="F30" s="229">
        <v>144</v>
      </c>
      <c r="G30" s="230">
        <f>F30*F41</f>
        <v>884291.04</v>
      </c>
      <c r="H30" s="231"/>
      <c r="I30" s="232">
        <v>65</v>
      </c>
      <c r="J30" s="230">
        <f>I30*F41</f>
        <v>399159.14999999997</v>
      </c>
      <c r="K30" s="231"/>
      <c r="L30" s="232">
        <v>13</v>
      </c>
      <c r="M30" s="230">
        <f>L30*G41</f>
        <v>83983.12</v>
      </c>
      <c r="N30" s="231"/>
      <c r="O30" s="232">
        <v>97</v>
      </c>
      <c r="P30" s="230">
        <f>O30*G41</f>
        <v>626643.28</v>
      </c>
      <c r="Q30" s="231">
        <f t="shared" si="3"/>
        <v>319</v>
      </c>
      <c r="R30" s="230">
        <f t="shared" si="3"/>
        <v>1994076.59</v>
      </c>
      <c r="S30" s="67"/>
      <c r="T30" s="11"/>
      <c r="U30" s="11"/>
      <c r="V30" s="12"/>
    </row>
    <row r="31" spans="1:22" ht="33" customHeight="1">
      <c r="A31" s="18"/>
      <c r="B31" s="360" t="s">
        <v>91</v>
      </c>
      <c r="C31" s="441"/>
      <c r="D31" s="442"/>
      <c r="E31" s="8"/>
      <c r="F31" s="229">
        <v>791.4</v>
      </c>
      <c r="G31" s="230">
        <f>SUM(F31)*F41</f>
        <v>4859916.174</v>
      </c>
      <c r="H31" s="231"/>
      <c r="I31" s="232">
        <v>244.2</v>
      </c>
      <c r="J31" s="230">
        <f>SUM(I31)*F41</f>
        <v>1499610.2219999998</v>
      </c>
      <c r="K31" s="231"/>
      <c r="L31" s="232">
        <v>82.6</v>
      </c>
      <c r="M31" s="230">
        <f>SUM(L31)*G41</f>
        <v>533615.8239999999</v>
      </c>
      <c r="N31" s="231"/>
      <c r="O31" s="232">
        <v>680.8</v>
      </c>
      <c r="P31" s="230">
        <f>SUM(O31)*G41</f>
        <v>4398131.392</v>
      </c>
      <c r="Q31" s="231">
        <f t="shared" si="3"/>
        <v>1798.9999999999998</v>
      </c>
      <c r="R31" s="230">
        <f>SUM(G31)+J31+M31+P31</f>
        <v>11291273.612</v>
      </c>
      <c r="S31" s="67"/>
      <c r="T31" s="11"/>
      <c r="U31" s="11"/>
      <c r="V31" s="12"/>
    </row>
    <row r="32" spans="1:22" s="97" customFormat="1" ht="31.5" customHeight="1">
      <c r="A32" s="100">
        <v>7</v>
      </c>
      <c r="B32" s="363" t="s">
        <v>56</v>
      </c>
      <c r="C32" s="524"/>
      <c r="D32" s="525"/>
      <c r="E32" s="98"/>
      <c r="F32" s="237">
        <f>SUM(F33:F34)</f>
        <v>345.44</v>
      </c>
      <c r="G32" s="227">
        <f aca="true" t="shared" si="4" ref="G32:P32">SUM(G33:G34)</f>
        <v>2121315.9504</v>
      </c>
      <c r="H32" s="93">
        <f t="shared" si="4"/>
        <v>0</v>
      </c>
      <c r="I32" s="240">
        <f t="shared" si="4"/>
        <v>166.814</v>
      </c>
      <c r="J32" s="227">
        <f t="shared" si="4"/>
        <v>1024389.7607399999</v>
      </c>
      <c r="K32" s="93">
        <f t="shared" si="4"/>
        <v>0</v>
      </c>
      <c r="L32" s="240">
        <f t="shared" si="4"/>
        <v>104.259</v>
      </c>
      <c r="M32" s="227">
        <f t="shared" si="4"/>
        <v>673538.1621600001</v>
      </c>
      <c r="N32" s="93">
        <f t="shared" si="4"/>
        <v>0</v>
      </c>
      <c r="O32" s="240">
        <f t="shared" si="4"/>
        <v>300.736</v>
      </c>
      <c r="P32" s="227">
        <f t="shared" si="4"/>
        <v>1942826.7366399998</v>
      </c>
      <c r="Q32" s="93">
        <f t="shared" si="3"/>
        <v>917.249</v>
      </c>
      <c r="R32" s="227">
        <f t="shared" si="3"/>
        <v>5762070.60994</v>
      </c>
      <c r="S32" s="94"/>
      <c r="T32" s="96"/>
      <c r="U32" s="96"/>
      <c r="V32" s="95"/>
    </row>
    <row r="33" spans="1:22" s="97" customFormat="1" ht="31.5" customHeight="1">
      <c r="A33" s="18"/>
      <c r="B33" s="360" t="s">
        <v>100</v>
      </c>
      <c r="C33" s="361"/>
      <c r="D33" s="362"/>
      <c r="E33" s="8"/>
      <c r="F33" s="303">
        <v>339.755</v>
      </c>
      <c r="G33" s="230">
        <f>SUM(F33)*F41</f>
        <v>2086404.87705</v>
      </c>
      <c r="H33" s="231"/>
      <c r="I33" s="256">
        <v>161.129</v>
      </c>
      <c r="J33" s="230">
        <f>SUM(I33)*F41</f>
        <v>989478.68739</v>
      </c>
      <c r="K33" s="231"/>
      <c r="L33" s="256">
        <v>98.574</v>
      </c>
      <c r="M33" s="230">
        <f>SUM(L33)*G41</f>
        <v>636811.69776</v>
      </c>
      <c r="N33" s="231"/>
      <c r="O33" s="256">
        <v>295.051</v>
      </c>
      <c r="P33" s="230">
        <f>SUM(O33)*G41</f>
        <v>1906100.2722399998</v>
      </c>
      <c r="Q33" s="231">
        <f t="shared" si="3"/>
        <v>894.509</v>
      </c>
      <c r="R33" s="230">
        <f t="shared" si="3"/>
        <v>5618795.53444</v>
      </c>
      <c r="S33" s="94"/>
      <c r="T33" s="96"/>
      <c r="U33" s="96"/>
      <c r="V33" s="95"/>
    </row>
    <row r="34" spans="1:22" s="97" customFormat="1" ht="31.5" customHeight="1">
      <c r="A34" s="18"/>
      <c r="B34" s="360" t="s">
        <v>99</v>
      </c>
      <c r="C34" s="361"/>
      <c r="D34" s="362"/>
      <c r="E34" s="8"/>
      <c r="F34" s="303">
        <v>5.685</v>
      </c>
      <c r="G34" s="230">
        <f>SUM(F34)*F41</f>
        <v>34911.07335</v>
      </c>
      <c r="H34" s="231"/>
      <c r="I34" s="256">
        <v>5.685</v>
      </c>
      <c r="J34" s="230">
        <f>SUM(I34)*F41</f>
        <v>34911.07335</v>
      </c>
      <c r="K34" s="231"/>
      <c r="L34" s="256">
        <v>5.685</v>
      </c>
      <c r="M34" s="230">
        <f>SUM(L34)*G41</f>
        <v>36726.4644</v>
      </c>
      <c r="N34" s="231"/>
      <c r="O34" s="256">
        <v>5.685</v>
      </c>
      <c r="P34" s="230">
        <f>SUM(O34)*G41</f>
        <v>36726.4644</v>
      </c>
      <c r="Q34" s="231">
        <f t="shared" si="3"/>
        <v>22.74</v>
      </c>
      <c r="R34" s="230">
        <f t="shared" si="3"/>
        <v>143275.07549999998</v>
      </c>
      <c r="S34" s="94"/>
      <c r="T34" s="96"/>
      <c r="U34" s="96"/>
      <c r="V34" s="95"/>
    </row>
    <row r="35" spans="1:22" s="97" customFormat="1" ht="31.5" customHeight="1">
      <c r="A35" s="100">
        <v>8</v>
      </c>
      <c r="B35" s="371" t="s">
        <v>96</v>
      </c>
      <c r="C35" s="372"/>
      <c r="D35" s="373"/>
      <c r="E35" s="98"/>
      <c r="F35" s="237">
        <f>SUM(F36:F37)</f>
        <v>98.8</v>
      </c>
      <c r="G35" s="227">
        <f aca="true" t="shared" si="5" ref="G35:R35">SUM(G36:G37)</f>
        <v>606721.9079999999</v>
      </c>
      <c r="H35" s="93">
        <f t="shared" si="5"/>
        <v>0</v>
      </c>
      <c r="I35" s="240">
        <f t="shared" si="5"/>
        <v>28.6</v>
      </c>
      <c r="J35" s="227">
        <f t="shared" si="5"/>
        <v>175630.02599999998</v>
      </c>
      <c r="K35" s="93">
        <f t="shared" si="5"/>
        <v>0</v>
      </c>
      <c r="L35" s="240">
        <f t="shared" si="5"/>
        <v>8.299999999999999</v>
      </c>
      <c r="M35" s="227">
        <f t="shared" si="5"/>
        <v>53619.992</v>
      </c>
      <c r="N35" s="93">
        <f t="shared" si="5"/>
        <v>0</v>
      </c>
      <c r="O35" s="240">
        <f t="shared" si="5"/>
        <v>83.39999999999999</v>
      </c>
      <c r="P35" s="227">
        <f t="shared" si="5"/>
        <v>538784.016</v>
      </c>
      <c r="Q35" s="93">
        <f t="shared" si="5"/>
        <v>219.1</v>
      </c>
      <c r="R35" s="227">
        <f t="shared" si="5"/>
        <v>1374755.9419999998</v>
      </c>
      <c r="S35" s="94"/>
      <c r="T35" s="96"/>
      <c r="U35" s="96"/>
      <c r="V35" s="95"/>
    </row>
    <row r="36" spans="1:22" s="97" customFormat="1" ht="31.5" customHeight="1">
      <c r="A36" s="100"/>
      <c r="B36" s="360" t="s">
        <v>97</v>
      </c>
      <c r="C36" s="441"/>
      <c r="D36" s="442"/>
      <c r="E36" s="98"/>
      <c r="F36" s="303">
        <v>3.6</v>
      </c>
      <c r="G36" s="230">
        <f>SUM(F36)*F41</f>
        <v>22107.276</v>
      </c>
      <c r="H36" s="231"/>
      <c r="I36" s="256">
        <v>1.3</v>
      </c>
      <c r="J36" s="230">
        <f>SUM(I36)*F41</f>
        <v>7983.183</v>
      </c>
      <c r="K36" s="231"/>
      <c r="L36" s="256">
        <v>0.28</v>
      </c>
      <c r="M36" s="230">
        <f>SUM(L36)*G41</f>
        <v>1808.8672000000001</v>
      </c>
      <c r="N36" s="231"/>
      <c r="O36" s="256">
        <v>3.1</v>
      </c>
      <c r="P36" s="230">
        <f>SUM(O36)*G41</f>
        <v>20026.744</v>
      </c>
      <c r="Q36" s="231">
        <f t="shared" si="3"/>
        <v>8.280000000000001</v>
      </c>
      <c r="R36" s="230">
        <f>SUM(G36)+J36+M36+P36</f>
        <v>51926.0702</v>
      </c>
      <c r="S36" s="94"/>
      <c r="T36" s="96"/>
      <c r="U36" s="96"/>
      <c r="V36" s="95"/>
    </row>
    <row r="37" spans="1:22" s="97" customFormat="1" ht="31.5" customHeight="1">
      <c r="A37" s="100"/>
      <c r="B37" s="360" t="s">
        <v>98</v>
      </c>
      <c r="C37" s="441"/>
      <c r="D37" s="442"/>
      <c r="E37" s="98"/>
      <c r="F37" s="303">
        <v>95.2</v>
      </c>
      <c r="G37" s="230">
        <f>SUM(F37)*F41</f>
        <v>584614.632</v>
      </c>
      <c r="H37" s="231"/>
      <c r="I37" s="256">
        <v>27.3</v>
      </c>
      <c r="J37" s="230">
        <f>SUM(I37)*F41</f>
        <v>167646.843</v>
      </c>
      <c r="K37" s="231"/>
      <c r="L37" s="256">
        <v>8.02</v>
      </c>
      <c r="M37" s="230">
        <f>SUM(L37)*G41</f>
        <v>51811.1248</v>
      </c>
      <c r="N37" s="231"/>
      <c r="O37" s="256">
        <v>80.3</v>
      </c>
      <c r="P37" s="230">
        <f>SUM(O37)*G41</f>
        <v>518757.27199999994</v>
      </c>
      <c r="Q37" s="231">
        <f t="shared" si="3"/>
        <v>210.82</v>
      </c>
      <c r="R37" s="230">
        <f>SUM(G37)+J37+M37+P37</f>
        <v>1322829.8717999998</v>
      </c>
      <c r="S37" s="94"/>
      <c r="T37" s="96"/>
      <c r="U37" s="96"/>
      <c r="V37" s="95"/>
    </row>
    <row r="38" spans="1:22" ht="33.75" customHeight="1">
      <c r="A38" s="18"/>
      <c r="B38" s="526" t="s">
        <v>19</v>
      </c>
      <c r="C38" s="527"/>
      <c r="D38" s="528"/>
      <c r="E38" s="14" t="e">
        <f>E11+#REF!+#REF!+E13+E14+E15+E16+E17+E18+E27+#REF!+#REF!+#REF!</f>
        <v>#REF!</v>
      </c>
      <c r="F38" s="241">
        <f aca="true" t="shared" si="6" ref="F38:R38">F11+F12+F19+F20+F23+F28+F32+F35</f>
        <v>4918.468</v>
      </c>
      <c r="G38" s="242">
        <f t="shared" si="6"/>
        <v>30203869.325879995</v>
      </c>
      <c r="H38" s="59">
        <f t="shared" si="6"/>
        <v>7.9</v>
      </c>
      <c r="I38" s="241">
        <f t="shared" si="6"/>
        <v>1847.152</v>
      </c>
      <c r="J38" s="242">
        <f t="shared" si="6"/>
        <v>11343194.188320002</v>
      </c>
      <c r="K38" s="59">
        <f t="shared" si="6"/>
        <v>2.9</v>
      </c>
      <c r="L38" s="241">
        <f t="shared" si="6"/>
        <v>678.501</v>
      </c>
      <c r="M38" s="242">
        <f t="shared" si="6"/>
        <v>4383279.30024</v>
      </c>
      <c r="N38" s="59">
        <f t="shared" si="6"/>
        <v>20.6</v>
      </c>
      <c r="O38" s="241">
        <f t="shared" si="6"/>
        <v>4119.464999999999</v>
      </c>
      <c r="P38" s="242">
        <f t="shared" si="6"/>
        <v>26612732.571599998</v>
      </c>
      <c r="Q38" s="59">
        <f t="shared" si="6"/>
        <v>11563.586000000001</v>
      </c>
      <c r="R38" s="242">
        <f t="shared" si="6"/>
        <v>72543075.38604</v>
      </c>
      <c r="S38" s="69"/>
      <c r="T38" s="19"/>
      <c r="U38" s="12"/>
      <c r="V38" s="12"/>
    </row>
    <row r="39" spans="1:22" ht="31.5" customHeight="1">
      <c r="A39" s="20"/>
      <c r="B39" s="521" t="s">
        <v>8</v>
      </c>
      <c r="C39" s="522"/>
      <c r="D39" s="523"/>
      <c r="E39" s="396" t="s">
        <v>105</v>
      </c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8"/>
      <c r="T39" s="12"/>
      <c r="U39" s="12"/>
      <c r="V39" s="12"/>
    </row>
    <row r="40" spans="1:18" s="12" customFormat="1" ht="15.75" customHeight="1">
      <c r="A40" s="166"/>
      <c r="B40" s="167"/>
      <c r="C40" s="167"/>
      <c r="D40" s="167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</row>
    <row r="41" spans="1:18" s="12" customFormat="1" ht="16.5" customHeight="1">
      <c r="A41" s="168"/>
      <c r="B41" s="4"/>
      <c r="C41" s="4"/>
      <c r="D41" s="168"/>
      <c r="E41" s="4" t="s">
        <v>11</v>
      </c>
      <c r="F41" s="3">
        <v>6140.91</v>
      </c>
      <c r="G41" s="4">
        <v>6460.24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22" ht="31.5" customHeight="1">
      <c r="A42" s="405" t="s">
        <v>106</v>
      </c>
      <c r="B42" s="405"/>
      <c r="C42" s="405"/>
      <c r="D42" s="405"/>
      <c r="E42" s="405"/>
      <c r="F42" s="405"/>
      <c r="G42" s="405"/>
      <c r="H42" s="405"/>
      <c r="I42" s="405"/>
      <c r="J42" s="405"/>
      <c r="K42" s="405"/>
      <c r="L42" s="405"/>
      <c r="M42" s="405"/>
      <c r="N42" s="405"/>
      <c r="O42" s="405"/>
      <c r="P42" s="405"/>
      <c r="Q42" s="405"/>
      <c r="R42" s="405"/>
      <c r="T42" s="12"/>
      <c r="U42" s="12"/>
      <c r="V42" s="12"/>
    </row>
    <row r="43" spans="1:22" ht="27.75" customHeight="1">
      <c r="A43" s="449" t="s">
        <v>15</v>
      </c>
      <c r="B43" s="450" t="s">
        <v>0</v>
      </c>
      <c r="C43" s="451"/>
      <c r="D43" s="452"/>
      <c r="E43" s="377" t="s">
        <v>1</v>
      </c>
      <c r="F43" s="377"/>
      <c r="G43" s="377"/>
      <c r="H43" s="377" t="s">
        <v>3</v>
      </c>
      <c r="I43" s="377"/>
      <c r="J43" s="377"/>
      <c r="K43" s="377" t="s">
        <v>4</v>
      </c>
      <c r="L43" s="377"/>
      <c r="M43" s="377"/>
      <c r="N43" s="377" t="s">
        <v>6</v>
      </c>
      <c r="O43" s="377"/>
      <c r="P43" s="377"/>
      <c r="Q43" s="377" t="s">
        <v>7</v>
      </c>
      <c r="R43" s="377"/>
      <c r="T43" s="12"/>
      <c r="U43" s="12"/>
      <c r="V43" s="12"/>
    </row>
    <row r="44" spans="1:22" ht="30" customHeight="1">
      <c r="A44" s="449"/>
      <c r="B44" s="453"/>
      <c r="C44" s="454"/>
      <c r="D44" s="455"/>
      <c r="E44" s="147"/>
      <c r="F44" s="147" t="s">
        <v>9</v>
      </c>
      <c r="G44" s="109" t="s">
        <v>5</v>
      </c>
      <c r="H44" s="147" t="s">
        <v>9</v>
      </c>
      <c r="I44" s="147" t="s">
        <v>9</v>
      </c>
      <c r="J44" s="109" t="s">
        <v>5</v>
      </c>
      <c r="K44" s="147" t="s">
        <v>9</v>
      </c>
      <c r="L44" s="147" t="s">
        <v>9</v>
      </c>
      <c r="M44" s="109" t="s">
        <v>5</v>
      </c>
      <c r="N44" s="147" t="s">
        <v>9</v>
      </c>
      <c r="O44" s="147" t="s">
        <v>9</v>
      </c>
      <c r="P44" s="109" t="s">
        <v>5</v>
      </c>
      <c r="Q44" s="147" t="s">
        <v>9</v>
      </c>
      <c r="R44" s="109" t="s">
        <v>5</v>
      </c>
      <c r="T44" s="12"/>
      <c r="U44" s="12"/>
      <c r="V44" s="12"/>
    </row>
    <row r="45" spans="1:22" s="97" customFormat="1" ht="33" customHeight="1">
      <c r="A45" s="102">
        <v>1</v>
      </c>
      <c r="B45" s="436" t="s">
        <v>33</v>
      </c>
      <c r="C45" s="437"/>
      <c r="D45" s="438"/>
      <c r="E45" s="103">
        <v>1800</v>
      </c>
      <c r="F45" s="243">
        <v>1750</v>
      </c>
      <c r="G45" s="227">
        <f>F45*F74</f>
        <v>9957.5</v>
      </c>
      <c r="H45" s="227">
        <v>1200</v>
      </c>
      <c r="I45" s="243">
        <v>1750</v>
      </c>
      <c r="J45" s="227">
        <f>I45*F74</f>
        <v>9957.5</v>
      </c>
      <c r="K45" s="227">
        <v>1500</v>
      </c>
      <c r="L45" s="243">
        <v>1750</v>
      </c>
      <c r="M45" s="227">
        <f>L45*G74</f>
        <v>10482.5</v>
      </c>
      <c r="N45" s="227">
        <v>1500</v>
      </c>
      <c r="O45" s="243">
        <v>1751.1</v>
      </c>
      <c r="P45" s="227">
        <f>O45*G74</f>
        <v>10489.089</v>
      </c>
      <c r="Q45" s="227">
        <f>F45+I45+L45+O45</f>
        <v>7001.1</v>
      </c>
      <c r="R45" s="227">
        <f>G45+J45+M45+P45</f>
        <v>40886.589</v>
      </c>
      <c r="S45" s="94"/>
      <c r="T45" s="95"/>
      <c r="U45" s="96"/>
      <c r="V45" s="95"/>
    </row>
    <row r="46" spans="1:22" s="97" customFormat="1" ht="30" customHeight="1">
      <c r="A46" s="104">
        <v>2</v>
      </c>
      <c r="B46" s="371" t="s">
        <v>41</v>
      </c>
      <c r="C46" s="372"/>
      <c r="D46" s="373"/>
      <c r="E46" s="103"/>
      <c r="F46" s="243">
        <f>F47+F48+F49+F50+F51+F52</f>
        <v>133250</v>
      </c>
      <c r="G46" s="227">
        <f>G47+G48+G49+G50+G51+G52</f>
        <v>758192.5</v>
      </c>
      <c r="H46" s="227"/>
      <c r="I46" s="243">
        <f>I47+I48+I49+I50+I51+I52</f>
        <v>113820</v>
      </c>
      <c r="J46" s="227">
        <f>J47+J48+J49+J50+J51+J52</f>
        <v>647635.8</v>
      </c>
      <c r="K46" s="227"/>
      <c r="L46" s="243">
        <f>L47+L48+L49+L50+L51+L52</f>
        <v>113149</v>
      </c>
      <c r="M46" s="227">
        <f>M47+M48+M49+M50+M51+M52</f>
        <v>677762.51</v>
      </c>
      <c r="N46" s="227"/>
      <c r="O46" s="243">
        <f>O47+O48+O49+O50+O51+O52</f>
        <v>198010</v>
      </c>
      <c r="P46" s="227">
        <f>P47+P48+P49+P50+P51+P52</f>
        <v>1186079.9</v>
      </c>
      <c r="Q46" s="227">
        <f>Q47+Q48+Q49+Q50+Q51+Q52</f>
        <v>558229</v>
      </c>
      <c r="R46" s="227">
        <f>R47+R48+R49+R50+R51+R52</f>
        <v>3269670.71</v>
      </c>
      <c r="S46" s="94"/>
      <c r="T46" s="95"/>
      <c r="U46" s="96"/>
      <c r="V46" s="95"/>
    </row>
    <row r="47" spans="1:21" s="17" customFormat="1" ht="54" customHeight="1">
      <c r="A47" s="32"/>
      <c r="B47" s="374" t="s">
        <v>34</v>
      </c>
      <c r="C47" s="375"/>
      <c r="D47" s="376"/>
      <c r="E47" s="14">
        <v>53000</v>
      </c>
      <c r="F47" s="232">
        <v>40000</v>
      </c>
      <c r="G47" s="230">
        <f>F47*F74</f>
        <v>227600.00000000003</v>
      </c>
      <c r="H47" s="231">
        <v>36000</v>
      </c>
      <c r="I47" s="232">
        <v>30000</v>
      </c>
      <c r="J47" s="230">
        <f>I47*F74</f>
        <v>170700</v>
      </c>
      <c r="K47" s="231">
        <v>24000</v>
      </c>
      <c r="L47" s="232">
        <v>26600</v>
      </c>
      <c r="M47" s="230">
        <f>L47*G74</f>
        <v>159334</v>
      </c>
      <c r="N47" s="231">
        <v>50000</v>
      </c>
      <c r="O47" s="232">
        <v>64000</v>
      </c>
      <c r="P47" s="230">
        <f>O47*G74</f>
        <v>383360</v>
      </c>
      <c r="Q47" s="231">
        <f aca="true" t="shared" si="7" ref="Q47:R53">F47+I47+L47+O47</f>
        <v>160600</v>
      </c>
      <c r="R47" s="230">
        <f t="shared" si="7"/>
        <v>940994</v>
      </c>
      <c r="S47" s="67" t="s">
        <v>82</v>
      </c>
      <c r="U47" s="16"/>
    </row>
    <row r="48" spans="1:22" ht="45.75" customHeight="1">
      <c r="A48" s="29"/>
      <c r="B48" s="399" t="s">
        <v>35</v>
      </c>
      <c r="C48" s="400"/>
      <c r="D48" s="401"/>
      <c r="E48" s="30">
        <v>27000</v>
      </c>
      <c r="F48" s="244">
        <v>23250</v>
      </c>
      <c r="G48" s="230">
        <f>F48*F74</f>
        <v>132292.5</v>
      </c>
      <c r="H48" s="230">
        <v>17000</v>
      </c>
      <c r="I48" s="244">
        <v>17820</v>
      </c>
      <c r="J48" s="230">
        <f>I48*F74</f>
        <v>101395.8</v>
      </c>
      <c r="K48" s="230">
        <v>19000</v>
      </c>
      <c r="L48" s="244">
        <v>18549</v>
      </c>
      <c r="M48" s="230">
        <f>L48*G74</f>
        <v>111108.51000000001</v>
      </c>
      <c r="N48" s="230">
        <v>41000</v>
      </c>
      <c r="O48" s="244">
        <v>35010</v>
      </c>
      <c r="P48" s="230">
        <f>O48*G74</f>
        <v>209709.9</v>
      </c>
      <c r="Q48" s="230">
        <f t="shared" si="7"/>
        <v>94629</v>
      </c>
      <c r="R48" s="230">
        <f t="shared" si="7"/>
        <v>554506.71</v>
      </c>
      <c r="S48" s="67"/>
      <c r="T48" s="12"/>
      <c r="U48" s="11"/>
      <c r="V48" s="12"/>
    </row>
    <row r="49" spans="1:22" ht="35.25" customHeight="1">
      <c r="A49" s="32"/>
      <c r="B49" s="374" t="s">
        <v>36</v>
      </c>
      <c r="C49" s="375"/>
      <c r="D49" s="376"/>
      <c r="E49" s="14">
        <v>70000</v>
      </c>
      <c r="F49" s="232">
        <v>20000</v>
      </c>
      <c r="G49" s="230">
        <f>F49*F74</f>
        <v>113800.00000000001</v>
      </c>
      <c r="H49" s="231">
        <v>55000</v>
      </c>
      <c r="I49" s="232">
        <v>20000</v>
      </c>
      <c r="J49" s="230">
        <f>I49*F74</f>
        <v>113800.00000000001</v>
      </c>
      <c r="K49" s="231">
        <v>45000</v>
      </c>
      <c r="L49" s="232">
        <v>20000</v>
      </c>
      <c r="M49" s="230">
        <f>L49*G74</f>
        <v>119800</v>
      </c>
      <c r="N49" s="231">
        <v>70000</v>
      </c>
      <c r="O49" s="232">
        <v>30000</v>
      </c>
      <c r="P49" s="230">
        <f>O49*G74</f>
        <v>179700</v>
      </c>
      <c r="Q49" s="231">
        <f t="shared" si="7"/>
        <v>90000</v>
      </c>
      <c r="R49" s="230">
        <f t="shared" si="7"/>
        <v>527100</v>
      </c>
      <c r="S49" s="67" t="s">
        <v>82</v>
      </c>
      <c r="T49" s="12"/>
      <c r="U49" s="11"/>
      <c r="V49" s="12"/>
    </row>
    <row r="50" spans="1:22" ht="33.75" customHeight="1">
      <c r="A50" s="34"/>
      <c r="B50" s="370" t="s">
        <v>37</v>
      </c>
      <c r="C50" s="370"/>
      <c r="D50" s="370"/>
      <c r="E50" s="8">
        <v>17000</v>
      </c>
      <c r="F50" s="232">
        <v>20000</v>
      </c>
      <c r="G50" s="230">
        <f>F50*F74</f>
        <v>113800.00000000001</v>
      </c>
      <c r="H50" s="231">
        <v>14000</v>
      </c>
      <c r="I50" s="232">
        <v>17000</v>
      </c>
      <c r="J50" s="230">
        <f>I50*F74</f>
        <v>96730</v>
      </c>
      <c r="K50" s="231">
        <v>13000</v>
      </c>
      <c r="L50" s="232">
        <v>16000</v>
      </c>
      <c r="M50" s="230">
        <f>L50*G74</f>
        <v>95840</v>
      </c>
      <c r="N50" s="231">
        <v>24000</v>
      </c>
      <c r="O50" s="232">
        <v>26000</v>
      </c>
      <c r="P50" s="230">
        <f>O50*G74</f>
        <v>155740</v>
      </c>
      <c r="Q50" s="231">
        <f t="shared" si="7"/>
        <v>79000</v>
      </c>
      <c r="R50" s="230">
        <f t="shared" si="7"/>
        <v>462110</v>
      </c>
      <c r="S50" s="67" t="s">
        <v>82</v>
      </c>
      <c r="T50" s="12"/>
      <c r="U50" s="11"/>
      <c r="V50" s="12"/>
    </row>
    <row r="51" spans="1:22" ht="33.75" customHeight="1">
      <c r="A51" s="34"/>
      <c r="B51" s="370" t="s">
        <v>38</v>
      </c>
      <c r="C51" s="370"/>
      <c r="D51" s="370"/>
      <c r="E51" s="8">
        <v>31000</v>
      </c>
      <c r="F51" s="232">
        <v>24000</v>
      </c>
      <c r="G51" s="230">
        <f>F51*F74</f>
        <v>136560</v>
      </c>
      <c r="H51" s="231">
        <v>27000</v>
      </c>
      <c r="I51" s="232">
        <v>23000</v>
      </c>
      <c r="J51" s="230">
        <f>I51*F74</f>
        <v>130870.00000000001</v>
      </c>
      <c r="K51" s="231">
        <v>58000</v>
      </c>
      <c r="L51" s="232">
        <v>26000</v>
      </c>
      <c r="M51" s="230">
        <f>L51*G74</f>
        <v>155740</v>
      </c>
      <c r="N51" s="231">
        <v>44000</v>
      </c>
      <c r="O51" s="232">
        <v>37000</v>
      </c>
      <c r="P51" s="230">
        <f>O51*G74</f>
        <v>221630</v>
      </c>
      <c r="Q51" s="231">
        <f t="shared" si="7"/>
        <v>110000</v>
      </c>
      <c r="R51" s="230">
        <f t="shared" si="7"/>
        <v>644800</v>
      </c>
      <c r="S51" s="67" t="s">
        <v>82</v>
      </c>
      <c r="T51" s="12"/>
      <c r="U51" s="11"/>
      <c r="V51" s="12"/>
    </row>
    <row r="52" spans="1:22" ht="59.25" customHeight="1">
      <c r="A52" s="34"/>
      <c r="B52" s="370" t="s">
        <v>39</v>
      </c>
      <c r="C52" s="370"/>
      <c r="D52" s="370"/>
      <c r="E52" s="8">
        <v>8000</v>
      </c>
      <c r="F52" s="232">
        <v>6000</v>
      </c>
      <c r="G52" s="230">
        <f>F52*F74</f>
        <v>34140</v>
      </c>
      <c r="H52" s="231">
        <v>12000</v>
      </c>
      <c r="I52" s="232">
        <v>6000</v>
      </c>
      <c r="J52" s="230">
        <f>I52*F74</f>
        <v>34140</v>
      </c>
      <c r="K52" s="231">
        <v>9000</v>
      </c>
      <c r="L52" s="232">
        <v>6000</v>
      </c>
      <c r="M52" s="230">
        <f>L52*G74</f>
        <v>35940</v>
      </c>
      <c r="N52" s="231">
        <v>15000</v>
      </c>
      <c r="O52" s="232">
        <v>6000</v>
      </c>
      <c r="P52" s="230">
        <f>O52*G74</f>
        <v>35940</v>
      </c>
      <c r="Q52" s="231">
        <f t="shared" si="7"/>
        <v>24000</v>
      </c>
      <c r="R52" s="230">
        <f t="shared" si="7"/>
        <v>140160</v>
      </c>
      <c r="S52" s="67" t="s">
        <v>82</v>
      </c>
      <c r="T52" s="12"/>
      <c r="U52" s="11"/>
      <c r="V52" s="12"/>
    </row>
    <row r="53" spans="1:22" s="97" customFormat="1" ht="34.5" customHeight="1">
      <c r="A53" s="104">
        <v>3</v>
      </c>
      <c r="B53" s="371" t="s">
        <v>42</v>
      </c>
      <c r="C53" s="372"/>
      <c r="D53" s="373"/>
      <c r="E53" s="91">
        <v>9000</v>
      </c>
      <c r="F53" s="228">
        <v>32644</v>
      </c>
      <c r="G53" s="227">
        <f>F53*F74</f>
        <v>185744.36000000002</v>
      </c>
      <c r="H53" s="93"/>
      <c r="I53" s="228">
        <v>22964</v>
      </c>
      <c r="J53" s="227">
        <f>I53*F74</f>
        <v>130665.16</v>
      </c>
      <c r="K53" s="93"/>
      <c r="L53" s="228">
        <v>24392</v>
      </c>
      <c r="M53" s="227">
        <f>L53*G74</f>
        <v>146108.08000000002</v>
      </c>
      <c r="N53" s="93"/>
      <c r="O53" s="228">
        <v>34672</v>
      </c>
      <c r="P53" s="227">
        <f>O53*G74</f>
        <v>207685.28</v>
      </c>
      <c r="Q53" s="93">
        <f t="shared" si="7"/>
        <v>114672</v>
      </c>
      <c r="R53" s="227">
        <f t="shared" si="7"/>
        <v>670202.88</v>
      </c>
      <c r="S53" s="94"/>
      <c r="T53" s="95"/>
      <c r="U53" s="96"/>
      <c r="V53" s="95"/>
    </row>
    <row r="54" spans="1:22" s="97" customFormat="1" ht="34.5" customHeight="1">
      <c r="A54" s="104">
        <v>4</v>
      </c>
      <c r="B54" s="371" t="s">
        <v>43</v>
      </c>
      <c r="C54" s="372"/>
      <c r="D54" s="373"/>
      <c r="E54" s="91">
        <v>20000</v>
      </c>
      <c r="F54" s="228">
        <f>F55+F56+F57</f>
        <v>48495.8</v>
      </c>
      <c r="G54" s="227">
        <f>G55+G56+G57</f>
        <v>275941.102</v>
      </c>
      <c r="H54" s="93"/>
      <c r="I54" s="228">
        <f>I55+I56+I57</f>
        <v>18430.3</v>
      </c>
      <c r="J54" s="227">
        <f>J55+J56+J57</f>
        <v>104868.407</v>
      </c>
      <c r="K54" s="93"/>
      <c r="L54" s="228">
        <f>L55+L56+L57</f>
        <v>13436.5</v>
      </c>
      <c r="M54" s="227">
        <f>M55+M56+M57</f>
        <v>80484.63500000001</v>
      </c>
      <c r="N54" s="93"/>
      <c r="O54" s="228">
        <f>O55+O56+O57</f>
        <v>58719.1</v>
      </c>
      <c r="P54" s="227">
        <f>P55+P56+P57</f>
        <v>351727.40900000004</v>
      </c>
      <c r="Q54" s="93">
        <f>Q55+Q56+Q57</f>
        <v>139081.7</v>
      </c>
      <c r="R54" s="227">
        <f>R55+R56+R57</f>
        <v>813021.5530000001</v>
      </c>
      <c r="S54" s="94"/>
      <c r="T54" s="95"/>
      <c r="U54" s="96"/>
      <c r="V54" s="95"/>
    </row>
    <row r="55" spans="1:22" ht="33" customHeight="1">
      <c r="A55" s="34"/>
      <c r="B55" s="374" t="s">
        <v>44</v>
      </c>
      <c r="C55" s="375"/>
      <c r="D55" s="376"/>
      <c r="E55" s="8"/>
      <c r="F55" s="232">
        <v>5377.8</v>
      </c>
      <c r="G55" s="230">
        <f>F55*F74</f>
        <v>30599.682000000004</v>
      </c>
      <c r="H55" s="231"/>
      <c r="I55" s="232">
        <v>4645.3</v>
      </c>
      <c r="J55" s="230">
        <f>I55*F74</f>
        <v>26431.757</v>
      </c>
      <c r="K55" s="231"/>
      <c r="L55" s="232">
        <v>4901.5</v>
      </c>
      <c r="M55" s="230">
        <f>L55*G74</f>
        <v>29359.985</v>
      </c>
      <c r="N55" s="231"/>
      <c r="O55" s="232">
        <v>5942.1</v>
      </c>
      <c r="P55" s="230">
        <f>O55*G74</f>
        <v>35593.179000000004</v>
      </c>
      <c r="Q55" s="231">
        <f aca="true" t="shared" si="8" ref="Q55:R57">F55+I55+L55+O55</f>
        <v>20866.7</v>
      </c>
      <c r="R55" s="230">
        <f t="shared" si="8"/>
        <v>121984.603</v>
      </c>
      <c r="S55" s="67" t="s">
        <v>83</v>
      </c>
      <c r="T55" s="12"/>
      <c r="U55" s="11"/>
      <c r="V55" s="12"/>
    </row>
    <row r="56" spans="1:22" ht="34.5" customHeight="1">
      <c r="A56" s="34"/>
      <c r="B56" s="374" t="s">
        <v>58</v>
      </c>
      <c r="C56" s="375"/>
      <c r="D56" s="376"/>
      <c r="E56" s="8">
        <v>29400</v>
      </c>
      <c r="F56" s="232">
        <v>36914</v>
      </c>
      <c r="G56" s="230">
        <f>F56*F74</f>
        <v>210040.66</v>
      </c>
      <c r="H56" s="231"/>
      <c r="I56" s="232">
        <v>11449</v>
      </c>
      <c r="J56" s="230">
        <f>I56*F74</f>
        <v>65144.810000000005</v>
      </c>
      <c r="K56" s="231"/>
      <c r="L56" s="232">
        <v>5138</v>
      </c>
      <c r="M56" s="230">
        <f>L56*G74</f>
        <v>30776.620000000003</v>
      </c>
      <c r="N56" s="231"/>
      <c r="O56" s="232">
        <v>46542</v>
      </c>
      <c r="P56" s="230">
        <f>O56*G74</f>
        <v>278786.58</v>
      </c>
      <c r="Q56" s="231">
        <f t="shared" si="8"/>
        <v>100043</v>
      </c>
      <c r="R56" s="230">
        <f t="shared" si="8"/>
        <v>584748.67</v>
      </c>
      <c r="S56" s="67"/>
      <c r="T56" s="12"/>
      <c r="U56" s="11"/>
      <c r="V56" s="12"/>
    </row>
    <row r="57" spans="1:22" ht="33" customHeight="1">
      <c r="A57" s="34"/>
      <c r="B57" s="374" t="s">
        <v>59</v>
      </c>
      <c r="C57" s="375"/>
      <c r="D57" s="376"/>
      <c r="E57" s="8"/>
      <c r="F57" s="232">
        <v>6204</v>
      </c>
      <c r="G57" s="230">
        <f>F57*F74</f>
        <v>35300.76</v>
      </c>
      <c r="H57" s="231"/>
      <c r="I57" s="232">
        <v>2336</v>
      </c>
      <c r="J57" s="230">
        <f>I57*F74</f>
        <v>13291.84</v>
      </c>
      <c r="K57" s="231"/>
      <c r="L57" s="232">
        <v>3397</v>
      </c>
      <c r="M57" s="230">
        <f>L57*G74</f>
        <v>20348.030000000002</v>
      </c>
      <c r="N57" s="231"/>
      <c r="O57" s="232">
        <v>6235</v>
      </c>
      <c r="P57" s="230">
        <f>O57*G74</f>
        <v>37347.65</v>
      </c>
      <c r="Q57" s="231">
        <f t="shared" si="8"/>
        <v>18172</v>
      </c>
      <c r="R57" s="230">
        <f t="shared" si="8"/>
        <v>106288.28</v>
      </c>
      <c r="S57" s="67"/>
      <c r="T57" s="12"/>
      <c r="U57" s="11"/>
      <c r="V57" s="12"/>
    </row>
    <row r="58" spans="1:22" s="97" customFormat="1" ht="45" customHeight="1">
      <c r="A58" s="104">
        <v>5</v>
      </c>
      <c r="B58" s="371" t="s">
        <v>47</v>
      </c>
      <c r="C58" s="372"/>
      <c r="D58" s="373"/>
      <c r="E58" s="98"/>
      <c r="F58" s="228">
        <f>F59+F60+F61+F62</f>
        <v>27639</v>
      </c>
      <c r="G58" s="227">
        <f>G59+G60+G61+G62</f>
        <v>157265.91</v>
      </c>
      <c r="H58" s="93"/>
      <c r="I58" s="228">
        <f>I59+I60+I61+I62</f>
        <v>24645</v>
      </c>
      <c r="J58" s="227">
        <f>J59+J60+J61+J62</f>
        <v>140230.05000000002</v>
      </c>
      <c r="K58" s="93"/>
      <c r="L58" s="228">
        <f>L59+L60+L61+L62</f>
        <v>26938</v>
      </c>
      <c r="M58" s="227">
        <f>M59+M60+M61+M62</f>
        <v>161358.62</v>
      </c>
      <c r="N58" s="93"/>
      <c r="O58" s="228">
        <f>O59+O60+O61+O62</f>
        <v>29247</v>
      </c>
      <c r="P58" s="227">
        <f>P59+P60+P61+P62</f>
        <v>175189.53</v>
      </c>
      <c r="Q58" s="93">
        <f>Q59+Q60+Q61+Q62</f>
        <v>108469</v>
      </c>
      <c r="R58" s="227">
        <f>R59+R60+R61++R62</f>
        <v>634044.11</v>
      </c>
      <c r="S58" s="94"/>
      <c r="T58" s="95"/>
      <c r="U58" s="96"/>
      <c r="V58" s="95"/>
    </row>
    <row r="59" spans="1:22" ht="31.5" customHeight="1">
      <c r="A59" s="34"/>
      <c r="B59" s="374" t="s">
        <v>48</v>
      </c>
      <c r="C59" s="375"/>
      <c r="D59" s="376"/>
      <c r="E59" s="8"/>
      <c r="F59" s="232">
        <v>3193</v>
      </c>
      <c r="G59" s="245">
        <f>F59*F74</f>
        <v>18168.170000000002</v>
      </c>
      <c r="H59" s="231"/>
      <c r="I59" s="232">
        <v>2815</v>
      </c>
      <c r="J59" s="230">
        <f>I59*F74</f>
        <v>16017.35</v>
      </c>
      <c r="K59" s="231"/>
      <c r="L59" s="232">
        <v>2814</v>
      </c>
      <c r="M59" s="230">
        <f>L59*G74</f>
        <v>16855.86</v>
      </c>
      <c r="N59" s="231"/>
      <c r="O59" s="232">
        <v>2588</v>
      </c>
      <c r="P59" s="230">
        <f>O59*G74</f>
        <v>15502.12</v>
      </c>
      <c r="Q59" s="231">
        <f aca="true" t="shared" si="9" ref="Q59:R62">F59+I59+L59+O59</f>
        <v>11410</v>
      </c>
      <c r="R59" s="230">
        <f t="shared" si="9"/>
        <v>66543.5</v>
      </c>
      <c r="S59" s="67"/>
      <c r="T59" s="12"/>
      <c r="U59" s="11"/>
      <c r="V59" s="12"/>
    </row>
    <row r="60" spans="1:22" ht="31.5" customHeight="1">
      <c r="A60" s="34"/>
      <c r="B60" s="374" t="s">
        <v>49</v>
      </c>
      <c r="C60" s="375"/>
      <c r="D60" s="376"/>
      <c r="E60" s="8"/>
      <c r="F60" s="232">
        <v>14050</v>
      </c>
      <c r="G60" s="230">
        <f>F60*F74</f>
        <v>79944.5</v>
      </c>
      <c r="H60" s="231"/>
      <c r="I60" s="232">
        <v>13050</v>
      </c>
      <c r="J60" s="230">
        <f>I60*F74</f>
        <v>74254.5</v>
      </c>
      <c r="K60" s="231"/>
      <c r="L60" s="232">
        <v>12950</v>
      </c>
      <c r="M60" s="230">
        <f>L60*G74</f>
        <v>77570.5</v>
      </c>
      <c r="N60" s="231"/>
      <c r="O60" s="232">
        <v>13682.38</v>
      </c>
      <c r="P60" s="230">
        <f>O60*G74</f>
        <v>81957.4562</v>
      </c>
      <c r="Q60" s="231">
        <f t="shared" si="9"/>
        <v>53732.38</v>
      </c>
      <c r="R60" s="230">
        <f t="shared" si="9"/>
        <v>313726.9562</v>
      </c>
      <c r="S60" s="67"/>
      <c r="T60" s="12"/>
      <c r="U60" s="11"/>
      <c r="V60" s="12"/>
    </row>
    <row r="61" spans="1:22" ht="34.5" customHeight="1">
      <c r="A61" s="34"/>
      <c r="B61" s="374" t="s">
        <v>50</v>
      </c>
      <c r="C61" s="375"/>
      <c r="D61" s="376"/>
      <c r="E61" s="8"/>
      <c r="F61" s="232">
        <v>7118</v>
      </c>
      <c r="G61" s="230">
        <f>F61*F74</f>
        <v>40501.420000000006</v>
      </c>
      <c r="H61" s="231"/>
      <c r="I61" s="232">
        <v>7069</v>
      </c>
      <c r="J61" s="230">
        <f>I61*F74</f>
        <v>40222.61</v>
      </c>
      <c r="K61" s="231"/>
      <c r="L61" s="232">
        <v>8715</v>
      </c>
      <c r="M61" s="230">
        <f>L61*G74</f>
        <v>52202.85</v>
      </c>
      <c r="N61" s="231"/>
      <c r="O61" s="232">
        <v>9280.62</v>
      </c>
      <c r="P61" s="230">
        <f>O61*G74</f>
        <v>55590.91380000001</v>
      </c>
      <c r="Q61" s="231">
        <f t="shared" si="9"/>
        <v>32182.620000000003</v>
      </c>
      <c r="R61" s="230">
        <f t="shared" si="9"/>
        <v>188517.7938</v>
      </c>
      <c r="S61" s="67"/>
      <c r="T61" s="12"/>
      <c r="U61" s="11"/>
      <c r="V61" s="12"/>
    </row>
    <row r="62" spans="1:22" ht="33" customHeight="1">
      <c r="A62" s="34"/>
      <c r="B62" s="370" t="s">
        <v>40</v>
      </c>
      <c r="C62" s="370"/>
      <c r="D62" s="370"/>
      <c r="E62" s="8"/>
      <c r="F62" s="232">
        <v>3278</v>
      </c>
      <c r="G62" s="230">
        <f>F62*F74</f>
        <v>18651.82</v>
      </c>
      <c r="H62" s="231"/>
      <c r="I62" s="232">
        <v>1711</v>
      </c>
      <c r="J62" s="230">
        <f>I62*F74</f>
        <v>9735.59</v>
      </c>
      <c r="K62" s="231"/>
      <c r="L62" s="232">
        <v>2459</v>
      </c>
      <c r="M62" s="230">
        <f>L62*G74</f>
        <v>14729.41</v>
      </c>
      <c r="N62" s="231"/>
      <c r="O62" s="232">
        <v>3696</v>
      </c>
      <c r="P62" s="230">
        <f>O62*G74</f>
        <v>22139.04</v>
      </c>
      <c r="Q62" s="231">
        <f t="shared" si="9"/>
        <v>11144</v>
      </c>
      <c r="R62" s="230">
        <f t="shared" si="9"/>
        <v>65255.86</v>
      </c>
      <c r="S62" s="67"/>
      <c r="T62" s="12"/>
      <c r="U62" s="11"/>
      <c r="V62" s="12"/>
    </row>
    <row r="63" spans="1:22" s="97" customFormat="1" ht="27" customHeight="1">
      <c r="A63" s="104">
        <v>6</v>
      </c>
      <c r="B63" s="371" t="s">
        <v>53</v>
      </c>
      <c r="C63" s="372"/>
      <c r="D63" s="373"/>
      <c r="E63" s="98"/>
      <c r="F63" s="228">
        <f>F64+F65+F66</f>
        <v>216845.17</v>
      </c>
      <c r="G63" s="227">
        <f>G64+G65+G66</f>
        <v>1233849.0173000002</v>
      </c>
      <c r="H63" s="93"/>
      <c r="I63" s="228">
        <f>I64+I65+I66</f>
        <v>195445.17</v>
      </c>
      <c r="J63" s="227">
        <f>J64+J65+J66</f>
        <v>1112083.0173000002</v>
      </c>
      <c r="K63" s="93"/>
      <c r="L63" s="228">
        <f>L64+L65+L66</f>
        <v>189645.17</v>
      </c>
      <c r="M63" s="227">
        <f>M64+M65+M66</f>
        <v>1135974.5683000002</v>
      </c>
      <c r="N63" s="93"/>
      <c r="O63" s="228">
        <f>O64+O65+O66</f>
        <v>204645.17</v>
      </c>
      <c r="P63" s="227">
        <f>P64+P65+P66</f>
        <v>1225824.5683000002</v>
      </c>
      <c r="Q63" s="93">
        <f>Q64+Q65+Q66</f>
        <v>806580.68</v>
      </c>
      <c r="R63" s="227">
        <f>R64+R65+R66</f>
        <v>4707731.171200001</v>
      </c>
      <c r="S63" s="94"/>
      <c r="T63" s="95"/>
      <c r="U63" s="96"/>
      <c r="V63" s="95"/>
    </row>
    <row r="64" spans="1:22" ht="33" customHeight="1">
      <c r="A64" s="34"/>
      <c r="B64" s="374" t="s">
        <v>73</v>
      </c>
      <c r="C64" s="375"/>
      <c r="D64" s="376"/>
      <c r="E64" s="8"/>
      <c r="F64" s="232">
        <v>5200</v>
      </c>
      <c r="G64" s="230">
        <f>F64*F74</f>
        <v>29588.000000000004</v>
      </c>
      <c r="H64" s="231"/>
      <c r="I64" s="232">
        <v>4800</v>
      </c>
      <c r="J64" s="230">
        <f>I64*F74</f>
        <v>27312.000000000004</v>
      </c>
      <c r="K64" s="231"/>
      <c r="L64" s="232">
        <v>4000</v>
      </c>
      <c r="M64" s="230">
        <f>L64*G74</f>
        <v>23960</v>
      </c>
      <c r="N64" s="231"/>
      <c r="O64" s="232">
        <v>6000</v>
      </c>
      <c r="P64" s="230">
        <f>O64*G74</f>
        <v>35940</v>
      </c>
      <c r="Q64" s="231">
        <f>F64+I64+L64+O64</f>
        <v>20000</v>
      </c>
      <c r="R64" s="230">
        <f>G64+J64+M64+P64</f>
        <v>116800</v>
      </c>
      <c r="S64" s="67" t="s">
        <v>82</v>
      </c>
      <c r="T64" s="12"/>
      <c r="U64" s="11"/>
      <c r="V64" s="12"/>
    </row>
    <row r="65" spans="1:22" ht="36" customHeight="1">
      <c r="A65" s="34"/>
      <c r="B65" s="374" t="s">
        <v>55</v>
      </c>
      <c r="C65" s="375"/>
      <c r="D65" s="376"/>
      <c r="E65" s="8"/>
      <c r="F65" s="232">
        <v>30000</v>
      </c>
      <c r="G65" s="230">
        <f>F65*F74</f>
        <v>170700</v>
      </c>
      <c r="H65" s="231"/>
      <c r="I65" s="232">
        <v>9000</v>
      </c>
      <c r="J65" s="230">
        <f>I65*F74</f>
        <v>51210</v>
      </c>
      <c r="K65" s="231"/>
      <c r="L65" s="232">
        <v>4000</v>
      </c>
      <c r="M65" s="230">
        <f>L65*G74</f>
        <v>23960</v>
      </c>
      <c r="N65" s="231"/>
      <c r="O65" s="232">
        <v>17000</v>
      </c>
      <c r="P65" s="230">
        <f>O65*G74</f>
        <v>101830</v>
      </c>
      <c r="Q65" s="231">
        <f>F65+I65+L65+O65</f>
        <v>60000</v>
      </c>
      <c r="R65" s="230">
        <f>G65+J65+M65+P65</f>
        <v>347700</v>
      </c>
      <c r="S65" s="67" t="s">
        <v>82</v>
      </c>
      <c r="T65" s="12"/>
      <c r="U65" s="11"/>
      <c r="V65" s="12"/>
    </row>
    <row r="66" spans="1:22" ht="31.5" customHeight="1">
      <c r="A66" s="34"/>
      <c r="B66" s="360" t="s">
        <v>91</v>
      </c>
      <c r="C66" s="441"/>
      <c r="D66" s="442"/>
      <c r="E66" s="8"/>
      <c r="F66" s="232">
        <v>181645.17</v>
      </c>
      <c r="G66" s="230">
        <f>SUM(F66)*F74</f>
        <v>1033561.0173000002</v>
      </c>
      <c r="H66" s="231"/>
      <c r="I66" s="232">
        <v>181645.17</v>
      </c>
      <c r="J66" s="230">
        <f>SUM(I66)*F74</f>
        <v>1033561.0173000002</v>
      </c>
      <c r="K66" s="231"/>
      <c r="L66" s="232">
        <v>181645.17</v>
      </c>
      <c r="M66" s="230">
        <f>SUM(L66)*G74</f>
        <v>1088054.5683000002</v>
      </c>
      <c r="N66" s="231"/>
      <c r="O66" s="232">
        <v>181645.17</v>
      </c>
      <c r="P66" s="230">
        <f>SUM(O66)*G74</f>
        <v>1088054.5683000002</v>
      </c>
      <c r="Q66" s="231">
        <f>F66+I66+L66+O66</f>
        <v>726580.68</v>
      </c>
      <c r="R66" s="230">
        <f>SUM(G66+J66+M66+P66)</f>
        <v>4243231.171200001</v>
      </c>
      <c r="S66" s="67"/>
      <c r="T66" s="12"/>
      <c r="U66" s="11"/>
      <c r="V66" s="12"/>
    </row>
    <row r="67" spans="1:22" ht="31.5" customHeight="1">
      <c r="A67" s="100">
        <v>7</v>
      </c>
      <c r="B67" s="371" t="s">
        <v>96</v>
      </c>
      <c r="C67" s="372"/>
      <c r="D67" s="373"/>
      <c r="E67" s="8"/>
      <c r="F67" s="296">
        <f>SUM(F68:F69)</f>
        <v>5703</v>
      </c>
      <c r="G67" s="299">
        <f aca="true" t="shared" si="10" ref="G67:R67">SUM(G68:G69)</f>
        <v>32450.070000000003</v>
      </c>
      <c r="H67" s="295">
        <f t="shared" si="10"/>
        <v>0</v>
      </c>
      <c r="I67" s="296">
        <f t="shared" si="10"/>
        <v>5447</v>
      </c>
      <c r="J67" s="299">
        <f t="shared" si="10"/>
        <v>30993.430000000004</v>
      </c>
      <c r="K67" s="295">
        <f t="shared" si="10"/>
        <v>0</v>
      </c>
      <c r="L67" s="296">
        <f t="shared" si="10"/>
        <v>6414</v>
      </c>
      <c r="M67" s="299">
        <f t="shared" si="10"/>
        <v>38419.86</v>
      </c>
      <c r="N67" s="295">
        <f t="shared" si="10"/>
        <v>0</v>
      </c>
      <c r="O67" s="296">
        <f t="shared" si="10"/>
        <v>5543</v>
      </c>
      <c r="P67" s="299">
        <f t="shared" si="10"/>
        <v>33202.57</v>
      </c>
      <c r="Q67" s="295">
        <f t="shared" si="10"/>
        <v>23107</v>
      </c>
      <c r="R67" s="299">
        <f t="shared" si="10"/>
        <v>135065.93000000002</v>
      </c>
      <c r="S67" s="67"/>
      <c r="T67" s="12"/>
      <c r="U67" s="11"/>
      <c r="V67" s="12"/>
    </row>
    <row r="68" spans="1:22" ht="31.5" customHeight="1">
      <c r="A68" s="100"/>
      <c r="B68" s="360" t="s">
        <v>97</v>
      </c>
      <c r="C68" s="441"/>
      <c r="D68" s="442"/>
      <c r="E68" s="8"/>
      <c r="F68" s="10">
        <v>0</v>
      </c>
      <c r="G68" s="230">
        <f>SUM(F68)*F74</f>
        <v>0</v>
      </c>
      <c r="H68" s="231"/>
      <c r="I68" s="10">
        <v>0</v>
      </c>
      <c r="J68" s="230">
        <f>SUM(I68)*F74</f>
        <v>0</v>
      </c>
      <c r="K68" s="231"/>
      <c r="L68" s="10">
        <v>0</v>
      </c>
      <c r="M68" s="230">
        <f>SUM(L68)*G74</f>
        <v>0</v>
      </c>
      <c r="N68" s="231"/>
      <c r="O68" s="10">
        <v>0</v>
      </c>
      <c r="P68" s="230">
        <f>SUM(O68)*G74</f>
        <v>0</v>
      </c>
      <c r="Q68" s="231">
        <f>F68+I68+L68+O68</f>
        <v>0</v>
      </c>
      <c r="R68" s="230">
        <f>G68+J68+M68+P68</f>
        <v>0</v>
      </c>
      <c r="S68" s="67"/>
      <c r="T68" s="12"/>
      <c r="U68" s="11"/>
      <c r="V68" s="12"/>
    </row>
    <row r="69" spans="1:22" ht="31.5" customHeight="1">
      <c r="A69" s="100"/>
      <c r="B69" s="360" t="s">
        <v>98</v>
      </c>
      <c r="C69" s="441"/>
      <c r="D69" s="442"/>
      <c r="E69" s="8"/>
      <c r="F69" s="232">
        <v>5703</v>
      </c>
      <c r="G69" s="230">
        <f>SUM(F69)*F74</f>
        <v>32450.070000000003</v>
      </c>
      <c r="H69" s="231"/>
      <c r="I69" s="232">
        <v>5447</v>
      </c>
      <c r="J69" s="230">
        <f>SUM(I69)*F74</f>
        <v>30993.430000000004</v>
      </c>
      <c r="K69" s="231"/>
      <c r="L69" s="232">
        <v>6414</v>
      </c>
      <c r="M69" s="230">
        <f>SUM(L69)*G74</f>
        <v>38419.86</v>
      </c>
      <c r="N69" s="231"/>
      <c r="O69" s="232">
        <v>5543</v>
      </c>
      <c r="P69" s="230">
        <f>SUM(O69)*G74</f>
        <v>33202.57</v>
      </c>
      <c r="Q69" s="231">
        <f>F69+I69+L69+O69</f>
        <v>23107</v>
      </c>
      <c r="R69" s="230">
        <f>G69+J69+M69+P69</f>
        <v>135065.93000000002</v>
      </c>
      <c r="S69" s="67"/>
      <c r="T69" s="12"/>
      <c r="U69" s="11"/>
      <c r="V69" s="12"/>
    </row>
    <row r="70" spans="1:22" ht="31.5" customHeight="1">
      <c r="A70" s="100">
        <v>8</v>
      </c>
      <c r="B70" s="363" t="s">
        <v>56</v>
      </c>
      <c r="C70" s="364"/>
      <c r="D70" s="365"/>
      <c r="E70" s="98"/>
      <c r="F70" s="228">
        <f>SUM(F71)</f>
        <v>600</v>
      </c>
      <c r="G70" s="227">
        <f aca="true" t="shared" si="11" ref="G70:R70">SUM(G71)</f>
        <v>3414.0000000000005</v>
      </c>
      <c r="H70" s="93">
        <f t="shared" si="11"/>
        <v>0</v>
      </c>
      <c r="I70" s="228">
        <f t="shared" si="11"/>
        <v>600</v>
      </c>
      <c r="J70" s="227">
        <f t="shared" si="11"/>
        <v>3414.0000000000005</v>
      </c>
      <c r="K70" s="93">
        <f t="shared" si="11"/>
        <v>0</v>
      </c>
      <c r="L70" s="228">
        <f t="shared" si="11"/>
        <v>600</v>
      </c>
      <c r="M70" s="227">
        <f t="shared" si="11"/>
        <v>3594</v>
      </c>
      <c r="N70" s="93">
        <f t="shared" si="11"/>
        <v>0</v>
      </c>
      <c r="O70" s="228">
        <f t="shared" si="11"/>
        <v>600</v>
      </c>
      <c r="P70" s="227">
        <f t="shared" si="11"/>
        <v>3594</v>
      </c>
      <c r="Q70" s="93">
        <f t="shared" si="11"/>
        <v>2400</v>
      </c>
      <c r="R70" s="227">
        <f t="shared" si="11"/>
        <v>14016</v>
      </c>
      <c r="S70" s="67"/>
      <c r="T70" s="12"/>
      <c r="U70" s="11"/>
      <c r="V70" s="12"/>
    </row>
    <row r="71" spans="1:22" ht="31.5" customHeight="1">
      <c r="A71" s="100"/>
      <c r="B71" s="360" t="s">
        <v>101</v>
      </c>
      <c r="C71" s="361"/>
      <c r="D71" s="362"/>
      <c r="E71" s="8"/>
      <c r="F71" s="232">
        <v>600</v>
      </c>
      <c r="G71" s="230">
        <f>SUM(F71)*F74</f>
        <v>3414.0000000000005</v>
      </c>
      <c r="H71" s="231"/>
      <c r="I71" s="232">
        <v>600</v>
      </c>
      <c r="J71" s="230">
        <f>SUM(I71)*F74</f>
        <v>3414.0000000000005</v>
      </c>
      <c r="K71" s="231"/>
      <c r="L71" s="232">
        <v>600</v>
      </c>
      <c r="M71" s="230">
        <f>SUM(L71)*G74</f>
        <v>3594</v>
      </c>
      <c r="N71" s="231"/>
      <c r="O71" s="232">
        <v>600</v>
      </c>
      <c r="P71" s="230">
        <f>SUM(O71)*G74</f>
        <v>3594</v>
      </c>
      <c r="Q71" s="231">
        <f>F71+I71+L71+O71</f>
        <v>2400</v>
      </c>
      <c r="R71" s="230">
        <f>G71+J71+M71+P71</f>
        <v>14016</v>
      </c>
      <c r="S71" s="67"/>
      <c r="T71" s="12"/>
      <c r="U71" s="11"/>
      <c r="V71" s="12"/>
    </row>
    <row r="72" spans="1:22" ht="39" customHeight="1">
      <c r="A72" s="34"/>
      <c r="B72" s="394" t="s">
        <v>19</v>
      </c>
      <c r="C72" s="394"/>
      <c r="D72" s="394"/>
      <c r="E72" s="14">
        <f>SUM(E45:E56)</f>
        <v>266200</v>
      </c>
      <c r="F72" s="241">
        <f>F45+F46+F53+F54+F58+F63+F67+F70</f>
        <v>466926.97</v>
      </c>
      <c r="G72" s="242">
        <f aca="true" t="shared" si="12" ref="G72:R72">G45+G46+G53+G54+G58+G63+G67+G70</f>
        <v>2656814.4592999998</v>
      </c>
      <c r="H72" s="59">
        <f t="shared" si="12"/>
        <v>1200</v>
      </c>
      <c r="I72" s="241">
        <f t="shared" si="12"/>
        <v>383101.47</v>
      </c>
      <c r="J72" s="242">
        <f t="shared" si="12"/>
        <v>2179847.3643000005</v>
      </c>
      <c r="K72" s="59">
        <f t="shared" si="12"/>
        <v>1500</v>
      </c>
      <c r="L72" s="241">
        <f t="shared" si="12"/>
        <v>376324.67000000004</v>
      </c>
      <c r="M72" s="242">
        <f t="shared" si="12"/>
        <v>2254184.7733</v>
      </c>
      <c r="N72" s="59">
        <f t="shared" si="12"/>
        <v>1500</v>
      </c>
      <c r="O72" s="241">
        <f t="shared" si="12"/>
        <v>533187.37</v>
      </c>
      <c r="P72" s="242">
        <f t="shared" si="12"/>
        <v>3193792.3463</v>
      </c>
      <c r="Q72" s="59">
        <f t="shared" si="12"/>
        <v>1759540.48</v>
      </c>
      <c r="R72" s="242">
        <f t="shared" si="12"/>
        <v>10284638.9432</v>
      </c>
      <c r="S72" s="69"/>
      <c r="T72" s="36"/>
      <c r="U72" s="12"/>
      <c r="V72" s="12"/>
    </row>
    <row r="73" spans="1:22" ht="50.25" customHeight="1">
      <c r="A73" s="37"/>
      <c r="B73" s="439" t="s">
        <v>8</v>
      </c>
      <c r="C73" s="439"/>
      <c r="D73" s="439"/>
      <c r="E73" s="396" t="s">
        <v>122</v>
      </c>
      <c r="F73" s="397"/>
      <c r="G73" s="397"/>
      <c r="H73" s="397"/>
      <c r="I73" s="397"/>
      <c r="J73" s="397"/>
      <c r="K73" s="397"/>
      <c r="L73" s="397"/>
      <c r="M73" s="397"/>
      <c r="N73" s="397"/>
      <c r="O73" s="397"/>
      <c r="P73" s="397"/>
      <c r="Q73" s="397"/>
      <c r="R73" s="398"/>
      <c r="T73" s="12"/>
      <c r="U73" s="12"/>
      <c r="V73" s="12"/>
    </row>
    <row r="74" spans="1:18" s="12" customFormat="1" ht="32.25" customHeight="1">
      <c r="A74" s="5"/>
      <c r="B74" s="5"/>
      <c r="C74" s="181"/>
      <c r="D74" s="181"/>
      <c r="E74" s="181"/>
      <c r="F74" s="181">
        <v>5.69</v>
      </c>
      <c r="G74" s="181">
        <v>5.99</v>
      </c>
      <c r="H74" s="181"/>
      <c r="I74" s="181"/>
      <c r="J74" s="181"/>
      <c r="K74" s="5"/>
      <c r="L74" s="5"/>
      <c r="M74" s="5"/>
      <c r="N74" s="5"/>
      <c r="O74" s="5"/>
      <c r="P74" s="38"/>
      <c r="Q74" s="38"/>
      <c r="R74" s="5"/>
    </row>
    <row r="75" spans="1:18" s="12" customFormat="1" ht="21" customHeight="1">
      <c r="A75" s="152"/>
      <c r="B75" s="150"/>
      <c r="C75" s="191"/>
      <c r="D75" s="191"/>
      <c r="E75" s="181" t="s">
        <v>13</v>
      </c>
      <c r="F75" s="181"/>
      <c r="G75" s="184"/>
      <c r="H75" s="184"/>
      <c r="I75" s="184"/>
      <c r="J75" s="193"/>
      <c r="K75" s="39"/>
      <c r="L75" s="39"/>
      <c r="M75" s="39"/>
      <c r="N75" s="39"/>
      <c r="O75" s="39"/>
      <c r="P75" s="39"/>
      <c r="Q75" s="39"/>
      <c r="R75" s="39"/>
    </row>
    <row r="76" spans="1:18" s="12" customFormat="1" ht="2.25" customHeight="1">
      <c r="A76" s="152"/>
      <c r="B76" s="150"/>
      <c r="C76" s="191"/>
      <c r="D76" s="191"/>
      <c r="E76" s="181"/>
      <c r="F76" s="181"/>
      <c r="G76" s="181"/>
      <c r="H76" s="181"/>
      <c r="I76" s="181"/>
      <c r="J76" s="193"/>
      <c r="K76" s="39"/>
      <c r="L76" s="39"/>
      <c r="M76" s="39"/>
      <c r="N76" s="39"/>
      <c r="O76" s="39"/>
      <c r="P76" s="38"/>
      <c r="Q76" s="38"/>
      <c r="R76" s="164"/>
    </row>
    <row r="77" spans="1:18" s="12" customFormat="1" ht="14.25" customHeight="1">
      <c r="A77" s="152"/>
      <c r="B77" s="150"/>
      <c r="C77" s="191"/>
      <c r="D77" s="191"/>
      <c r="E77" s="181"/>
      <c r="F77" s="181"/>
      <c r="G77" s="181"/>
      <c r="H77" s="181"/>
      <c r="I77" s="181"/>
      <c r="J77" s="193"/>
      <c r="K77" s="39"/>
      <c r="L77" s="39"/>
      <c r="M77" s="39"/>
      <c r="N77" s="39"/>
      <c r="O77" s="39"/>
      <c r="P77" s="520"/>
      <c r="Q77" s="520"/>
      <c r="R77" s="520"/>
    </row>
    <row r="78" spans="1:22" ht="9.75" customHeight="1">
      <c r="A78" s="40"/>
      <c r="B78" s="45"/>
      <c r="C78" s="45"/>
      <c r="D78" s="45"/>
      <c r="E78" s="46"/>
      <c r="F78" s="5"/>
      <c r="G78" s="105"/>
      <c r="H78" s="5"/>
      <c r="I78" s="5"/>
      <c r="J78" s="110"/>
      <c r="K78" s="47"/>
      <c r="L78" s="47"/>
      <c r="M78" s="110"/>
      <c r="N78" s="48"/>
      <c r="O78" s="48"/>
      <c r="P78" s="395"/>
      <c r="Q78" s="395"/>
      <c r="R78" s="395"/>
      <c r="T78" s="12"/>
      <c r="U78" s="12"/>
      <c r="V78" s="12"/>
    </row>
    <row r="79" spans="1:22" ht="13.5" customHeight="1" hidden="1">
      <c r="A79" s="40"/>
      <c r="B79" s="45"/>
      <c r="C79" s="45"/>
      <c r="D79" s="45"/>
      <c r="E79" s="46"/>
      <c r="F79" s="5"/>
      <c r="G79" s="105"/>
      <c r="H79" s="5"/>
      <c r="I79" s="5"/>
      <c r="J79" s="110"/>
      <c r="K79" s="47"/>
      <c r="L79" s="47"/>
      <c r="M79" s="110"/>
      <c r="N79" s="48"/>
      <c r="O79" s="48"/>
      <c r="P79" s="395"/>
      <c r="Q79" s="395"/>
      <c r="R79" s="395"/>
      <c r="T79" s="12"/>
      <c r="U79" s="12"/>
      <c r="V79" s="12"/>
    </row>
    <row r="80" spans="1:22" ht="15.75" customHeight="1" hidden="1">
      <c r="A80" s="40"/>
      <c r="B80" s="45"/>
      <c r="C80" s="45"/>
      <c r="D80" s="45"/>
      <c r="E80" s="46"/>
      <c r="F80" s="5"/>
      <c r="G80" s="105"/>
      <c r="H80" s="5"/>
      <c r="I80" s="5"/>
      <c r="J80" s="110"/>
      <c r="K80" s="47"/>
      <c r="L80" s="47"/>
      <c r="M80" s="110"/>
      <c r="N80" s="48"/>
      <c r="O80" s="48"/>
      <c r="P80" s="110"/>
      <c r="Q80" s="48"/>
      <c r="R80" s="110"/>
      <c r="T80" s="12"/>
      <c r="U80" s="12"/>
      <c r="V80" s="12"/>
    </row>
    <row r="81" spans="1:22" ht="26.25" customHeight="1">
      <c r="A81" s="446" t="s">
        <v>112</v>
      </c>
      <c r="B81" s="446"/>
      <c r="C81" s="446"/>
      <c r="D81" s="446"/>
      <c r="E81" s="446"/>
      <c r="F81" s="446"/>
      <c r="G81" s="446"/>
      <c r="H81" s="446"/>
      <c r="I81" s="446"/>
      <c r="J81" s="446"/>
      <c r="K81" s="446"/>
      <c r="L81" s="446"/>
      <c r="M81" s="446"/>
      <c r="N81" s="446"/>
      <c r="O81" s="446"/>
      <c r="P81" s="446"/>
      <c r="Q81" s="446"/>
      <c r="R81" s="446"/>
      <c r="T81" s="12"/>
      <c r="U81" s="12"/>
      <c r="V81" s="12"/>
    </row>
    <row r="82" spans="1:18" ht="25.5">
      <c r="A82" s="381" t="s">
        <v>15</v>
      </c>
      <c r="B82" s="382" t="s">
        <v>0</v>
      </c>
      <c r="C82" s="383"/>
      <c r="D82" s="384"/>
      <c r="E82" s="377" t="s">
        <v>1</v>
      </c>
      <c r="F82" s="377"/>
      <c r="G82" s="377"/>
      <c r="H82" s="377" t="s">
        <v>3</v>
      </c>
      <c r="I82" s="377"/>
      <c r="J82" s="377"/>
      <c r="K82" s="377" t="s">
        <v>4</v>
      </c>
      <c r="L82" s="377"/>
      <c r="M82" s="377"/>
      <c r="N82" s="377" t="s">
        <v>6</v>
      </c>
      <c r="O82" s="377"/>
      <c r="P82" s="377"/>
      <c r="Q82" s="377" t="s">
        <v>7</v>
      </c>
      <c r="R82" s="377"/>
    </row>
    <row r="83" spans="1:18" ht="25.5">
      <c r="A83" s="381"/>
      <c r="B83" s="385"/>
      <c r="C83" s="386"/>
      <c r="D83" s="387"/>
      <c r="F83" s="147" t="s">
        <v>10</v>
      </c>
      <c r="G83" s="109" t="s">
        <v>5</v>
      </c>
      <c r="H83" s="147" t="s">
        <v>10</v>
      </c>
      <c r="I83" s="147" t="s">
        <v>10</v>
      </c>
      <c r="J83" s="109" t="s">
        <v>5</v>
      </c>
      <c r="K83" s="147" t="s">
        <v>10</v>
      </c>
      <c r="L83" s="147" t="s">
        <v>10</v>
      </c>
      <c r="M83" s="109" t="s">
        <v>5</v>
      </c>
      <c r="N83" s="147" t="s">
        <v>10</v>
      </c>
      <c r="O83" s="147" t="s">
        <v>10</v>
      </c>
      <c r="P83" s="109" t="s">
        <v>5</v>
      </c>
      <c r="Q83" s="147" t="s">
        <v>10</v>
      </c>
      <c r="R83" s="109" t="s">
        <v>5</v>
      </c>
    </row>
    <row r="84" spans="1:21" s="97" customFormat="1" ht="32.25" customHeight="1">
      <c r="A84" s="104">
        <v>1</v>
      </c>
      <c r="B84" s="371" t="s">
        <v>33</v>
      </c>
      <c r="C84" s="372"/>
      <c r="D84" s="373"/>
      <c r="E84" s="91">
        <v>14.8</v>
      </c>
      <c r="F84" s="228">
        <v>3.3</v>
      </c>
      <c r="G84" s="227">
        <f>F84*F111</f>
        <v>106.689</v>
      </c>
      <c r="H84" s="93">
        <v>14.8</v>
      </c>
      <c r="I84" s="228">
        <v>3.3</v>
      </c>
      <c r="J84" s="227">
        <f>I84*F111</f>
        <v>106.689</v>
      </c>
      <c r="K84" s="93">
        <v>15</v>
      </c>
      <c r="L84" s="228">
        <v>3.4</v>
      </c>
      <c r="M84" s="227">
        <f>L84*G111</f>
        <v>115.63399999999999</v>
      </c>
      <c r="N84" s="93">
        <v>15</v>
      </c>
      <c r="O84" s="228">
        <v>3.3</v>
      </c>
      <c r="P84" s="246">
        <f>O84*G111</f>
        <v>112.23299999999999</v>
      </c>
      <c r="Q84" s="247">
        <f>F84+I84+L84+O84</f>
        <v>13.3</v>
      </c>
      <c r="R84" s="246">
        <f>G84+J84+M84+P84</f>
        <v>441.24499999999995</v>
      </c>
      <c r="S84" s="94" t="s">
        <v>21</v>
      </c>
      <c r="T84" s="101"/>
      <c r="U84" s="101"/>
    </row>
    <row r="85" spans="1:21" s="97" customFormat="1" ht="32.25" customHeight="1">
      <c r="A85" s="104">
        <v>2</v>
      </c>
      <c r="B85" s="371" t="s">
        <v>41</v>
      </c>
      <c r="C85" s="372"/>
      <c r="D85" s="373"/>
      <c r="E85" s="98"/>
      <c r="F85" s="228">
        <f>F86+F87+F88+F89+F90+F91</f>
        <v>1459</v>
      </c>
      <c r="G85" s="227">
        <f>G86+G87+G88+G89+G90+G91</f>
        <v>57004.47</v>
      </c>
      <c r="H85" s="93"/>
      <c r="I85" s="228">
        <f>I86+I87+I88+I89+I90+I91</f>
        <v>1734.4</v>
      </c>
      <c r="J85" s="227">
        <f>J86+J87+J88+J89+J90+J91</f>
        <v>70628.952</v>
      </c>
      <c r="K85" s="93"/>
      <c r="L85" s="228">
        <f>L86+L87+L88+L89+L90+L91</f>
        <v>1872.8</v>
      </c>
      <c r="M85" s="227">
        <f>M86+M87+M88+M89+M90+M91</f>
        <v>82935.62800000001</v>
      </c>
      <c r="N85" s="93"/>
      <c r="O85" s="228">
        <f>O86+O87+O88+O89+O90+O91</f>
        <v>1893.8</v>
      </c>
      <c r="P85" s="246">
        <f>P86+P87+P88+P89+P90+P91</f>
        <v>81580.838</v>
      </c>
      <c r="Q85" s="247">
        <f>Q86+Q87+Q88+Q89+Q90+Q91</f>
        <v>6960</v>
      </c>
      <c r="R85" s="246">
        <f>R86+R87+R88+R89+R90+R91</f>
        <v>292149.888</v>
      </c>
      <c r="S85" s="94"/>
      <c r="T85" s="101"/>
      <c r="U85" s="101"/>
    </row>
    <row r="86" spans="1:21" s="17" customFormat="1" ht="52.5" customHeight="1">
      <c r="A86" s="32"/>
      <c r="B86" s="374" t="s">
        <v>34</v>
      </c>
      <c r="C86" s="375"/>
      <c r="D86" s="376"/>
      <c r="E86" s="8">
        <v>3068.8</v>
      </c>
      <c r="F86" s="232">
        <v>350</v>
      </c>
      <c r="G86" s="230">
        <f>F86*F111</f>
        <v>11315.5</v>
      </c>
      <c r="H86" s="231">
        <v>2511</v>
      </c>
      <c r="I86" s="232">
        <v>268</v>
      </c>
      <c r="J86" s="230">
        <f>I86*F111</f>
        <v>8664.439999999999</v>
      </c>
      <c r="K86" s="231">
        <v>2511</v>
      </c>
      <c r="L86" s="232">
        <v>340</v>
      </c>
      <c r="M86" s="230">
        <f>L86*G111</f>
        <v>11563.4</v>
      </c>
      <c r="N86" s="231">
        <v>2511</v>
      </c>
      <c r="O86" s="232">
        <v>342</v>
      </c>
      <c r="P86" s="248">
        <f>O86*G111</f>
        <v>11631.42</v>
      </c>
      <c r="Q86" s="249">
        <f aca="true" t="shared" si="13" ref="Q86:R93">F86+I86+L86+O86</f>
        <v>1300</v>
      </c>
      <c r="R86" s="248">
        <f t="shared" si="13"/>
        <v>43174.759999999995</v>
      </c>
      <c r="S86" s="67" t="s">
        <v>82</v>
      </c>
      <c r="T86" s="16"/>
      <c r="U86" s="16"/>
    </row>
    <row r="87" spans="1:21" ht="48.75" customHeight="1">
      <c r="A87" s="29"/>
      <c r="B87" s="374" t="s">
        <v>35</v>
      </c>
      <c r="C87" s="375"/>
      <c r="D87" s="376"/>
      <c r="E87" s="49">
        <v>609</v>
      </c>
      <c r="F87" s="232">
        <v>170</v>
      </c>
      <c r="G87" s="230">
        <f>F87*F111</f>
        <v>5496.099999999999</v>
      </c>
      <c r="H87" s="231">
        <v>609</v>
      </c>
      <c r="I87" s="232">
        <v>150</v>
      </c>
      <c r="J87" s="230">
        <f>I87*F111</f>
        <v>4849.5</v>
      </c>
      <c r="K87" s="231">
        <v>609</v>
      </c>
      <c r="L87" s="232">
        <v>170</v>
      </c>
      <c r="M87" s="230">
        <f>L87*G111</f>
        <v>5781.7</v>
      </c>
      <c r="N87" s="231">
        <v>609</v>
      </c>
      <c r="O87" s="232">
        <v>150</v>
      </c>
      <c r="P87" s="248">
        <f>O87*G111</f>
        <v>5101.5</v>
      </c>
      <c r="Q87" s="249">
        <f t="shared" si="13"/>
        <v>640</v>
      </c>
      <c r="R87" s="248">
        <f t="shared" si="13"/>
        <v>21228.8</v>
      </c>
      <c r="S87" s="67" t="s">
        <v>82</v>
      </c>
      <c r="T87" s="13"/>
      <c r="U87" s="13"/>
    </row>
    <row r="88" spans="1:21" ht="26.25" customHeight="1">
      <c r="A88" s="32"/>
      <c r="B88" s="374" t="s">
        <v>36</v>
      </c>
      <c r="C88" s="375"/>
      <c r="D88" s="376"/>
      <c r="E88" s="8">
        <v>725.1</v>
      </c>
      <c r="F88" s="232">
        <v>350</v>
      </c>
      <c r="G88" s="230">
        <f>F88*F112</f>
        <v>18200</v>
      </c>
      <c r="H88" s="231">
        <v>885.2</v>
      </c>
      <c r="I88" s="232">
        <v>300</v>
      </c>
      <c r="J88" s="230">
        <f>I88*F112</f>
        <v>15600</v>
      </c>
      <c r="K88" s="231">
        <v>727.3</v>
      </c>
      <c r="L88" s="232">
        <v>200</v>
      </c>
      <c r="M88" s="230">
        <f>L88*G112</f>
        <v>10940</v>
      </c>
      <c r="N88" s="231">
        <v>892.61</v>
      </c>
      <c r="O88" s="232">
        <v>350</v>
      </c>
      <c r="P88" s="248">
        <f>O88*G112</f>
        <v>19145</v>
      </c>
      <c r="Q88" s="249">
        <f t="shared" si="13"/>
        <v>1200</v>
      </c>
      <c r="R88" s="248">
        <f t="shared" si="13"/>
        <v>63885</v>
      </c>
      <c r="S88" s="67" t="s">
        <v>82</v>
      </c>
      <c r="T88" s="13"/>
      <c r="U88" s="13"/>
    </row>
    <row r="89" spans="1:21" ht="30.75" customHeight="1">
      <c r="A89" s="32"/>
      <c r="B89" s="370" t="s">
        <v>37</v>
      </c>
      <c r="C89" s="370"/>
      <c r="D89" s="370"/>
      <c r="E89" s="8">
        <v>1639</v>
      </c>
      <c r="F89" s="232">
        <v>150</v>
      </c>
      <c r="G89" s="230">
        <f>F89*F112</f>
        <v>7800</v>
      </c>
      <c r="H89" s="231">
        <v>1584</v>
      </c>
      <c r="I89" s="232">
        <v>440</v>
      </c>
      <c r="J89" s="230">
        <f>I89*F112</f>
        <v>22880</v>
      </c>
      <c r="K89" s="231">
        <v>1344</v>
      </c>
      <c r="L89" s="232">
        <v>730</v>
      </c>
      <c r="M89" s="230">
        <f>L89*G112</f>
        <v>39931</v>
      </c>
      <c r="N89" s="231">
        <v>1639</v>
      </c>
      <c r="O89" s="232">
        <v>480</v>
      </c>
      <c r="P89" s="248">
        <f>O89*G112</f>
        <v>26256</v>
      </c>
      <c r="Q89" s="249">
        <f t="shared" si="13"/>
        <v>1800</v>
      </c>
      <c r="R89" s="248">
        <f t="shared" si="13"/>
        <v>96867</v>
      </c>
      <c r="S89" s="67" t="s">
        <v>82</v>
      </c>
      <c r="T89" s="13"/>
      <c r="U89" s="13"/>
    </row>
    <row r="90" spans="1:21" s="120" customFormat="1" ht="33" customHeight="1">
      <c r="A90" s="121"/>
      <c r="B90" s="440" t="s">
        <v>38</v>
      </c>
      <c r="C90" s="440"/>
      <c r="D90" s="440"/>
      <c r="E90" s="116">
        <v>53.7</v>
      </c>
      <c r="F90" s="250">
        <v>400</v>
      </c>
      <c r="G90" s="251">
        <f>F90*F111</f>
        <v>12932</v>
      </c>
      <c r="H90" s="252">
        <v>43.6</v>
      </c>
      <c r="I90" s="250">
        <v>550</v>
      </c>
      <c r="J90" s="251">
        <f>I90*F111</f>
        <v>17781.5</v>
      </c>
      <c r="K90" s="252">
        <v>43.8</v>
      </c>
      <c r="L90" s="250">
        <v>350</v>
      </c>
      <c r="M90" s="251">
        <f>L90*G111</f>
        <v>11903.5</v>
      </c>
      <c r="N90" s="252">
        <v>43.8</v>
      </c>
      <c r="O90" s="250">
        <v>550</v>
      </c>
      <c r="P90" s="253">
        <f>O90*G111</f>
        <v>18705.5</v>
      </c>
      <c r="Q90" s="254">
        <f t="shared" si="13"/>
        <v>1850</v>
      </c>
      <c r="R90" s="253">
        <f t="shared" si="13"/>
        <v>61322.5</v>
      </c>
      <c r="S90" s="117" t="s">
        <v>82</v>
      </c>
      <c r="T90" s="122"/>
      <c r="U90" s="122"/>
    </row>
    <row r="91" spans="1:21" s="120" customFormat="1" ht="54.75" customHeight="1">
      <c r="A91" s="121"/>
      <c r="B91" s="440" t="s">
        <v>39</v>
      </c>
      <c r="C91" s="440"/>
      <c r="D91" s="440"/>
      <c r="E91" s="116">
        <v>51</v>
      </c>
      <c r="F91" s="250">
        <v>39</v>
      </c>
      <c r="G91" s="251">
        <f>F91*F111</f>
        <v>1260.87</v>
      </c>
      <c r="H91" s="252">
        <v>48</v>
      </c>
      <c r="I91" s="250">
        <v>26.4</v>
      </c>
      <c r="J91" s="251">
        <f>I91*F111</f>
        <v>853.512</v>
      </c>
      <c r="K91" s="252">
        <v>48</v>
      </c>
      <c r="L91" s="250">
        <v>82.8</v>
      </c>
      <c r="M91" s="251">
        <f>L91*G111</f>
        <v>2816.028</v>
      </c>
      <c r="N91" s="252">
        <v>51</v>
      </c>
      <c r="O91" s="250">
        <v>21.8</v>
      </c>
      <c r="P91" s="253">
        <f>O91*G111</f>
        <v>741.418</v>
      </c>
      <c r="Q91" s="254">
        <f t="shared" si="13"/>
        <v>170</v>
      </c>
      <c r="R91" s="253">
        <f t="shared" si="13"/>
        <v>5671.8279999999995</v>
      </c>
      <c r="S91" s="117" t="s">
        <v>82</v>
      </c>
      <c r="T91" s="122"/>
      <c r="U91" s="122"/>
    </row>
    <row r="92" spans="1:21" s="97" customFormat="1" ht="55.5" customHeight="1">
      <c r="A92" s="104">
        <v>3</v>
      </c>
      <c r="B92" s="371" t="s">
        <v>42</v>
      </c>
      <c r="C92" s="372"/>
      <c r="D92" s="373"/>
      <c r="E92" s="98">
        <v>76.86</v>
      </c>
      <c r="F92" s="240">
        <f>F93+F94</f>
        <v>129.745</v>
      </c>
      <c r="G92" s="227">
        <f>G93+G94</f>
        <v>4386.34</v>
      </c>
      <c r="H92" s="93">
        <v>76.86</v>
      </c>
      <c r="I92" s="240">
        <f>I93+I94</f>
        <v>129.745</v>
      </c>
      <c r="J92" s="227">
        <f>J93+J94</f>
        <v>4386.34</v>
      </c>
      <c r="K92" s="93">
        <v>76.86</v>
      </c>
      <c r="L92" s="240">
        <f>L93+L94</f>
        <v>129.738</v>
      </c>
      <c r="M92" s="227">
        <f>M93+M94</f>
        <v>4613.8686</v>
      </c>
      <c r="N92" s="93">
        <v>76.86</v>
      </c>
      <c r="O92" s="240">
        <f>O93+O94</f>
        <v>129.738</v>
      </c>
      <c r="P92" s="246">
        <f>P93+P94</f>
        <v>4613.8686</v>
      </c>
      <c r="Q92" s="255">
        <f t="shared" si="13"/>
        <v>518.966</v>
      </c>
      <c r="R92" s="246">
        <f>R93+R94</f>
        <v>18000.4172</v>
      </c>
      <c r="S92" s="94" t="s">
        <v>21</v>
      </c>
      <c r="T92" s="101"/>
      <c r="U92" s="101"/>
    </row>
    <row r="93" spans="1:21" ht="33" customHeight="1">
      <c r="A93" s="32"/>
      <c r="B93" s="391" t="s">
        <v>76</v>
      </c>
      <c r="C93" s="392"/>
      <c r="D93" s="393"/>
      <c r="E93" s="8"/>
      <c r="F93" s="232">
        <v>120</v>
      </c>
      <c r="G93" s="230">
        <f>F93*F111</f>
        <v>3879.6</v>
      </c>
      <c r="H93" s="231"/>
      <c r="I93" s="232">
        <v>120</v>
      </c>
      <c r="J93" s="230">
        <f>I93*F111</f>
        <v>3879.6</v>
      </c>
      <c r="K93" s="231"/>
      <c r="L93" s="232">
        <v>120</v>
      </c>
      <c r="M93" s="230">
        <f>L93*G111</f>
        <v>4081.2</v>
      </c>
      <c r="N93" s="231"/>
      <c r="O93" s="232">
        <v>120</v>
      </c>
      <c r="P93" s="248">
        <f>O93*G111</f>
        <v>4081.2</v>
      </c>
      <c r="Q93" s="249">
        <f t="shared" si="13"/>
        <v>480</v>
      </c>
      <c r="R93" s="248">
        <f>G93+J93+M93+P93</f>
        <v>15921.599999999999</v>
      </c>
      <c r="S93" s="67"/>
      <c r="T93" s="13"/>
      <c r="U93" s="13"/>
    </row>
    <row r="94" spans="1:21" ht="38.25" customHeight="1">
      <c r="A94" s="32"/>
      <c r="B94" s="391" t="s">
        <v>77</v>
      </c>
      <c r="C94" s="392"/>
      <c r="D94" s="393"/>
      <c r="E94" s="8"/>
      <c r="F94" s="256">
        <v>9.745</v>
      </c>
      <c r="G94" s="230">
        <f>F94*F112</f>
        <v>506.73999999999995</v>
      </c>
      <c r="H94" s="59"/>
      <c r="I94" s="256">
        <v>9.745</v>
      </c>
      <c r="J94" s="230">
        <f>I94*F112</f>
        <v>506.73999999999995</v>
      </c>
      <c r="K94" s="59"/>
      <c r="L94" s="256">
        <v>9.738</v>
      </c>
      <c r="M94" s="230">
        <f>L94*G112</f>
        <v>532.6686</v>
      </c>
      <c r="N94" s="59"/>
      <c r="O94" s="256">
        <v>9.738</v>
      </c>
      <c r="P94" s="248">
        <f>O94*G112</f>
        <v>532.6686</v>
      </c>
      <c r="Q94" s="249">
        <f>F94+I94+L94+O94</f>
        <v>38.965999999999994</v>
      </c>
      <c r="R94" s="248">
        <f>G94+J94+M94+P94</f>
        <v>2078.8172</v>
      </c>
      <c r="S94" s="67"/>
      <c r="T94" s="13"/>
      <c r="U94" s="13"/>
    </row>
    <row r="95" spans="1:21" s="97" customFormat="1" ht="30.75" customHeight="1">
      <c r="A95" s="104">
        <v>4</v>
      </c>
      <c r="B95" s="371" t="s">
        <v>43</v>
      </c>
      <c r="C95" s="372"/>
      <c r="D95" s="373"/>
      <c r="E95" s="98">
        <v>172</v>
      </c>
      <c r="F95" s="228">
        <f>F96</f>
        <v>23.4</v>
      </c>
      <c r="G95" s="227">
        <f>G96</f>
        <v>756.5219999999999</v>
      </c>
      <c r="H95" s="93"/>
      <c r="I95" s="228">
        <f>I96</f>
        <v>23.4</v>
      </c>
      <c r="J95" s="227">
        <f>J96</f>
        <v>756.5219999999999</v>
      </c>
      <c r="K95" s="93"/>
      <c r="L95" s="228">
        <f>L96</f>
        <v>23.7</v>
      </c>
      <c r="M95" s="227">
        <f>M96</f>
        <v>806.0369999999999</v>
      </c>
      <c r="N95" s="93"/>
      <c r="O95" s="228">
        <f>O96</f>
        <v>23.1</v>
      </c>
      <c r="P95" s="246">
        <f>P96</f>
        <v>785.631</v>
      </c>
      <c r="Q95" s="247">
        <f>Q96</f>
        <v>93.6</v>
      </c>
      <c r="R95" s="246">
        <f>R96</f>
        <v>3104.7119999999995</v>
      </c>
      <c r="S95" s="94" t="s">
        <v>21</v>
      </c>
      <c r="T95" s="101"/>
      <c r="U95" s="101"/>
    </row>
    <row r="96" spans="1:21" ht="30.75" customHeight="1">
      <c r="A96" s="32"/>
      <c r="B96" s="374" t="s">
        <v>44</v>
      </c>
      <c r="C96" s="375"/>
      <c r="D96" s="376"/>
      <c r="E96" s="8"/>
      <c r="F96" s="232">
        <v>23.4</v>
      </c>
      <c r="G96" s="230">
        <f>F96*F111</f>
        <v>756.5219999999999</v>
      </c>
      <c r="H96" s="231"/>
      <c r="I96" s="232">
        <v>23.4</v>
      </c>
      <c r="J96" s="230">
        <f>I96*F111</f>
        <v>756.5219999999999</v>
      </c>
      <c r="K96" s="231"/>
      <c r="L96" s="232">
        <v>23.7</v>
      </c>
      <c r="M96" s="230">
        <f>L96*G111</f>
        <v>806.0369999999999</v>
      </c>
      <c r="N96" s="231"/>
      <c r="O96" s="232">
        <v>23.1</v>
      </c>
      <c r="P96" s="248">
        <f>O96*G111</f>
        <v>785.631</v>
      </c>
      <c r="Q96" s="249">
        <f>F96+I96+L96+O96</f>
        <v>93.6</v>
      </c>
      <c r="R96" s="248">
        <f>G96+J96+M96+P96</f>
        <v>3104.7119999999995</v>
      </c>
      <c r="S96" s="67"/>
      <c r="T96" s="13"/>
      <c r="U96" s="13"/>
    </row>
    <row r="97" spans="1:21" s="97" customFormat="1" ht="53.25" customHeight="1">
      <c r="A97" s="104">
        <v>5</v>
      </c>
      <c r="B97" s="371" t="s">
        <v>47</v>
      </c>
      <c r="C97" s="372"/>
      <c r="D97" s="373"/>
      <c r="E97" s="98"/>
      <c r="F97" s="228">
        <f>F98+F99+F100+F101</f>
        <v>132.91</v>
      </c>
      <c r="G97" s="227">
        <f>G98+G99+G100+G101</f>
        <v>4544.8223</v>
      </c>
      <c r="H97" s="93"/>
      <c r="I97" s="228">
        <f>I98+I99+I100+I101</f>
        <v>93.46000000000001</v>
      </c>
      <c r="J97" s="227">
        <f>J98+J99+J100+J101</f>
        <v>3208.4268</v>
      </c>
      <c r="K97" s="93"/>
      <c r="L97" s="228">
        <f>L98+L99+L100+L101</f>
        <v>106.78999999999999</v>
      </c>
      <c r="M97" s="227">
        <f>M98+M99+M100+M101</f>
        <v>4262.9729</v>
      </c>
      <c r="N97" s="93"/>
      <c r="O97" s="228">
        <f>O98+O99+O100+O101</f>
        <v>245.81</v>
      </c>
      <c r="P97" s="246">
        <f>P98+P99+P100+P101</f>
        <v>8610.347099999999</v>
      </c>
      <c r="Q97" s="247">
        <f>Q98+Q99+Q100+Q101</f>
        <v>578.97</v>
      </c>
      <c r="R97" s="246">
        <f>R98+R99+R100+R101</f>
        <v>20626.569099999997</v>
      </c>
      <c r="S97" s="94"/>
      <c r="T97" s="101"/>
      <c r="U97" s="101"/>
    </row>
    <row r="98" spans="1:21" ht="30.75" customHeight="1">
      <c r="A98" s="32"/>
      <c r="B98" s="374" t="s">
        <v>48</v>
      </c>
      <c r="C98" s="375"/>
      <c r="D98" s="376"/>
      <c r="E98" s="8"/>
      <c r="F98" s="232">
        <v>7.71</v>
      </c>
      <c r="G98" s="230">
        <f>F98*F111</f>
        <v>249.2643</v>
      </c>
      <c r="H98" s="231"/>
      <c r="I98" s="232">
        <v>6.36</v>
      </c>
      <c r="J98" s="230">
        <f>I98*F111</f>
        <v>205.6188</v>
      </c>
      <c r="K98" s="231"/>
      <c r="L98" s="232">
        <v>3.69</v>
      </c>
      <c r="M98" s="230">
        <f>L98*G111</f>
        <v>125.4969</v>
      </c>
      <c r="N98" s="231"/>
      <c r="O98" s="232">
        <v>32.91</v>
      </c>
      <c r="P98" s="248">
        <f>O98*G111</f>
        <v>1119.2690999999998</v>
      </c>
      <c r="Q98" s="249">
        <f aca="true" t="shared" si="14" ref="Q98:R101">F98+I98+L98+O98</f>
        <v>50.67</v>
      </c>
      <c r="R98" s="248">
        <f t="shared" si="14"/>
        <v>1699.6490999999996</v>
      </c>
      <c r="S98" s="67"/>
      <c r="T98" s="13"/>
      <c r="U98" s="13"/>
    </row>
    <row r="99" spans="1:21" ht="30.75" customHeight="1">
      <c r="A99" s="32"/>
      <c r="B99" s="374" t="s">
        <v>49</v>
      </c>
      <c r="C99" s="375"/>
      <c r="D99" s="376"/>
      <c r="E99" s="8"/>
      <c r="F99" s="232">
        <v>48</v>
      </c>
      <c r="G99" s="230">
        <f>40*F111+8*F112</f>
        <v>1709.1999999999998</v>
      </c>
      <c r="H99" s="231"/>
      <c r="I99" s="232">
        <v>48</v>
      </c>
      <c r="J99" s="230">
        <f>40*F111+8*F112</f>
        <v>1709.1999999999998</v>
      </c>
      <c r="K99" s="231"/>
      <c r="L99" s="232">
        <v>69</v>
      </c>
      <c r="M99" s="230">
        <f>40*G111+29*G112</f>
        <v>2946.7</v>
      </c>
      <c r="N99" s="231"/>
      <c r="O99" s="232">
        <v>48</v>
      </c>
      <c r="P99" s="248">
        <f>40*G111+8*G112</f>
        <v>1798</v>
      </c>
      <c r="Q99" s="249">
        <f t="shared" si="14"/>
        <v>213</v>
      </c>
      <c r="R99" s="248">
        <f t="shared" si="14"/>
        <v>8163.099999999999</v>
      </c>
      <c r="S99" s="67"/>
      <c r="T99" s="13"/>
      <c r="U99" s="13"/>
    </row>
    <row r="100" spans="1:21" ht="30.75" customHeight="1">
      <c r="A100" s="32"/>
      <c r="B100" s="374" t="s">
        <v>50</v>
      </c>
      <c r="C100" s="375"/>
      <c r="D100" s="376"/>
      <c r="E100" s="8"/>
      <c r="F100" s="232">
        <v>32.2</v>
      </c>
      <c r="G100" s="230">
        <f>27.6*F111+4.6*F112</f>
        <v>1131.508</v>
      </c>
      <c r="H100" s="231"/>
      <c r="I100" s="232">
        <v>29.1</v>
      </c>
      <c r="J100" s="230">
        <f>27.6*F111+1.5*F112</f>
        <v>970.308</v>
      </c>
      <c r="K100" s="231"/>
      <c r="L100" s="232">
        <v>29.1</v>
      </c>
      <c r="M100" s="230">
        <f>27.6*G111+1.5*G112</f>
        <v>1020.7260000000001</v>
      </c>
      <c r="N100" s="231"/>
      <c r="O100" s="232">
        <v>31.7</v>
      </c>
      <c r="P100" s="248">
        <f>27.6*G111+4.1*G112</f>
        <v>1162.946</v>
      </c>
      <c r="Q100" s="249">
        <f t="shared" si="14"/>
        <v>122.10000000000001</v>
      </c>
      <c r="R100" s="248">
        <f t="shared" si="14"/>
        <v>4285.487999999999</v>
      </c>
      <c r="S100" s="67"/>
      <c r="T100" s="13"/>
      <c r="U100" s="13"/>
    </row>
    <row r="101" spans="1:21" ht="30.75" customHeight="1">
      <c r="A101" s="32"/>
      <c r="B101" s="370" t="s">
        <v>40</v>
      </c>
      <c r="C101" s="370"/>
      <c r="D101" s="370"/>
      <c r="E101" s="8"/>
      <c r="F101" s="232">
        <v>45</v>
      </c>
      <c r="G101" s="230">
        <f>F101*F111</f>
        <v>1454.85</v>
      </c>
      <c r="H101" s="231"/>
      <c r="I101" s="232">
        <v>10</v>
      </c>
      <c r="J101" s="230">
        <f>I101*F111</f>
        <v>323.29999999999995</v>
      </c>
      <c r="K101" s="231"/>
      <c r="L101" s="232">
        <v>5</v>
      </c>
      <c r="M101" s="230">
        <f>L101*G111</f>
        <v>170.04999999999998</v>
      </c>
      <c r="N101" s="231"/>
      <c r="O101" s="232">
        <v>133.2</v>
      </c>
      <c r="P101" s="248">
        <f>O101*G111</f>
        <v>4530.132</v>
      </c>
      <c r="Q101" s="249">
        <f t="shared" si="14"/>
        <v>193.2</v>
      </c>
      <c r="R101" s="248">
        <f t="shared" si="14"/>
        <v>6478.331999999999</v>
      </c>
      <c r="S101" s="67" t="s">
        <v>83</v>
      </c>
      <c r="T101" s="13"/>
      <c r="U101" s="13"/>
    </row>
    <row r="102" spans="1:21" s="97" customFormat="1" ht="30.75" customHeight="1">
      <c r="A102" s="104">
        <v>6</v>
      </c>
      <c r="B102" s="371" t="s">
        <v>53</v>
      </c>
      <c r="C102" s="372"/>
      <c r="D102" s="373"/>
      <c r="E102" s="98"/>
      <c r="F102" s="228">
        <f>F103+F104+F105</f>
        <v>2682</v>
      </c>
      <c r="G102" s="227">
        <f>G103+G104+G105</f>
        <v>86709.06</v>
      </c>
      <c r="H102" s="93"/>
      <c r="I102" s="228">
        <f>I103+I104+I105</f>
        <v>2575</v>
      </c>
      <c r="J102" s="227">
        <f>J103+J104+J105</f>
        <v>83249.75</v>
      </c>
      <c r="K102" s="93"/>
      <c r="L102" s="228">
        <f>L103+L104+L105</f>
        <v>2376</v>
      </c>
      <c r="M102" s="227">
        <f>M103+M104+M105</f>
        <v>80807.76</v>
      </c>
      <c r="N102" s="93"/>
      <c r="O102" s="228">
        <f>O103+O104+O105</f>
        <v>2710</v>
      </c>
      <c r="P102" s="246">
        <f>P103+P104+P105</f>
        <v>92167.09999999999</v>
      </c>
      <c r="Q102" s="247">
        <f>Q103+Q104+Q105</f>
        <v>10343</v>
      </c>
      <c r="R102" s="246">
        <f>R103+R104+R105</f>
        <v>342933.6699999999</v>
      </c>
      <c r="S102" s="94"/>
      <c r="T102" s="101"/>
      <c r="U102" s="101"/>
    </row>
    <row r="103" spans="1:21" ht="30.75" customHeight="1">
      <c r="A103" s="34"/>
      <c r="B103" s="374" t="s">
        <v>73</v>
      </c>
      <c r="C103" s="375"/>
      <c r="D103" s="376"/>
      <c r="E103" s="8"/>
      <c r="F103" s="232">
        <v>192</v>
      </c>
      <c r="G103" s="230">
        <f>F103*F111</f>
        <v>6207.36</v>
      </c>
      <c r="H103" s="231"/>
      <c r="I103" s="232">
        <v>185</v>
      </c>
      <c r="J103" s="230">
        <f>I103*F111</f>
        <v>5981.049999999999</v>
      </c>
      <c r="K103" s="231"/>
      <c r="L103" s="232">
        <v>86</v>
      </c>
      <c r="M103" s="230">
        <f>L103*G111</f>
        <v>2924.8599999999997</v>
      </c>
      <c r="N103" s="231"/>
      <c r="O103" s="232">
        <v>220</v>
      </c>
      <c r="P103" s="248">
        <f>O103*G111</f>
        <v>7482.2</v>
      </c>
      <c r="Q103" s="249">
        <f>F103+I103+L103+O103</f>
        <v>683</v>
      </c>
      <c r="R103" s="248">
        <f>G103+J103+M103+P103</f>
        <v>22595.47</v>
      </c>
      <c r="S103" s="67"/>
      <c r="T103" s="13"/>
      <c r="U103" s="13"/>
    </row>
    <row r="104" spans="1:21" ht="30.75" customHeight="1">
      <c r="A104" s="34"/>
      <c r="B104" s="374" t="s">
        <v>55</v>
      </c>
      <c r="C104" s="375"/>
      <c r="D104" s="376"/>
      <c r="E104" s="8"/>
      <c r="F104" s="232">
        <v>300</v>
      </c>
      <c r="G104" s="230">
        <f>F104*F111</f>
        <v>9699</v>
      </c>
      <c r="H104" s="231"/>
      <c r="I104" s="232">
        <v>200</v>
      </c>
      <c r="J104" s="230">
        <f>I104*F111</f>
        <v>6466</v>
      </c>
      <c r="K104" s="231"/>
      <c r="L104" s="232">
        <v>100</v>
      </c>
      <c r="M104" s="230">
        <f>L104*G111</f>
        <v>3401</v>
      </c>
      <c r="N104" s="231"/>
      <c r="O104" s="232">
        <v>300</v>
      </c>
      <c r="P104" s="248">
        <f>O104*G111</f>
        <v>10203</v>
      </c>
      <c r="Q104" s="249">
        <f>F104+I104+L104+O104</f>
        <v>900</v>
      </c>
      <c r="R104" s="248">
        <f>G104+J104+M104+P104</f>
        <v>29769</v>
      </c>
      <c r="S104" s="67"/>
      <c r="T104" s="13"/>
      <c r="U104" s="13"/>
    </row>
    <row r="105" spans="1:21" ht="30.75" customHeight="1">
      <c r="A105" s="34"/>
      <c r="B105" s="360" t="s">
        <v>91</v>
      </c>
      <c r="C105" s="441"/>
      <c r="D105" s="442"/>
      <c r="E105" s="8"/>
      <c r="F105" s="232">
        <v>2190</v>
      </c>
      <c r="G105" s="230">
        <f>SUM(F105)*F111</f>
        <v>70802.7</v>
      </c>
      <c r="H105" s="231"/>
      <c r="I105" s="232">
        <v>2190</v>
      </c>
      <c r="J105" s="230">
        <f>SUM(I105)*F111</f>
        <v>70802.7</v>
      </c>
      <c r="K105" s="231"/>
      <c r="L105" s="232">
        <v>2190</v>
      </c>
      <c r="M105" s="230">
        <f>SUM(L105)*G111</f>
        <v>74481.9</v>
      </c>
      <c r="N105" s="231"/>
      <c r="O105" s="232">
        <v>2190</v>
      </c>
      <c r="P105" s="248">
        <f>SUM(O105)*G111</f>
        <v>74481.9</v>
      </c>
      <c r="Q105" s="249">
        <f>F105+I105+L105+O105</f>
        <v>8760</v>
      </c>
      <c r="R105" s="248">
        <f>SUM(G105)+J105+M105+P105</f>
        <v>290569.19999999995</v>
      </c>
      <c r="S105" s="67"/>
      <c r="T105" s="13"/>
      <c r="U105" s="13"/>
    </row>
    <row r="106" spans="1:21" ht="30.75" customHeight="1">
      <c r="A106" s="100">
        <v>8</v>
      </c>
      <c r="B106" s="371" t="s">
        <v>96</v>
      </c>
      <c r="C106" s="372"/>
      <c r="D106" s="373"/>
      <c r="E106" s="8"/>
      <c r="F106" s="296">
        <f>SUM(F107:F108)</f>
        <v>30</v>
      </c>
      <c r="G106" s="299">
        <f aca="true" t="shared" si="15" ref="G106:R106">SUM(G107:G108)</f>
        <v>969.9</v>
      </c>
      <c r="H106" s="295">
        <f t="shared" si="15"/>
        <v>0</v>
      </c>
      <c r="I106" s="296">
        <f t="shared" si="15"/>
        <v>30</v>
      </c>
      <c r="J106" s="299">
        <f t="shared" si="15"/>
        <v>969.9</v>
      </c>
      <c r="K106" s="295">
        <f t="shared" si="15"/>
        <v>0</v>
      </c>
      <c r="L106" s="296">
        <f t="shared" si="15"/>
        <v>30</v>
      </c>
      <c r="M106" s="299">
        <f t="shared" si="15"/>
        <v>1020.3</v>
      </c>
      <c r="N106" s="295">
        <f t="shared" si="15"/>
        <v>0</v>
      </c>
      <c r="O106" s="296">
        <f t="shared" si="15"/>
        <v>30</v>
      </c>
      <c r="P106" s="297">
        <f t="shared" si="15"/>
        <v>1020.3</v>
      </c>
      <c r="Q106" s="300">
        <f t="shared" si="15"/>
        <v>120</v>
      </c>
      <c r="R106" s="297">
        <f t="shared" si="15"/>
        <v>3980.3999999999996</v>
      </c>
      <c r="S106" s="67"/>
      <c r="T106" s="13"/>
      <c r="U106" s="13"/>
    </row>
    <row r="107" spans="1:21" ht="30.75" customHeight="1">
      <c r="A107" s="100"/>
      <c r="B107" s="360" t="s">
        <v>97</v>
      </c>
      <c r="C107" s="441"/>
      <c r="D107" s="442"/>
      <c r="E107" s="8"/>
      <c r="F107" s="232">
        <v>0</v>
      </c>
      <c r="G107" s="230">
        <f>SUM(F107)*F111</f>
        <v>0</v>
      </c>
      <c r="H107" s="231"/>
      <c r="I107" s="232">
        <v>0</v>
      </c>
      <c r="J107" s="230">
        <f>SUM(I107)*F111</f>
        <v>0</v>
      </c>
      <c r="K107" s="231"/>
      <c r="L107" s="232">
        <v>0</v>
      </c>
      <c r="M107" s="230">
        <f>SUM(L107)*G111</f>
        <v>0</v>
      </c>
      <c r="N107" s="231"/>
      <c r="O107" s="232">
        <v>0</v>
      </c>
      <c r="P107" s="248">
        <f>SUM(O107)*G111</f>
        <v>0</v>
      </c>
      <c r="Q107" s="249">
        <f>F107+I107+L107+O107</f>
        <v>0</v>
      </c>
      <c r="R107" s="248">
        <f>SUM(G107)+J107+M107+P107</f>
        <v>0</v>
      </c>
      <c r="S107" s="67"/>
      <c r="T107" s="13"/>
      <c r="U107" s="13"/>
    </row>
    <row r="108" spans="1:21" ht="30.75" customHeight="1">
      <c r="A108" s="100"/>
      <c r="B108" s="360" t="s">
        <v>98</v>
      </c>
      <c r="C108" s="441"/>
      <c r="D108" s="442"/>
      <c r="E108" s="8"/>
      <c r="F108" s="232">
        <v>30</v>
      </c>
      <c r="G108" s="230">
        <f>SUM(F108)*F111</f>
        <v>969.9</v>
      </c>
      <c r="H108" s="231"/>
      <c r="I108" s="232">
        <v>30</v>
      </c>
      <c r="J108" s="230">
        <f>SUM(I108)*F111</f>
        <v>969.9</v>
      </c>
      <c r="K108" s="231"/>
      <c r="L108" s="232">
        <v>30</v>
      </c>
      <c r="M108" s="230">
        <f>SUM(L108)*G111</f>
        <v>1020.3</v>
      </c>
      <c r="N108" s="231"/>
      <c r="O108" s="232">
        <v>30</v>
      </c>
      <c r="P108" s="248">
        <f>SUM(O108)*G111</f>
        <v>1020.3</v>
      </c>
      <c r="Q108" s="249">
        <f>F108+I108+L108+O108</f>
        <v>120</v>
      </c>
      <c r="R108" s="248">
        <f>SUM(G108)+J108+M108+P108</f>
        <v>3980.3999999999996</v>
      </c>
      <c r="S108" s="67"/>
      <c r="T108" s="13"/>
      <c r="U108" s="13"/>
    </row>
    <row r="109" spans="1:22" ht="27">
      <c r="A109" s="37"/>
      <c r="B109" s="443" t="s">
        <v>19</v>
      </c>
      <c r="C109" s="444"/>
      <c r="D109" s="445"/>
      <c r="E109" s="14" t="e">
        <f>E84+#REF!+#REF!+E86+E87+E88+#REF!+E89+E90+E91+E92+E95+#REF!</f>
        <v>#REF!</v>
      </c>
      <c r="F109" s="241">
        <f aca="true" t="shared" si="16" ref="F109:P109">F84+F85+F92+F95+F97+F102+F106</f>
        <v>4460.3550000000005</v>
      </c>
      <c r="G109" s="242">
        <f t="shared" si="16"/>
        <v>154477.8033</v>
      </c>
      <c r="H109" s="59">
        <f t="shared" si="16"/>
        <v>91.66</v>
      </c>
      <c r="I109" s="59">
        <f t="shared" si="16"/>
        <v>4589.305</v>
      </c>
      <c r="J109" s="242">
        <f t="shared" si="16"/>
        <v>163306.57979999998</v>
      </c>
      <c r="K109" s="59">
        <f t="shared" si="16"/>
        <v>91.86</v>
      </c>
      <c r="L109" s="241">
        <f t="shared" si="16"/>
        <v>4542.428</v>
      </c>
      <c r="M109" s="242">
        <f t="shared" si="16"/>
        <v>174562.20049999998</v>
      </c>
      <c r="N109" s="59">
        <f t="shared" si="16"/>
        <v>91.86</v>
      </c>
      <c r="O109" s="241">
        <f t="shared" si="16"/>
        <v>5035.748</v>
      </c>
      <c r="P109" s="257">
        <f t="shared" si="16"/>
        <v>188890.31769999996</v>
      </c>
      <c r="Q109" s="258">
        <f>Q84+Q85+Q92+Q95+Q97+Q102+Q106</f>
        <v>18627.836000000003</v>
      </c>
      <c r="R109" s="257">
        <f>R84+R85+R92+R95+R97+R102+R106</f>
        <v>681236.9012999999</v>
      </c>
      <c r="T109" s="12"/>
      <c r="U109" s="12"/>
      <c r="V109" s="12"/>
    </row>
    <row r="110" spans="1:22" ht="26.25" customHeight="1">
      <c r="A110" s="37"/>
      <c r="B110" s="439" t="s">
        <v>17</v>
      </c>
      <c r="C110" s="439"/>
      <c r="D110" s="439"/>
      <c r="E110" s="377" t="s">
        <v>123</v>
      </c>
      <c r="F110" s="377"/>
      <c r="G110" s="377"/>
      <c r="H110" s="377"/>
      <c r="I110" s="377"/>
      <c r="J110" s="377"/>
      <c r="K110" s="377"/>
      <c r="L110" s="377"/>
      <c r="M110" s="377"/>
      <c r="N110" s="377"/>
      <c r="O110" s="377"/>
      <c r="P110" s="377"/>
      <c r="Q110" s="377"/>
      <c r="R110" s="377"/>
      <c r="T110" s="12"/>
      <c r="U110" s="12"/>
      <c r="V110" s="12"/>
    </row>
    <row r="111" spans="1:18" s="12" customFormat="1" ht="25.5" customHeight="1">
      <c r="A111" s="5"/>
      <c r="B111" s="5"/>
      <c r="C111" s="5"/>
      <c r="D111" s="181"/>
      <c r="E111" s="181"/>
      <c r="F111" s="181">
        <v>32.33</v>
      </c>
      <c r="G111" s="184">
        <v>34.01</v>
      </c>
      <c r="H111" s="184"/>
      <c r="I111" s="184"/>
      <c r="J111" s="2"/>
      <c r="K111" s="5"/>
      <c r="L111" s="5"/>
      <c r="M111" s="5"/>
      <c r="N111" s="5"/>
      <c r="O111" s="5"/>
      <c r="P111" s="5"/>
      <c r="Q111" s="5"/>
      <c r="R111" s="5"/>
    </row>
    <row r="112" spans="1:18" s="12" customFormat="1" ht="33" customHeight="1">
      <c r="A112" s="5"/>
      <c r="B112" s="5"/>
      <c r="C112" s="5"/>
      <c r="D112" s="181"/>
      <c r="E112" s="181"/>
      <c r="F112" s="188">
        <v>52</v>
      </c>
      <c r="G112" s="184">
        <v>54.7</v>
      </c>
      <c r="H112" s="184"/>
      <c r="I112" s="184"/>
      <c r="J112" s="2"/>
      <c r="K112" s="5"/>
      <c r="L112" s="5"/>
      <c r="M112" s="5"/>
      <c r="N112" s="5"/>
      <c r="O112" s="5"/>
      <c r="P112" s="38"/>
      <c r="Q112" s="38"/>
      <c r="R112" s="5"/>
    </row>
    <row r="113" spans="1:22" ht="34.5" customHeight="1">
      <c r="A113" s="446" t="s">
        <v>113</v>
      </c>
      <c r="B113" s="446"/>
      <c r="C113" s="446"/>
      <c r="D113" s="446"/>
      <c r="E113" s="446"/>
      <c r="F113" s="446"/>
      <c r="G113" s="446"/>
      <c r="H113" s="446"/>
      <c r="I113" s="446"/>
      <c r="J113" s="446"/>
      <c r="K113" s="446"/>
      <c r="L113" s="446"/>
      <c r="M113" s="446"/>
      <c r="N113" s="446"/>
      <c r="O113" s="446"/>
      <c r="P113" s="446"/>
      <c r="Q113" s="446"/>
      <c r="R113" s="446"/>
      <c r="T113" s="12"/>
      <c r="U113" s="12"/>
      <c r="V113" s="12"/>
    </row>
    <row r="114" spans="1:22" ht="25.5">
      <c r="A114" s="381" t="s">
        <v>15</v>
      </c>
      <c r="B114" s="382" t="s">
        <v>0</v>
      </c>
      <c r="C114" s="383"/>
      <c r="D114" s="384"/>
      <c r="E114" s="377" t="s">
        <v>1</v>
      </c>
      <c r="F114" s="377"/>
      <c r="G114" s="377"/>
      <c r="H114" s="377" t="s">
        <v>3</v>
      </c>
      <c r="I114" s="377"/>
      <c r="J114" s="377"/>
      <c r="K114" s="377" t="s">
        <v>4</v>
      </c>
      <c r="L114" s="377"/>
      <c r="M114" s="377"/>
      <c r="N114" s="377" t="s">
        <v>6</v>
      </c>
      <c r="O114" s="377"/>
      <c r="P114" s="377"/>
      <c r="Q114" s="377" t="s">
        <v>7</v>
      </c>
      <c r="R114" s="377"/>
      <c r="T114" s="12"/>
      <c r="U114" s="12"/>
      <c r="V114" s="12"/>
    </row>
    <row r="115" spans="1:22" ht="25.5">
      <c r="A115" s="381"/>
      <c r="B115" s="385"/>
      <c r="C115" s="386"/>
      <c r="D115" s="387"/>
      <c r="E115" s="147" t="s">
        <v>10</v>
      </c>
      <c r="F115" s="147" t="s">
        <v>10</v>
      </c>
      <c r="G115" s="109" t="s">
        <v>5</v>
      </c>
      <c r="H115" s="147" t="s">
        <v>10</v>
      </c>
      <c r="I115" s="147" t="s">
        <v>10</v>
      </c>
      <c r="J115" s="109" t="s">
        <v>5</v>
      </c>
      <c r="K115" s="147" t="s">
        <v>10</v>
      </c>
      <c r="L115" s="147" t="s">
        <v>10</v>
      </c>
      <c r="M115" s="109" t="s">
        <v>5</v>
      </c>
      <c r="N115" s="147" t="s">
        <v>10</v>
      </c>
      <c r="O115" s="147" t="s">
        <v>10</v>
      </c>
      <c r="P115" s="109" t="s">
        <v>5</v>
      </c>
      <c r="Q115" s="147" t="s">
        <v>10</v>
      </c>
      <c r="R115" s="109" t="s">
        <v>5</v>
      </c>
      <c r="T115" s="12"/>
      <c r="U115" s="12"/>
      <c r="V115" s="12"/>
    </row>
    <row r="116" spans="1:22" s="97" customFormat="1" ht="25.5" customHeight="1">
      <c r="A116" s="104">
        <v>1</v>
      </c>
      <c r="B116" s="371" t="s">
        <v>33</v>
      </c>
      <c r="C116" s="372"/>
      <c r="D116" s="373"/>
      <c r="E116" s="98">
        <v>17.5</v>
      </c>
      <c r="F116" s="228">
        <v>12.3</v>
      </c>
      <c r="G116" s="246">
        <f>F116*F143</f>
        <v>534.312</v>
      </c>
      <c r="H116" s="93">
        <v>17.5</v>
      </c>
      <c r="I116" s="228">
        <v>8.3</v>
      </c>
      <c r="J116" s="246">
        <f>I116*F143</f>
        <v>360.552</v>
      </c>
      <c r="K116" s="93">
        <v>17.5</v>
      </c>
      <c r="L116" s="228">
        <v>5.4</v>
      </c>
      <c r="M116" s="246">
        <f>L116*G143</f>
        <v>246.78000000000003</v>
      </c>
      <c r="N116" s="93">
        <v>17.5</v>
      </c>
      <c r="O116" s="228">
        <v>11.3</v>
      </c>
      <c r="P116" s="246">
        <f>O116*G143</f>
        <v>516.4100000000001</v>
      </c>
      <c r="Q116" s="93">
        <f>F116+I116+L116+O116</f>
        <v>37.3</v>
      </c>
      <c r="R116" s="227">
        <f>G116+J116+M116+P116</f>
        <v>1658.054</v>
      </c>
      <c r="S116" s="94"/>
      <c r="T116" s="96"/>
      <c r="U116" s="96"/>
      <c r="V116" s="95"/>
    </row>
    <row r="117" spans="1:22" s="97" customFormat="1" ht="33" customHeight="1">
      <c r="A117" s="104">
        <v>2</v>
      </c>
      <c r="B117" s="371" t="s">
        <v>41</v>
      </c>
      <c r="C117" s="372"/>
      <c r="D117" s="373"/>
      <c r="E117" s="98"/>
      <c r="F117" s="228">
        <f>F118+F119+F120+F121+F122+F123</f>
        <v>2325.56</v>
      </c>
      <c r="G117" s="246">
        <f>G118+G119+G120+G121+G123+G122</f>
        <v>82112.32639999999</v>
      </c>
      <c r="H117" s="93"/>
      <c r="I117" s="228">
        <f>I118+I119+I120+I121+I122+I123</f>
        <v>2397.88</v>
      </c>
      <c r="J117" s="246">
        <f>J118+J119+J120+J121+J122+J123</f>
        <v>74403.9072</v>
      </c>
      <c r="K117" s="93"/>
      <c r="L117" s="228">
        <f>L118+L119+L120+L121+L122+L123</f>
        <v>2361.08</v>
      </c>
      <c r="M117" s="246">
        <f>M118+M119+M120+M121+M122+M123</f>
        <v>75943.55600000001</v>
      </c>
      <c r="N117" s="93"/>
      <c r="O117" s="228">
        <f>O118+O119+O120+O121+O122+O123</f>
        <v>2343.7500000000005</v>
      </c>
      <c r="P117" s="246">
        <f>P118+P119+P120+P121+P122+P123</f>
        <v>76129.875</v>
      </c>
      <c r="Q117" s="93">
        <f>Q118+Q119+Q121+Q122+Q123+Q120</f>
        <v>9428.27</v>
      </c>
      <c r="R117" s="227">
        <f>R118+R119+R120+R121+R122+R123</f>
        <v>308589.66459999996</v>
      </c>
      <c r="S117" s="94"/>
      <c r="T117" s="96"/>
      <c r="U117" s="96"/>
      <c r="V117" s="95"/>
    </row>
    <row r="118" spans="1:21" ht="48.75" customHeight="1">
      <c r="A118" s="34"/>
      <c r="B118" s="374" t="s">
        <v>34</v>
      </c>
      <c r="C118" s="375"/>
      <c r="D118" s="376"/>
      <c r="E118" s="8">
        <v>2715</v>
      </c>
      <c r="F118" s="232">
        <v>748.28</v>
      </c>
      <c r="G118" s="248">
        <f>F118*F143</f>
        <v>32505.283199999998</v>
      </c>
      <c r="H118" s="231">
        <v>2715</v>
      </c>
      <c r="I118" s="232">
        <v>409.15</v>
      </c>
      <c r="J118" s="248">
        <f>I118*F143</f>
        <v>17773.476</v>
      </c>
      <c r="K118" s="231">
        <v>2715</v>
      </c>
      <c r="L118" s="232">
        <v>662.91</v>
      </c>
      <c r="M118" s="248">
        <f>L118*G143</f>
        <v>30294.987</v>
      </c>
      <c r="N118" s="231">
        <v>2715</v>
      </c>
      <c r="O118" s="232">
        <v>464.93</v>
      </c>
      <c r="P118" s="248">
        <f>O118*G143</f>
        <v>21247.301000000003</v>
      </c>
      <c r="Q118" s="231">
        <f aca="true" t="shared" si="17" ref="Q118:R126">F118+I118+L118+O118</f>
        <v>2285.2699999999995</v>
      </c>
      <c r="R118" s="230">
        <f t="shared" si="17"/>
        <v>101821.0472</v>
      </c>
      <c r="S118" s="67" t="s">
        <v>82</v>
      </c>
      <c r="T118" s="13"/>
      <c r="U118" s="13"/>
    </row>
    <row r="119" spans="1:22" ht="47.25" customHeight="1">
      <c r="A119" s="34"/>
      <c r="B119" s="399" t="s">
        <v>35</v>
      </c>
      <c r="C119" s="400"/>
      <c r="D119" s="401"/>
      <c r="E119" s="8">
        <v>816</v>
      </c>
      <c r="F119" s="232">
        <v>250</v>
      </c>
      <c r="G119" s="248">
        <f>F119*F143</f>
        <v>10860</v>
      </c>
      <c r="H119" s="231">
        <v>816</v>
      </c>
      <c r="I119" s="232">
        <v>230</v>
      </c>
      <c r="J119" s="248">
        <f>I119*F143</f>
        <v>9991.199999999999</v>
      </c>
      <c r="K119" s="231">
        <v>816</v>
      </c>
      <c r="L119" s="232">
        <v>230</v>
      </c>
      <c r="M119" s="248">
        <f>L119*G143</f>
        <v>10511</v>
      </c>
      <c r="N119" s="231">
        <v>816</v>
      </c>
      <c r="O119" s="232">
        <v>250</v>
      </c>
      <c r="P119" s="248">
        <f>O119*G143</f>
        <v>11425</v>
      </c>
      <c r="Q119" s="231">
        <f t="shared" si="17"/>
        <v>960</v>
      </c>
      <c r="R119" s="230">
        <f t="shared" si="17"/>
        <v>42787.2</v>
      </c>
      <c r="S119" s="67" t="s">
        <v>82</v>
      </c>
      <c r="T119" s="11"/>
      <c r="U119" s="11"/>
      <c r="V119" s="12"/>
    </row>
    <row r="120" spans="1:22" ht="34.5" customHeight="1">
      <c r="A120" s="34"/>
      <c r="B120" s="374" t="s">
        <v>36</v>
      </c>
      <c r="C120" s="375"/>
      <c r="D120" s="376"/>
      <c r="E120" s="8">
        <v>910.2</v>
      </c>
      <c r="F120" s="232">
        <v>400</v>
      </c>
      <c r="G120" s="248">
        <f>F120*F144</f>
        <v>4976</v>
      </c>
      <c r="H120" s="231">
        <v>1072.5</v>
      </c>
      <c r="I120" s="232">
        <v>450</v>
      </c>
      <c r="J120" s="248">
        <f>I120*F144</f>
        <v>5598</v>
      </c>
      <c r="K120" s="231">
        <v>905.1</v>
      </c>
      <c r="L120" s="232">
        <v>200</v>
      </c>
      <c r="M120" s="248">
        <f>L120*G144</f>
        <v>2618</v>
      </c>
      <c r="N120" s="231">
        <v>1121.6</v>
      </c>
      <c r="O120" s="232">
        <v>400</v>
      </c>
      <c r="P120" s="248">
        <f>O120*G144</f>
        <v>5236</v>
      </c>
      <c r="Q120" s="231">
        <f t="shared" si="17"/>
        <v>1450</v>
      </c>
      <c r="R120" s="230">
        <f t="shared" si="17"/>
        <v>18428</v>
      </c>
      <c r="S120" s="67" t="s">
        <v>82</v>
      </c>
      <c r="T120" s="11"/>
      <c r="U120" s="11"/>
      <c r="V120" s="12"/>
    </row>
    <row r="121" spans="1:22" ht="28.5" customHeight="1">
      <c r="A121" s="34"/>
      <c r="B121" s="370" t="s">
        <v>37</v>
      </c>
      <c r="C121" s="370"/>
      <c r="D121" s="370"/>
      <c r="E121" s="8">
        <v>1845</v>
      </c>
      <c r="F121" s="232">
        <v>210</v>
      </c>
      <c r="G121" s="248">
        <f>F121*F144</f>
        <v>2612.4</v>
      </c>
      <c r="H121" s="231">
        <v>1803</v>
      </c>
      <c r="I121" s="232">
        <v>510</v>
      </c>
      <c r="J121" s="248">
        <f>I121*F144</f>
        <v>6344.4</v>
      </c>
      <c r="K121" s="231">
        <v>1803</v>
      </c>
      <c r="L121" s="232">
        <v>780</v>
      </c>
      <c r="M121" s="248">
        <f>L121*G144</f>
        <v>10210.2</v>
      </c>
      <c r="N121" s="231">
        <v>1813.3</v>
      </c>
      <c r="O121" s="232">
        <v>550</v>
      </c>
      <c r="P121" s="248">
        <f>O121*G144</f>
        <v>7199.5</v>
      </c>
      <c r="Q121" s="231">
        <f t="shared" si="17"/>
        <v>2050</v>
      </c>
      <c r="R121" s="230">
        <f t="shared" si="17"/>
        <v>26366.5</v>
      </c>
      <c r="S121" s="67" t="s">
        <v>82</v>
      </c>
      <c r="T121" s="11"/>
      <c r="U121" s="11"/>
      <c r="V121" s="12"/>
    </row>
    <row r="122" spans="1:22" s="120" customFormat="1" ht="33" customHeight="1">
      <c r="A122" s="123"/>
      <c r="B122" s="440" t="s">
        <v>38</v>
      </c>
      <c r="C122" s="440"/>
      <c r="D122" s="440"/>
      <c r="E122" s="116">
        <v>74.5</v>
      </c>
      <c r="F122" s="250">
        <v>675</v>
      </c>
      <c r="G122" s="253">
        <f>F122*F143</f>
        <v>29322</v>
      </c>
      <c r="H122" s="252">
        <v>72.8</v>
      </c>
      <c r="I122" s="250">
        <v>766.5</v>
      </c>
      <c r="J122" s="253">
        <f>I122*F143</f>
        <v>33296.759999999995</v>
      </c>
      <c r="K122" s="252">
        <v>72.9</v>
      </c>
      <c r="L122" s="250">
        <v>400</v>
      </c>
      <c r="M122" s="253">
        <f>L122*G143</f>
        <v>18280</v>
      </c>
      <c r="N122" s="252">
        <v>72.9</v>
      </c>
      <c r="O122" s="250">
        <v>658.5</v>
      </c>
      <c r="P122" s="253">
        <f>O122*G143</f>
        <v>30093.45</v>
      </c>
      <c r="Q122" s="252">
        <f t="shared" si="17"/>
        <v>2500</v>
      </c>
      <c r="R122" s="251">
        <f t="shared" si="17"/>
        <v>110992.20999999999</v>
      </c>
      <c r="S122" s="117" t="s">
        <v>82</v>
      </c>
      <c r="T122" s="119"/>
      <c r="U122" s="119"/>
      <c r="V122" s="118"/>
    </row>
    <row r="123" spans="1:22" s="120" customFormat="1" ht="55.5" customHeight="1">
      <c r="A123" s="123"/>
      <c r="B123" s="440" t="s">
        <v>39</v>
      </c>
      <c r="C123" s="440"/>
      <c r="D123" s="440"/>
      <c r="E123" s="116">
        <v>88.6</v>
      </c>
      <c r="F123" s="259">
        <v>42.28</v>
      </c>
      <c r="G123" s="253">
        <f>F123*F143</f>
        <v>1836.6432</v>
      </c>
      <c r="H123" s="252">
        <v>88.5</v>
      </c>
      <c r="I123" s="260">
        <v>32.23</v>
      </c>
      <c r="J123" s="253">
        <f>I123*F143</f>
        <v>1400.0711999999999</v>
      </c>
      <c r="K123" s="252">
        <v>88.5</v>
      </c>
      <c r="L123" s="250">
        <v>88.17</v>
      </c>
      <c r="M123" s="253">
        <f>L123*G143</f>
        <v>4029.369</v>
      </c>
      <c r="N123" s="252">
        <v>88.5</v>
      </c>
      <c r="O123" s="260">
        <v>20.32</v>
      </c>
      <c r="P123" s="253">
        <f>O123*G143</f>
        <v>928.624</v>
      </c>
      <c r="Q123" s="252">
        <f>F123+I123+L123+O123</f>
        <v>183</v>
      </c>
      <c r="R123" s="251">
        <f t="shared" si="17"/>
        <v>8194.7074</v>
      </c>
      <c r="S123" s="117" t="s">
        <v>82</v>
      </c>
      <c r="T123" s="119"/>
      <c r="U123" s="119"/>
      <c r="V123" s="118"/>
    </row>
    <row r="124" spans="1:22" s="97" customFormat="1" ht="51.75" customHeight="1">
      <c r="A124" s="104">
        <v>3</v>
      </c>
      <c r="B124" s="371" t="s">
        <v>42</v>
      </c>
      <c r="C124" s="372"/>
      <c r="D124" s="373"/>
      <c r="E124" s="98">
        <v>118.05</v>
      </c>
      <c r="F124" s="240">
        <f>F125+F126</f>
        <v>100.84700000000001</v>
      </c>
      <c r="G124" s="246">
        <f>G125+G126</f>
        <v>3734.5366799999997</v>
      </c>
      <c r="H124" s="93">
        <v>118.05</v>
      </c>
      <c r="I124" s="240">
        <f>I125+I126</f>
        <v>100.84700000000001</v>
      </c>
      <c r="J124" s="246">
        <f>J125+J126</f>
        <v>3734.5366799999997</v>
      </c>
      <c r="K124" s="93">
        <v>118.05</v>
      </c>
      <c r="L124" s="240">
        <f>L125+L126</f>
        <v>100.825</v>
      </c>
      <c r="M124" s="246">
        <f>M125+M126</f>
        <v>3928.59925</v>
      </c>
      <c r="N124" s="93">
        <v>118.05</v>
      </c>
      <c r="O124" s="240">
        <f>O125+O126</f>
        <v>100.825</v>
      </c>
      <c r="P124" s="246">
        <f>P125+P126</f>
        <v>3928.59925</v>
      </c>
      <c r="Q124" s="239">
        <f>Q125+Q126</f>
        <v>403.344</v>
      </c>
      <c r="R124" s="227">
        <f t="shared" si="17"/>
        <v>15326.27186</v>
      </c>
      <c r="S124" s="94"/>
      <c r="T124" s="96"/>
      <c r="U124" s="96"/>
      <c r="V124" s="95"/>
    </row>
    <row r="125" spans="1:22" ht="51.75" customHeight="1">
      <c r="A125" s="32"/>
      <c r="B125" s="391" t="s">
        <v>71</v>
      </c>
      <c r="C125" s="392"/>
      <c r="D125" s="393"/>
      <c r="E125" s="8"/>
      <c r="F125" s="232">
        <v>80</v>
      </c>
      <c r="G125" s="248">
        <f>F125*F143</f>
        <v>3475.2</v>
      </c>
      <c r="H125" s="59"/>
      <c r="I125" s="232">
        <v>80</v>
      </c>
      <c r="J125" s="248">
        <f>I125*F143</f>
        <v>3475.2</v>
      </c>
      <c r="K125" s="231"/>
      <c r="L125" s="232">
        <v>80</v>
      </c>
      <c r="M125" s="248">
        <f>L125*G143</f>
        <v>3656</v>
      </c>
      <c r="N125" s="231"/>
      <c r="O125" s="232">
        <v>80</v>
      </c>
      <c r="P125" s="248">
        <f>O125*G143</f>
        <v>3656</v>
      </c>
      <c r="Q125" s="231">
        <f t="shared" si="17"/>
        <v>320</v>
      </c>
      <c r="R125" s="230">
        <f>G125+J125+M125+P125</f>
        <v>14262.4</v>
      </c>
      <c r="S125" s="67"/>
      <c r="T125" s="11"/>
      <c r="U125" s="11"/>
      <c r="V125" s="12"/>
    </row>
    <row r="126" spans="1:22" ht="51.75" customHeight="1">
      <c r="A126" s="32"/>
      <c r="B126" s="391" t="s">
        <v>72</v>
      </c>
      <c r="C126" s="392"/>
      <c r="D126" s="393"/>
      <c r="E126" s="8"/>
      <c r="F126" s="256">
        <v>20.847</v>
      </c>
      <c r="G126" s="248">
        <f>F126*F144</f>
        <v>259.33668</v>
      </c>
      <c r="H126" s="59"/>
      <c r="I126" s="256">
        <v>20.847</v>
      </c>
      <c r="J126" s="248">
        <f>I126*F144</f>
        <v>259.33668</v>
      </c>
      <c r="K126" s="231"/>
      <c r="L126" s="256">
        <v>20.825</v>
      </c>
      <c r="M126" s="248">
        <f>L126*G144</f>
        <v>272.59925</v>
      </c>
      <c r="N126" s="231"/>
      <c r="O126" s="256">
        <v>20.825</v>
      </c>
      <c r="P126" s="248">
        <f>O126*G144</f>
        <v>272.59925</v>
      </c>
      <c r="Q126" s="231">
        <f t="shared" si="17"/>
        <v>83.34400000000001</v>
      </c>
      <c r="R126" s="230">
        <f>G126+J126+M126+P126</f>
        <v>1063.87186</v>
      </c>
      <c r="S126" s="67"/>
      <c r="T126" s="11"/>
      <c r="U126" s="11"/>
      <c r="V126" s="12"/>
    </row>
    <row r="127" spans="1:22" s="97" customFormat="1" ht="33.75" customHeight="1">
      <c r="A127" s="104">
        <v>4</v>
      </c>
      <c r="B127" s="371" t="s">
        <v>43</v>
      </c>
      <c r="C127" s="372"/>
      <c r="D127" s="373"/>
      <c r="E127" s="98">
        <v>180</v>
      </c>
      <c r="F127" s="228">
        <f>F128</f>
        <v>23.4</v>
      </c>
      <c r="G127" s="246">
        <f>G128</f>
        <v>1016.4959999999999</v>
      </c>
      <c r="H127" s="93"/>
      <c r="I127" s="228">
        <f>I128</f>
        <v>23.4</v>
      </c>
      <c r="J127" s="246">
        <f>J128</f>
        <v>1016.4959999999999</v>
      </c>
      <c r="K127" s="93"/>
      <c r="L127" s="228">
        <f>L128</f>
        <v>23.7</v>
      </c>
      <c r="M127" s="246">
        <f>M128</f>
        <v>1083.0900000000001</v>
      </c>
      <c r="N127" s="93"/>
      <c r="O127" s="228">
        <f>O128</f>
        <v>23.1</v>
      </c>
      <c r="P127" s="246">
        <f>P128</f>
        <v>1055.67</v>
      </c>
      <c r="Q127" s="93">
        <f>Q128</f>
        <v>93.6</v>
      </c>
      <c r="R127" s="227">
        <f>R128</f>
        <v>4171.752</v>
      </c>
      <c r="S127" s="94"/>
      <c r="T127" s="96"/>
      <c r="U127" s="96"/>
      <c r="V127" s="95"/>
    </row>
    <row r="128" spans="1:22" ht="27.75" customHeight="1">
      <c r="A128" s="34"/>
      <c r="B128" s="374" t="s">
        <v>44</v>
      </c>
      <c r="C128" s="375"/>
      <c r="D128" s="376"/>
      <c r="E128" s="8"/>
      <c r="F128" s="232">
        <v>23.4</v>
      </c>
      <c r="G128" s="248">
        <f>F128*F143</f>
        <v>1016.4959999999999</v>
      </c>
      <c r="H128" s="231"/>
      <c r="I128" s="232">
        <v>23.4</v>
      </c>
      <c r="J128" s="248">
        <f>I128*F143</f>
        <v>1016.4959999999999</v>
      </c>
      <c r="K128" s="231"/>
      <c r="L128" s="232">
        <v>23.7</v>
      </c>
      <c r="M128" s="248">
        <f>L128*G143</f>
        <v>1083.0900000000001</v>
      </c>
      <c r="N128" s="231"/>
      <c r="O128" s="232">
        <v>23.1</v>
      </c>
      <c r="P128" s="248">
        <f>O128*G143</f>
        <v>1055.67</v>
      </c>
      <c r="Q128" s="231">
        <f>F128+I128+L128+O128</f>
        <v>93.6</v>
      </c>
      <c r="R128" s="230">
        <f>G128+J128+M128+P128</f>
        <v>4171.752</v>
      </c>
      <c r="S128" s="67"/>
      <c r="T128" s="11"/>
      <c r="U128" s="11"/>
      <c r="V128" s="12"/>
    </row>
    <row r="129" spans="1:22" s="97" customFormat="1" ht="47.25" customHeight="1">
      <c r="A129" s="104">
        <v>5</v>
      </c>
      <c r="B129" s="371" t="s">
        <v>47</v>
      </c>
      <c r="C129" s="372"/>
      <c r="D129" s="373"/>
      <c r="E129" s="98"/>
      <c r="F129" s="228">
        <f>F130+F131+F132+F133</f>
        <v>189.14</v>
      </c>
      <c r="G129" s="246">
        <f>G130+G131+G132+G133</f>
        <v>7385.4416</v>
      </c>
      <c r="H129" s="93"/>
      <c r="I129" s="228">
        <f>I130+I131+I132+I133</f>
        <v>171.2</v>
      </c>
      <c r="J129" s="246">
        <f>J130+J131+J132+J133</f>
        <v>6764.227999999999</v>
      </c>
      <c r="K129" s="93"/>
      <c r="L129" s="228">
        <f>L130+L131+L132+L133</f>
        <v>152.42000000000002</v>
      </c>
      <c r="M129" s="246">
        <f>M130+M131+M132+M133</f>
        <v>6257.957</v>
      </c>
      <c r="N129" s="93"/>
      <c r="O129" s="228">
        <f>O130+O131+O132+O133</f>
        <v>245.33999999999997</v>
      </c>
      <c r="P129" s="246">
        <f>P130+P131+P132+P133</f>
        <v>10315.262999999999</v>
      </c>
      <c r="Q129" s="93">
        <f>Q130+Q131+Q132+Q133</f>
        <v>758.0999999999999</v>
      </c>
      <c r="R129" s="227">
        <f>R130+R131+R132+R133</f>
        <v>30722.889600000002</v>
      </c>
      <c r="S129" s="94"/>
      <c r="T129" s="96"/>
      <c r="U129" s="96"/>
      <c r="V129" s="95"/>
    </row>
    <row r="130" spans="1:22" ht="33.75" customHeight="1">
      <c r="A130" s="32"/>
      <c r="B130" s="374" t="s">
        <v>48</v>
      </c>
      <c r="C130" s="375"/>
      <c r="D130" s="376"/>
      <c r="E130" s="8"/>
      <c r="F130" s="232">
        <v>8.64</v>
      </c>
      <c r="G130" s="248">
        <f>F130*F143</f>
        <v>375.3216</v>
      </c>
      <c r="H130" s="231"/>
      <c r="I130" s="232">
        <v>10</v>
      </c>
      <c r="J130" s="248">
        <f>I130*F143</f>
        <v>434.4</v>
      </c>
      <c r="K130" s="231"/>
      <c r="L130" s="232">
        <v>14.42</v>
      </c>
      <c r="M130" s="248">
        <f>L130*G143</f>
        <v>658.994</v>
      </c>
      <c r="N130" s="231"/>
      <c r="O130" s="232">
        <v>32.88</v>
      </c>
      <c r="P130" s="248">
        <f>O130*G143</f>
        <v>1502.6160000000002</v>
      </c>
      <c r="Q130" s="231">
        <f aca="true" t="shared" si="18" ref="Q130:R133">F130+I130+L130+O130</f>
        <v>65.94</v>
      </c>
      <c r="R130" s="230">
        <f t="shared" si="18"/>
        <v>2971.3316000000004</v>
      </c>
      <c r="S130" s="67"/>
      <c r="T130" s="11"/>
      <c r="U130" s="11"/>
      <c r="V130" s="12"/>
    </row>
    <row r="131" spans="1:22" ht="33.75" customHeight="1">
      <c r="A131" s="32"/>
      <c r="B131" s="374" t="s">
        <v>49</v>
      </c>
      <c r="C131" s="375"/>
      <c r="D131" s="376"/>
      <c r="E131" s="8"/>
      <c r="F131" s="232">
        <v>73</v>
      </c>
      <c r="G131" s="248">
        <f>53.5*F143+19.5*F144</f>
        <v>2566.62</v>
      </c>
      <c r="H131" s="231"/>
      <c r="I131" s="232">
        <v>72</v>
      </c>
      <c r="J131" s="248">
        <f>52.5*F143+19.5*F144</f>
        <v>2523.18</v>
      </c>
      <c r="K131" s="231"/>
      <c r="L131" s="232">
        <v>62</v>
      </c>
      <c r="M131" s="248">
        <f>42.5*G143+19.5*G144</f>
        <v>2197.505</v>
      </c>
      <c r="N131" s="231"/>
      <c r="O131" s="232">
        <v>71</v>
      </c>
      <c r="P131" s="248">
        <f>51.5*G143+19.5*G144</f>
        <v>2608.8050000000003</v>
      </c>
      <c r="Q131" s="231">
        <f t="shared" si="18"/>
        <v>278</v>
      </c>
      <c r="R131" s="230">
        <f t="shared" si="18"/>
        <v>9896.11</v>
      </c>
      <c r="S131" s="67"/>
      <c r="T131" s="11"/>
      <c r="U131" s="11"/>
      <c r="V131" s="12"/>
    </row>
    <row r="132" spans="1:22" ht="33.75" customHeight="1">
      <c r="A132" s="32"/>
      <c r="B132" s="374" t="s">
        <v>50</v>
      </c>
      <c r="C132" s="375"/>
      <c r="D132" s="376"/>
      <c r="E132" s="8"/>
      <c r="F132" s="232">
        <v>47.3</v>
      </c>
      <c r="G132" s="248">
        <f>40*F143+7.3*F144</f>
        <v>1828.4119999999998</v>
      </c>
      <c r="H132" s="231"/>
      <c r="I132" s="232">
        <v>42.2</v>
      </c>
      <c r="J132" s="248">
        <f>40*F143+2.2*F144</f>
        <v>1764.9679999999998</v>
      </c>
      <c r="K132" s="231"/>
      <c r="L132" s="232">
        <v>41.1</v>
      </c>
      <c r="M132" s="248">
        <f>38.9*G143+2.2*G144</f>
        <v>1806.528</v>
      </c>
      <c r="N132" s="231"/>
      <c r="O132" s="232">
        <v>47.5</v>
      </c>
      <c r="P132" s="248">
        <f>39.5*G143+8*G144</f>
        <v>1909.8700000000001</v>
      </c>
      <c r="Q132" s="231">
        <f t="shared" si="18"/>
        <v>178.1</v>
      </c>
      <c r="R132" s="230">
        <f t="shared" si="18"/>
        <v>7309.777999999999</v>
      </c>
      <c r="S132" s="67" t="s">
        <v>82</v>
      </c>
      <c r="T132" s="11"/>
      <c r="U132" s="11"/>
      <c r="V132" s="12"/>
    </row>
    <row r="133" spans="1:22" ht="33.75" customHeight="1">
      <c r="A133" s="32"/>
      <c r="B133" s="370" t="s">
        <v>40</v>
      </c>
      <c r="C133" s="370"/>
      <c r="D133" s="370"/>
      <c r="E133" s="8"/>
      <c r="F133" s="232">
        <v>60.2</v>
      </c>
      <c r="G133" s="248">
        <f>F133*F143</f>
        <v>2615.088</v>
      </c>
      <c r="H133" s="231"/>
      <c r="I133" s="232">
        <v>47</v>
      </c>
      <c r="J133" s="248">
        <f>I133*F143</f>
        <v>2041.6799999999998</v>
      </c>
      <c r="K133" s="231"/>
      <c r="L133" s="232">
        <v>34.9</v>
      </c>
      <c r="M133" s="248">
        <f>L133*G143</f>
        <v>1594.93</v>
      </c>
      <c r="N133" s="231"/>
      <c r="O133" s="232">
        <v>93.96</v>
      </c>
      <c r="P133" s="248">
        <f>O133*G143</f>
        <v>4293.972</v>
      </c>
      <c r="Q133" s="231">
        <f t="shared" si="18"/>
        <v>236.06</v>
      </c>
      <c r="R133" s="230">
        <f t="shared" si="18"/>
        <v>10545.67</v>
      </c>
      <c r="S133" s="67" t="s">
        <v>82</v>
      </c>
      <c r="T133" s="11"/>
      <c r="U133" s="11"/>
      <c r="V133" s="12"/>
    </row>
    <row r="134" spans="1:22" s="97" customFormat="1" ht="33.75" customHeight="1">
      <c r="A134" s="104">
        <v>6</v>
      </c>
      <c r="B134" s="371" t="s">
        <v>53</v>
      </c>
      <c r="C134" s="372"/>
      <c r="D134" s="373"/>
      <c r="E134" s="98"/>
      <c r="F134" s="228">
        <f>F135+F136+F137</f>
        <v>3319.1</v>
      </c>
      <c r="G134" s="246">
        <f>G135+G136+G137</f>
        <v>144181.704</v>
      </c>
      <c r="H134" s="93"/>
      <c r="I134" s="228">
        <f>I135+I136+I137</f>
        <v>3004.1</v>
      </c>
      <c r="J134" s="246">
        <f>J135+J136+J137</f>
        <v>130498.10399999999</v>
      </c>
      <c r="K134" s="93"/>
      <c r="L134" s="228">
        <f>L135+L136+L137</f>
        <v>2722.1</v>
      </c>
      <c r="M134" s="246">
        <f>M135+M136+M137</f>
        <v>124399.97</v>
      </c>
      <c r="N134" s="93"/>
      <c r="O134" s="228">
        <f>O135+O136+O137</f>
        <v>3046.1</v>
      </c>
      <c r="P134" s="246">
        <f>P135+P136+P137</f>
        <v>139206.77000000002</v>
      </c>
      <c r="Q134" s="93">
        <f>Q135+Q136+Q137</f>
        <v>12091.4</v>
      </c>
      <c r="R134" s="227">
        <f>R135+R136+R137</f>
        <v>538286.548</v>
      </c>
      <c r="S134" s="94"/>
      <c r="T134" s="96"/>
      <c r="U134" s="96"/>
      <c r="V134" s="95"/>
    </row>
    <row r="135" spans="1:22" ht="33.75" customHeight="1">
      <c r="A135" s="34"/>
      <c r="B135" s="374" t="s">
        <v>73</v>
      </c>
      <c r="C135" s="375"/>
      <c r="D135" s="376"/>
      <c r="E135" s="8"/>
      <c r="F135" s="232">
        <v>233</v>
      </c>
      <c r="G135" s="248">
        <f>F135*F143</f>
        <v>10121.519999999999</v>
      </c>
      <c r="H135" s="231"/>
      <c r="I135" s="232">
        <v>218</v>
      </c>
      <c r="J135" s="248">
        <f>I135*F143</f>
        <v>9469.92</v>
      </c>
      <c r="K135" s="231"/>
      <c r="L135" s="232">
        <v>96</v>
      </c>
      <c r="M135" s="248">
        <f>L135*G143</f>
        <v>4387.200000000001</v>
      </c>
      <c r="N135" s="231"/>
      <c r="O135" s="232">
        <v>260</v>
      </c>
      <c r="P135" s="248">
        <f>O135*G143</f>
        <v>11882</v>
      </c>
      <c r="Q135" s="231">
        <f>F135+I135+L135+O135</f>
        <v>807</v>
      </c>
      <c r="R135" s="230">
        <f>G135+J135+M135+P135</f>
        <v>35860.64</v>
      </c>
      <c r="S135" s="67" t="s">
        <v>82</v>
      </c>
      <c r="T135" s="11"/>
      <c r="U135" s="11"/>
      <c r="V135" s="12"/>
    </row>
    <row r="136" spans="1:22" ht="33.75" customHeight="1">
      <c r="A136" s="34"/>
      <c r="B136" s="374" t="s">
        <v>55</v>
      </c>
      <c r="C136" s="375"/>
      <c r="D136" s="376"/>
      <c r="E136" s="8"/>
      <c r="F136" s="232">
        <v>600</v>
      </c>
      <c r="G136" s="248">
        <f>F136*F143</f>
        <v>26064</v>
      </c>
      <c r="H136" s="231"/>
      <c r="I136" s="232">
        <v>300</v>
      </c>
      <c r="J136" s="248">
        <f>I136*F143</f>
        <v>13032</v>
      </c>
      <c r="K136" s="231"/>
      <c r="L136" s="256">
        <v>140</v>
      </c>
      <c r="M136" s="248">
        <f>L136*G143</f>
        <v>6398</v>
      </c>
      <c r="N136" s="231"/>
      <c r="O136" s="256">
        <v>300</v>
      </c>
      <c r="P136" s="248">
        <f>O136*G143</f>
        <v>13710</v>
      </c>
      <c r="Q136" s="231">
        <f>F136+I136+L136+O136</f>
        <v>1340</v>
      </c>
      <c r="R136" s="230">
        <f>G136+J136+M136+P136</f>
        <v>59204</v>
      </c>
      <c r="S136" s="67" t="s">
        <v>82</v>
      </c>
      <c r="T136" s="11"/>
      <c r="U136" s="11"/>
      <c r="V136" s="12"/>
    </row>
    <row r="137" spans="1:22" ht="33.75" customHeight="1">
      <c r="A137" s="34"/>
      <c r="B137" s="360" t="s">
        <v>91</v>
      </c>
      <c r="C137" s="441"/>
      <c r="D137" s="442"/>
      <c r="E137" s="8"/>
      <c r="F137" s="232">
        <v>2486.1</v>
      </c>
      <c r="G137" s="248">
        <f>SUM(F137)*F143</f>
        <v>107996.184</v>
      </c>
      <c r="H137" s="231"/>
      <c r="I137" s="232">
        <v>2486.1</v>
      </c>
      <c r="J137" s="248">
        <f>SUM(I137)*F143</f>
        <v>107996.184</v>
      </c>
      <c r="K137" s="231"/>
      <c r="L137" s="256">
        <v>2486.1</v>
      </c>
      <c r="M137" s="248">
        <f>SUM(L137)*G143</f>
        <v>113614.77</v>
      </c>
      <c r="N137" s="231"/>
      <c r="O137" s="256">
        <v>2486.1</v>
      </c>
      <c r="P137" s="248">
        <f>SUM(O137)*G143</f>
        <v>113614.77</v>
      </c>
      <c r="Q137" s="231">
        <f>F137+I137+L137+O137</f>
        <v>9944.4</v>
      </c>
      <c r="R137" s="230">
        <f>SUM(G137)+J137+M137+P137</f>
        <v>443221.908</v>
      </c>
      <c r="S137" s="67"/>
      <c r="T137" s="11"/>
      <c r="U137" s="11"/>
      <c r="V137" s="12"/>
    </row>
    <row r="138" spans="1:22" ht="33.75" customHeight="1">
      <c r="A138" s="100">
        <v>8</v>
      </c>
      <c r="B138" s="371" t="s">
        <v>96</v>
      </c>
      <c r="C138" s="372"/>
      <c r="D138" s="373"/>
      <c r="E138" s="8"/>
      <c r="F138" s="296">
        <f>SUM(F139:F140)</f>
        <v>25</v>
      </c>
      <c r="G138" s="297">
        <f aca="true" t="shared" si="19" ref="G138:R138">SUM(G139:G140)</f>
        <v>1086</v>
      </c>
      <c r="H138" s="295">
        <f t="shared" si="19"/>
        <v>0</v>
      </c>
      <c r="I138" s="296">
        <f t="shared" si="19"/>
        <v>25</v>
      </c>
      <c r="J138" s="297">
        <f t="shared" si="19"/>
        <v>1086</v>
      </c>
      <c r="K138" s="295">
        <f t="shared" si="19"/>
        <v>0</v>
      </c>
      <c r="L138" s="298">
        <f t="shared" si="19"/>
        <v>25</v>
      </c>
      <c r="M138" s="297">
        <f t="shared" si="19"/>
        <v>1142.5</v>
      </c>
      <c r="N138" s="295">
        <f t="shared" si="19"/>
        <v>0</v>
      </c>
      <c r="O138" s="298">
        <f t="shared" si="19"/>
        <v>25</v>
      </c>
      <c r="P138" s="297">
        <f t="shared" si="19"/>
        <v>1142.5</v>
      </c>
      <c r="Q138" s="295">
        <f t="shared" si="19"/>
        <v>100</v>
      </c>
      <c r="R138" s="299">
        <f t="shared" si="19"/>
        <v>4457</v>
      </c>
      <c r="S138" s="67"/>
      <c r="T138" s="11"/>
      <c r="U138" s="11"/>
      <c r="V138" s="12"/>
    </row>
    <row r="139" spans="1:22" ht="33.75" customHeight="1">
      <c r="A139" s="100"/>
      <c r="B139" s="360" t="s">
        <v>97</v>
      </c>
      <c r="C139" s="441"/>
      <c r="D139" s="442"/>
      <c r="E139" s="8"/>
      <c r="F139" s="232">
        <v>0</v>
      </c>
      <c r="G139" s="248">
        <f>SUM(F139)*F143</f>
        <v>0</v>
      </c>
      <c r="H139" s="231"/>
      <c r="I139" s="232">
        <v>0</v>
      </c>
      <c r="J139" s="248">
        <f>SUM(I139)*F143</f>
        <v>0</v>
      </c>
      <c r="K139" s="231"/>
      <c r="L139" s="256">
        <v>0</v>
      </c>
      <c r="M139" s="248">
        <f>SUM(L139)*G143</f>
        <v>0</v>
      </c>
      <c r="N139" s="231"/>
      <c r="O139" s="256">
        <v>0</v>
      </c>
      <c r="P139" s="248">
        <f>SUM(O139)*G143</f>
        <v>0</v>
      </c>
      <c r="Q139" s="231">
        <f>F139+I139+L139+O139</f>
        <v>0</v>
      </c>
      <c r="R139" s="230">
        <f>SUM(G139)+J139+M139+P139</f>
        <v>0</v>
      </c>
      <c r="S139" s="67"/>
      <c r="T139" s="11"/>
      <c r="U139" s="11"/>
      <c r="V139" s="12"/>
    </row>
    <row r="140" spans="1:22" ht="33.75" customHeight="1">
      <c r="A140" s="100"/>
      <c r="B140" s="360" t="s">
        <v>98</v>
      </c>
      <c r="C140" s="441"/>
      <c r="D140" s="442"/>
      <c r="E140" s="8"/>
      <c r="F140" s="232">
        <v>25</v>
      </c>
      <c r="G140" s="248">
        <f>SUM(F140)*F143</f>
        <v>1086</v>
      </c>
      <c r="H140" s="231"/>
      <c r="I140" s="232">
        <v>25</v>
      </c>
      <c r="J140" s="248">
        <f>SUM(I140)*F143</f>
        <v>1086</v>
      </c>
      <c r="K140" s="231"/>
      <c r="L140" s="256">
        <v>25</v>
      </c>
      <c r="M140" s="248">
        <f>SUM(L140)*G143</f>
        <v>1142.5</v>
      </c>
      <c r="N140" s="231"/>
      <c r="O140" s="256">
        <v>25</v>
      </c>
      <c r="P140" s="248">
        <f>SUM(O140)*G143</f>
        <v>1142.5</v>
      </c>
      <c r="Q140" s="231">
        <f>F140+I140+L140+O140</f>
        <v>100</v>
      </c>
      <c r="R140" s="230">
        <f>SUM(G140)+J140+M140+P140</f>
        <v>4457</v>
      </c>
      <c r="S140" s="67"/>
      <c r="T140" s="11"/>
      <c r="U140" s="11"/>
      <c r="V140" s="12"/>
    </row>
    <row r="141" spans="1:22" ht="35.25">
      <c r="A141" s="51"/>
      <c r="B141" s="394" t="s">
        <v>19</v>
      </c>
      <c r="C141" s="394"/>
      <c r="D141" s="394"/>
      <c r="E141" s="14">
        <f>SUM(E116:E127)</f>
        <v>6764.85</v>
      </c>
      <c r="F141" s="241">
        <f aca="true" t="shared" si="20" ref="F141:M141">F116+F117+F124+F127+F129+F134+F138</f>
        <v>5995.347</v>
      </c>
      <c r="G141" s="257">
        <f t="shared" si="20"/>
        <v>240050.81668</v>
      </c>
      <c r="H141" s="59">
        <f t="shared" si="20"/>
        <v>135.55</v>
      </c>
      <c r="I141" s="241">
        <f t="shared" si="20"/>
        <v>5730.727000000001</v>
      </c>
      <c r="J141" s="257">
        <f t="shared" si="20"/>
        <v>217863.82387999998</v>
      </c>
      <c r="K141" s="59">
        <f t="shared" si="20"/>
        <v>135.55</v>
      </c>
      <c r="L141" s="241">
        <f t="shared" si="20"/>
        <v>5390.525</v>
      </c>
      <c r="M141" s="257">
        <f t="shared" si="20"/>
        <v>213002.45225</v>
      </c>
      <c r="N141" s="59">
        <f>SUM(N116:N127)</f>
        <v>6762.85</v>
      </c>
      <c r="O141" s="241">
        <f>O116+O117+O124+O127+O129+O134+O138</f>
        <v>5795.415000000001</v>
      </c>
      <c r="P141" s="257">
        <f>P116+P117+P124+P127+P129+P134+P138</f>
        <v>232295.08725</v>
      </c>
      <c r="Q141" s="59">
        <f>Q116+Q117+Q124+Q127+Q129+Q134+Q138</f>
        <v>22912.014</v>
      </c>
      <c r="R141" s="242">
        <f>R116+R117+R124+R127+R129+R134+R138</f>
        <v>903212.1800599999</v>
      </c>
      <c r="S141" s="67"/>
      <c r="T141" s="52"/>
      <c r="U141" s="52"/>
      <c r="V141" s="52"/>
    </row>
    <row r="142" spans="1:18" ht="26.25">
      <c r="A142" s="37"/>
      <c r="B142" s="388" t="s">
        <v>17</v>
      </c>
      <c r="C142" s="389"/>
      <c r="D142" s="390"/>
      <c r="E142" s="377" t="s">
        <v>124</v>
      </c>
      <c r="F142" s="377"/>
      <c r="G142" s="377"/>
      <c r="H142" s="377"/>
      <c r="I142" s="377"/>
      <c r="J142" s="377"/>
      <c r="K142" s="377"/>
      <c r="L142" s="377"/>
      <c r="M142" s="377"/>
      <c r="N142" s="377"/>
      <c r="O142" s="377"/>
      <c r="P142" s="377"/>
      <c r="Q142" s="377"/>
      <c r="R142" s="377"/>
    </row>
    <row r="143" spans="1:18" s="12" customFormat="1" ht="26.25">
      <c r="A143" s="5"/>
      <c r="B143" s="5"/>
      <c r="C143" s="5"/>
      <c r="D143" s="181"/>
      <c r="E143" s="181"/>
      <c r="F143" s="181">
        <v>43.44</v>
      </c>
      <c r="G143" s="184">
        <v>45.7</v>
      </c>
      <c r="H143" s="184"/>
      <c r="I143" s="184"/>
      <c r="J143" s="184"/>
      <c r="K143" s="5"/>
      <c r="L143" s="5"/>
      <c r="M143" s="5"/>
      <c r="N143" s="5"/>
      <c r="O143" s="5"/>
      <c r="P143" s="5"/>
      <c r="Q143" s="5"/>
      <c r="R143" s="5"/>
    </row>
    <row r="144" spans="1:18" s="12" customFormat="1" ht="26.25" customHeight="1">
      <c r="A144" s="5"/>
      <c r="B144" s="5"/>
      <c r="C144" s="5"/>
      <c r="D144" s="181"/>
      <c r="E144" s="181"/>
      <c r="F144" s="188">
        <v>12.44</v>
      </c>
      <c r="G144" s="184">
        <v>13.09</v>
      </c>
      <c r="H144" s="184"/>
      <c r="I144" s="184"/>
      <c r="J144" s="184"/>
      <c r="K144" s="5"/>
      <c r="L144" s="5"/>
      <c r="M144" s="5"/>
      <c r="N144" s="5"/>
      <c r="O144" s="5"/>
      <c r="P144" s="5"/>
      <c r="Q144" s="5"/>
      <c r="R144" s="5"/>
    </row>
    <row r="145" spans="1:18" s="12" customFormat="1" ht="26.25">
      <c r="A145" s="5"/>
      <c r="B145" s="5"/>
      <c r="C145" s="5"/>
      <c r="D145" s="181"/>
      <c r="E145" s="181"/>
      <c r="F145" s="181"/>
      <c r="G145" s="181"/>
      <c r="H145" s="118"/>
      <c r="I145" s="181"/>
      <c r="J145" s="181"/>
      <c r="K145" s="5"/>
      <c r="L145" s="5"/>
      <c r="M145" s="5"/>
      <c r="N145" s="5"/>
      <c r="O145" s="5"/>
      <c r="P145" s="5"/>
      <c r="Q145" s="5"/>
      <c r="R145" s="5"/>
    </row>
    <row r="146" spans="1:18" ht="26.25">
      <c r="A146" s="50"/>
      <c r="B146" s="42"/>
      <c r="C146" s="42"/>
      <c r="D146" s="42"/>
      <c r="E146" s="42"/>
      <c r="F146" s="42"/>
      <c r="G146" s="105"/>
      <c r="H146" s="6"/>
      <c r="I146" s="6"/>
      <c r="J146" s="105"/>
      <c r="K146" s="42"/>
      <c r="L146" s="42"/>
      <c r="M146" s="105"/>
      <c r="N146" s="42"/>
      <c r="O146" s="42"/>
      <c r="P146" s="105"/>
      <c r="Q146" s="42"/>
      <c r="R146" s="105"/>
    </row>
    <row r="147" spans="1:18" ht="26.25">
      <c r="A147" s="6"/>
      <c r="B147" s="42"/>
      <c r="C147" s="42"/>
      <c r="D147" s="42"/>
      <c r="E147" s="42"/>
      <c r="F147" s="42"/>
      <c r="G147" s="105"/>
      <c r="H147" s="42"/>
      <c r="I147" s="42"/>
      <c r="J147" s="105"/>
      <c r="K147" s="42"/>
      <c r="L147" s="42"/>
      <c r="M147" s="105"/>
      <c r="N147" s="42"/>
      <c r="O147" s="42"/>
      <c r="P147" s="105"/>
      <c r="Q147" s="42"/>
      <c r="R147" s="105"/>
    </row>
    <row r="148" spans="1:18" ht="26.25">
      <c r="A148" s="6"/>
      <c r="B148" s="6"/>
      <c r="C148" s="6"/>
      <c r="D148" s="6"/>
      <c r="E148" s="6"/>
      <c r="F148" s="6"/>
      <c r="G148" s="105"/>
      <c r="H148" s="6"/>
      <c r="I148" s="6"/>
      <c r="J148" s="105"/>
      <c r="K148" s="6"/>
      <c r="L148" s="6"/>
      <c r="M148" s="105"/>
      <c r="N148" s="6"/>
      <c r="O148" s="6"/>
      <c r="P148" s="105"/>
      <c r="Q148" s="6"/>
      <c r="R148" s="105"/>
    </row>
    <row r="149" spans="1:18" ht="26.25">
      <c r="A149" s="6"/>
      <c r="B149" s="6"/>
      <c r="C149" s="6"/>
      <c r="D149" s="6"/>
      <c r="E149" s="6"/>
      <c r="F149" s="6"/>
      <c r="G149" s="105"/>
      <c r="H149" s="6"/>
      <c r="I149" s="6"/>
      <c r="J149" s="105"/>
      <c r="K149" s="6"/>
      <c r="L149" s="6"/>
      <c r="M149" s="105"/>
      <c r="N149" s="6"/>
      <c r="O149" s="6"/>
      <c r="P149" s="105"/>
      <c r="Q149" s="6"/>
      <c r="R149" s="105"/>
    </row>
    <row r="150" spans="1:18" ht="26.25">
      <c r="A150" s="6"/>
      <c r="B150" s="6"/>
      <c r="C150" s="6"/>
      <c r="D150" s="6"/>
      <c r="E150" s="53"/>
      <c r="K150" s="6"/>
      <c r="L150" s="6"/>
      <c r="M150" s="105"/>
      <c r="N150" s="6"/>
      <c r="O150" s="6"/>
      <c r="P150" s="105"/>
      <c r="Q150" s="6"/>
      <c r="R150" s="105"/>
    </row>
    <row r="151" ht="25.5">
      <c r="E151" s="54" t="s">
        <v>22</v>
      </c>
    </row>
    <row r="152" ht="25.5">
      <c r="E152" s="54" t="s">
        <v>23</v>
      </c>
    </row>
    <row r="153" ht="25.5">
      <c r="E153" s="54" t="s">
        <v>24</v>
      </c>
    </row>
    <row r="154" ht="25.5">
      <c r="E154" s="54" t="s">
        <v>25</v>
      </c>
    </row>
    <row r="155" ht="25.5">
      <c r="E155" s="54" t="s">
        <v>26</v>
      </c>
    </row>
    <row r="156" ht="25.5">
      <c r="E156" s="54" t="s">
        <v>27</v>
      </c>
    </row>
    <row r="157" ht="25.5">
      <c r="E157" s="54" t="s">
        <v>29</v>
      </c>
    </row>
    <row r="158" ht="25.5">
      <c r="E158" s="54" t="s">
        <v>30</v>
      </c>
    </row>
    <row r="159" ht="25.5">
      <c r="E159" s="54" t="s">
        <v>28</v>
      </c>
    </row>
  </sheetData>
  <sheetProtection/>
  <mergeCells count="155">
    <mergeCell ref="B37:D37"/>
    <mergeCell ref="B67:D67"/>
    <mergeCell ref="B68:D68"/>
    <mergeCell ref="B69:D69"/>
    <mergeCell ref="B49:D49"/>
    <mergeCell ref="N9:P9"/>
    <mergeCell ref="A7:R7"/>
    <mergeCell ref="B31:D31"/>
    <mergeCell ref="B22:D22"/>
    <mergeCell ref="B23:D23"/>
    <mergeCell ref="B24:D24"/>
    <mergeCell ref="B14:D14"/>
    <mergeCell ref="B11:D11"/>
    <mergeCell ref="B12:D12"/>
    <mergeCell ref="B13:D13"/>
    <mergeCell ref="B19:D19"/>
    <mergeCell ref="B20:D20"/>
    <mergeCell ref="B21:D21"/>
    <mergeCell ref="P2:R2"/>
    <mergeCell ref="P3:R3"/>
    <mergeCell ref="P5:R5"/>
    <mergeCell ref="A8:R8"/>
    <mergeCell ref="A9:A10"/>
    <mergeCell ref="B9:D10"/>
    <mergeCell ref="E9:G9"/>
    <mergeCell ref="H9:J9"/>
    <mergeCell ref="K9:M9"/>
    <mergeCell ref="Q9:R9"/>
    <mergeCell ref="B15:D15"/>
    <mergeCell ref="B16:D16"/>
    <mergeCell ref="B17:D17"/>
    <mergeCell ref="B18:D18"/>
    <mergeCell ref="B25:D25"/>
    <mergeCell ref="B26:D26"/>
    <mergeCell ref="B27:D27"/>
    <mergeCell ref="B28:D28"/>
    <mergeCell ref="B29:D29"/>
    <mergeCell ref="B30:D30"/>
    <mergeCell ref="B32:D32"/>
    <mergeCell ref="B38:D38"/>
    <mergeCell ref="B33:D33"/>
    <mergeCell ref="B34:D34"/>
    <mergeCell ref="B35:D35"/>
    <mergeCell ref="B36:D36"/>
    <mergeCell ref="B39:D39"/>
    <mergeCell ref="E39:R39"/>
    <mergeCell ref="A42:R42"/>
    <mergeCell ref="A43:A44"/>
    <mergeCell ref="B43:D44"/>
    <mergeCell ref="E43:G43"/>
    <mergeCell ref="H43:J43"/>
    <mergeCell ref="K43:M43"/>
    <mergeCell ref="N43:P43"/>
    <mergeCell ref="Q43:R43"/>
    <mergeCell ref="B45:D45"/>
    <mergeCell ref="B46:D46"/>
    <mergeCell ref="B47:D47"/>
    <mergeCell ref="B48:D48"/>
    <mergeCell ref="B54:D54"/>
    <mergeCell ref="B55:D55"/>
    <mergeCell ref="B50:D50"/>
    <mergeCell ref="B51:D51"/>
    <mergeCell ref="B52:D52"/>
    <mergeCell ref="B53:D53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72:D72"/>
    <mergeCell ref="B73:D73"/>
    <mergeCell ref="B66:D66"/>
    <mergeCell ref="B70:D70"/>
    <mergeCell ref="B71:D71"/>
    <mergeCell ref="E73:R73"/>
    <mergeCell ref="P77:R77"/>
    <mergeCell ref="P78:R78"/>
    <mergeCell ref="P79:R79"/>
    <mergeCell ref="A81:R81"/>
    <mergeCell ref="A82:A83"/>
    <mergeCell ref="B82:D83"/>
    <mergeCell ref="E82:G82"/>
    <mergeCell ref="H82:J82"/>
    <mergeCell ref="K82:M82"/>
    <mergeCell ref="N82:P82"/>
    <mergeCell ref="Q82:R82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9:D109"/>
    <mergeCell ref="B105:D105"/>
    <mergeCell ref="B110:D110"/>
    <mergeCell ref="B107:D107"/>
    <mergeCell ref="B108:D108"/>
    <mergeCell ref="B106:D106"/>
    <mergeCell ref="E110:R110"/>
    <mergeCell ref="A113:R113"/>
    <mergeCell ref="A114:A115"/>
    <mergeCell ref="B114:D115"/>
    <mergeCell ref="E114:G114"/>
    <mergeCell ref="H114:J114"/>
    <mergeCell ref="K114:M114"/>
    <mergeCell ref="N114:P114"/>
    <mergeCell ref="Q114:R114"/>
    <mergeCell ref="B125:D125"/>
    <mergeCell ref="B126:D126"/>
    <mergeCell ref="B127:D127"/>
    <mergeCell ref="B116:D116"/>
    <mergeCell ref="B117:D117"/>
    <mergeCell ref="B118:D118"/>
    <mergeCell ref="B119:D119"/>
    <mergeCell ref="B120:D120"/>
    <mergeCell ref="B121:D121"/>
    <mergeCell ref="B142:D142"/>
    <mergeCell ref="E142:R142"/>
    <mergeCell ref="B138:D138"/>
    <mergeCell ref="B139:D139"/>
    <mergeCell ref="B140:D140"/>
    <mergeCell ref="B128:D128"/>
    <mergeCell ref="B129:D129"/>
    <mergeCell ref="B130:D130"/>
    <mergeCell ref="B131:D131"/>
    <mergeCell ref="B132:D132"/>
    <mergeCell ref="B134:D134"/>
    <mergeCell ref="B135:D135"/>
    <mergeCell ref="B136:D136"/>
    <mergeCell ref="B141:D141"/>
    <mergeCell ref="B133:D133"/>
    <mergeCell ref="B122:D122"/>
    <mergeCell ref="B123:D123"/>
    <mergeCell ref="B124:D124"/>
    <mergeCell ref="B137:D137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6" r:id="rId1"/>
  <rowBreaks count="3" manualBreakCount="3">
    <brk id="41" max="17" man="1"/>
    <brk id="77" max="255" man="1"/>
    <brk id="112" max="255" man="1"/>
  </rowBreaks>
  <colBreaks count="1" manualBreakCount="1">
    <brk id="18" max="1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view="pageBreakPreview" zoomScale="40" zoomScaleNormal="50" zoomScaleSheetLayoutView="40" zoomScalePageLayoutView="0" workbookViewId="0" topLeftCell="A113">
      <selection activeCell="J145" sqref="J145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62.14062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9.421875" style="10" customWidth="1"/>
    <col min="9" max="9" width="2.57421875" style="10" hidden="1" customWidth="1"/>
    <col min="10" max="10" width="29.421875" style="10" customWidth="1"/>
    <col min="11" max="11" width="33.421875" style="10" customWidth="1"/>
    <col min="12" max="12" width="9.8515625" style="10" hidden="1" customWidth="1"/>
    <col min="13" max="13" width="28.140625" style="10" customWidth="1"/>
    <col min="14" max="14" width="34.28125" style="10" customWidth="1"/>
    <col min="15" max="15" width="9.8515625" style="10" hidden="1" customWidth="1"/>
    <col min="16" max="16" width="27.00390625" style="10" customWidth="1"/>
    <col min="17" max="17" width="36.7109375" style="10" customWidth="1"/>
    <col min="18" max="18" width="29.28125" style="10" customWidth="1"/>
    <col min="19" max="19" width="36.7109375" style="10" customWidth="1"/>
    <col min="20" max="20" width="18.00390625" style="67" customWidth="1"/>
    <col min="21" max="21" width="22.421875" style="10" bestFit="1" customWidth="1"/>
    <col min="22" max="22" width="12.8515625" style="10" customWidth="1"/>
    <col min="23" max="23" width="10.8515625" style="10" bestFit="1" customWidth="1"/>
    <col min="24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5"/>
      <c r="R1" s="55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395"/>
      <c r="R2" s="395"/>
      <c r="S2" s="395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395"/>
      <c r="R3" s="395"/>
      <c r="S3" s="395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395"/>
      <c r="R4" s="395"/>
      <c r="S4" s="395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47" t="s">
        <v>66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U6" s="12"/>
      <c r="V6" s="12"/>
      <c r="W6" s="12"/>
    </row>
    <row r="7" spans="1:23" ht="18.75" customHeight="1" hidden="1">
      <c r="A7" s="456" t="s">
        <v>15</v>
      </c>
      <c r="B7" s="450" t="s">
        <v>0</v>
      </c>
      <c r="C7" s="451"/>
      <c r="D7" s="452"/>
      <c r="E7" s="127"/>
      <c r="F7" s="396" t="s">
        <v>1</v>
      </c>
      <c r="G7" s="397"/>
      <c r="H7" s="398"/>
      <c r="I7" s="396" t="s">
        <v>3</v>
      </c>
      <c r="J7" s="397"/>
      <c r="K7" s="398"/>
      <c r="L7" s="396" t="s">
        <v>4</v>
      </c>
      <c r="M7" s="397"/>
      <c r="N7" s="398"/>
      <c r="O7" s="396" t="s">
        <v>6</v>
      </c>
      <c r="P7" s="397"/>
      <c r="Q7" s="398"/>
      <c r="R7" s="396" t="s">
        <v>7</v>
      </c>
      <c r="S7" s="398"/>
      <c r="V7" s="12"/>
      <c r="W7" s="12"/>
    </row>
    <row r="8" spans="1:23" ht="53.25" hidden="1">
      <c r="A8" s="457"/>
      <c r="B8" s="453"/>
      <c r="C8" s="454"/>
      <c r="D8" s="455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4">
        <v>1</v>
      </c>
      <c r="B9" s="458" t="s">
        <v>33</v>
      </c>
      <c r="C9" s="459"/>
      <c r="D9" s="460"/>
      <c r="E9" s="133"/>
      <c r="F9" s="14">
        <v>22.6</v>
      </c>
      <c r="G9" s="56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4">
        <v>2</v>
      </c>
      <c r="B10" s="458" t="s">
        <v>41</v>
      </c>
      <c r="C10" s="459"/>
      <c r="D10" s="460"/>
      <c r="E10" s="133"/>
      <c r="F10" s="14"/>
      <c r="G10" s="56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4"/>
      <c r="B11" s="461" t="s">
        <v>34</v>
      </c>
      <c r="C11" s="462"/>
      <c r="D11" s="463"/>
      <c r="E11" s="134"/>
      <c r="F11" s="14">
        <v>968.6</v>
      </c>
      <c r="G11" s="57">
        <v>780</v>
      </c>
      <c r="H11" s="15">
        <f>G11*G36</f>
        <v>2088855.6</v>
      </c>
      <c r="I11" s="15">
        <v>347.1</v>
      </c>
      <c r="J11" s="15">
        <v>150</v>
      </c>
      <c r="K11" s="15">
        <f>J11*G36</f>
        <v>401703</v>
      </c>
      <c r="L11" s="15">
        <v>138.9</v>
      </c>
      <c r="M11" s="15">
        <v>50</v>
      </c>
      <c r="N11" s="15">
        <f>M11*H36</f>
        <v>149473.5</v>
      </c>
      <c r="O11" s="15">
        <v>879.1</v>
      </c>
      <c r="P11" s="15">
        <v>290</v>
      </c>
      <c r="Q11" s="15">
        <f>P11*H36</f>
        <v>866946.2999999999</v>
      </c>
      <c r="R11" s="15">
        <f t="shared" si="0"/>
        <v>1270</v>
      </c>
      <c r="S11" s="15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4"/>
      <c r="B12" s="461" t="s">
        <v>35</v>
      </c>
      <c r="C12" s="462"/>
      <c r="D12" s="463"/>
      <c r="E12" s="134"/>
      <c r="F12" s="14">
        <v>275.5</v>
      </c>
      <c r="G12" s="57">
        <v>260.8</v>
      </c>
      <c r="H12" s="15">
        <f>G12*G36</f>
        <v>698427.616</v>
      </c>
      <c r="I12" s="15">
        <v>101.3</v>
      </c>
      <c r="J12" s="15">
        <v>82.4</v>
      </c>
      <c r="K12" s="15">
        <f>J12*G36</f>
        <v>220668.84800000003</v>
      </c>
      <c r="L12" s="15">
        <v>40.3</v>
      </c>
      <c r="M12" s="15">
        <v>24.8</v>
      </c>
      <c r="N12" s="15">
        <f>M12*H36</f>
        <v>74138.856</v>
      </c>
      <c r="O12" s="15">
        <v>245.5</v>
      </c>
      <c r="P12" s="15">
        <v>214.4</v>
      </c>
      <c r="Q12" s="15">
        <f>P12*H36</f>
        <v>640942.368</v>
      </c>
      <c r="R12" s="15">
        <f t="shared" si="0"/>
        <v>582.4000000000001</v>
      </c>
      <c r="S12" s="15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4"/>
      <c r="B13" s="461" t="s">
        <v>36</v>
      </c>
      <c r="C13" s="462"/>
      <c r="D13" s="463"/>
      <c r="E13" s="134"/>
      <c r="F13" s="14">
        <v>1020.1</v>
      </c>
      <c r="G13" s="57">
        <v>993.2</v>
      </c>
      <c r="H13" s="15">
        <f>G13*G36</f>
        <v>2659809.464</v>
      </c>
      <c r="I13" s="15">
        <v>343</v>
      </c>
      <c r="J13" s="15">
        <v>313.8</v>
      </c>
      <c r="K13" s="15">
        <f>J13*G36</f>
        <v>840362.676</v>
      </c>
      <c r="L13" s="15">
        <v>122.2</v>
      </c>
      <c r="M13" s="15">
        <v>95.1</v>
      </c>
      <c r="N13" s="15">
        <f>M13*H36</f>
        <v>284298.59699999995</v>
      </c>
      <c r="O13" s="15">
        <v>920.9</v>
      </c>
      <c r="P13" s="15">
        <v>816.6</v>
      </c>
      <c r="Q13" s="15">
        <f>P13*H36</f>
        <v>2441201.202</v>
      </c>
      <c r="R13" s="15">
        <f t="shared" si="0"/>
        <v>2218.7</v>
      </c>
      <c r="S13" s="15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61" t="s">
        <v>37</v>
      </c>
      <c r="C14" s="462"/>
      <c r="D14" s="463"/>
      <c r="E14" s="134"/>
      <c r="F14" s="8">
        <v>186.3</v>
      </c>
      <c r="G14" s="57">
        <v>215.9</v>
      </c>
      <c r="H14" s="15">
        <f>G14*G36</f>
        <v>578184.518</v>
      </c>
      <c r="I14" s="15">
        <v>55.3</v>
      </c>
      <c r="J14" s="15">
        <v>74.5</v>
      </c>
      <c r="K14" s="15">
        <f>J14*G36</f>
        <v>199512.49</v>
      </c>
      <c r="L14" s="15">
        <v>2.8</v>
      </c>
      <c r="M14" s="15">
        <v>24.7</v>
      </c>
      <c r="N14" s="15">
        <f>M14*H36</f>
        <v>73839.909</v>
      </c>
      <c r="O14" s="15">
        <v>158.5</v>
      </c>
      <c r="P14" s="15">
        <v>181.1</v>
      </c>
      <c r="Q14" s="15">
        <f>P14*H36</f>
        <v>541393.017</v>
      </c>
      <c r="R14" s="15">
        <f t="shared" si="0"/>
        <v>496.19999999999993</v>
      </c>
      <c r="S14" s="15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61" t="s">
        <v>38</v>
      </c>
      <c r="C15" s="462"/>
      <c r="D15" s="463"/>
      <c r="E15" s="134"/>
      <c r="F15" s="8">
        <v>619</v>
      </c>
      <c r="G15" s="57">
        <v>550.4</v>
      </c>
      <c r="H15" s="15">
        <f>G15*G36</f>
        <v>1473982.2079999999</v>
      </c>
      <c r="I15" s="15">
        <v>532.4</v>
      </c>
      <c r="J15" s="15">
        <v>193.1</v>
      </c>
      <c r="K15" s="15">
        <f>J15*G36</f>
        <v>517125.66199999995</v>
      </c>
      <c r="L15" s="15">
        <v>142.3</v>
      </c>
      <c r="M15" s="15">
        <v>65</v>
      </c>
      <c r="N15" s="15">
        <f>M15*H36</f>
        <v>194315.55</v>
      </c>
      <c r="O15" s="15">
        <v>646.5</v>
      </c>
      <c r="P15" s="15">
        <v>463.1</v>
      </c>
      <c r="Q15" s="15">
        <f>P15*H36</f>
        <v>1384423.557</v>
      </c>
      <c r="R15" s="15">
        <f t="shared" si="0"/>
        <v>1271.6</v>
      </c>
      <c r="S15" s="15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61" t="s">
        <v>39</v>
      </c>
      <c r="C16" s="462"/>
      <c r="D16" s="463"/>
      <c r="E16" s="134"/>
      <c r="F16" s="8">
        <v>277.52</v>
      </c>
      <c r="G16" s="57">
        <v>247.4</v>
      </c>
      <c r="H16" s="15">
        <f>G16*G36</f>
        <v>662542.148</v>
      </c>
      <c r="I16" s="15">
        <v>129</v>
      </c>
      <c r="J16" s="15">
        <v>80.4</v>
      </c>
      <c r="K16" s="15">
        <f>J16*G36</f>
        <v>215312.80800000002</v>
      </c>
      <c r="L16" s="15">
        <v>7.2</v>
      </c>
      <c r="M16" s="15">
        <v>24.7</v>
      </c>
      <c r="N16" s="15">
        <f>M16*H36</f>
        <v>73839.909</v>
      </c>
      <c r="O16" s="15">
        <v>182.6</v>
      </c>
      <c r="P16" s="15">
        <v>204.3</v>
      </c>
      <c r="Q16" s="15">
        <f>P16*H36</f>
        <v>610748.721</v>
      </c>
      <c r="R16" s="15">
        <f t="shared" si="0"/>
        <v>556.8</v>
      </c>
      <c r="S16" s="15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4">
        <v>3</v>
      </c>
      <c r="B17" s="458" t="s">
        <v>42</v>
      </c>
      <c r="C17" s="459"/>
      <c r="D17" s="460"/>
      <c r="E17" s="133"/>
      <c r="F17" s="8"/>
      <c r="G17" s="56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4">
        <v>4</v>
      </c>
      <c r="B18" s="458" t="s">
        <v>43</v>
      </c>
      <c r="C18" s="459"/>
      <c r="D18" s="460"/>
      <c r="E18" s="133"/>
      <c r="F18" s="8"/>
      <c r="G18" s="56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61" t="s">
        <v>44</v>
      </c>
      <c r="C19" s="462"/>
      <c r="D19" s="463"/>
      <c r="E19" s="134"/>
      <c r="F19" s="8"/>
      <c r="G19" s="57">
        <v>23.3</v>
      </c>
      <c r="H19" s="15">
        <f>G19*G36</f>
        <v>62397.866</v>
      </c>
      <c r="I19" s="15"/>
      <c r="J19" s="15">
        <v>7.5</v>
      </c>
      <c r="K19" s="15">
        <f>J19*G36</f>
        <v>20085.15</v>
      </c>
      <c r="L19" s="15"/>
      <c r="M19" s="15">
        <v>2.4</v>
      </c>
      <c r="N19" s="15">
        <f>M19*H36</f>
        <v>7174.727999999999</v>
      </c>
      <c r="O19" s="15"/>
      <c r="P19" s="15">
        <v>19.3</v>
      </c>
      <c r="Q19" s="15">
        <f>P19*H36</f>
        <v>57696.771</v>
      </c>
      <c r="R19" s="15">
        <f aca="true" t="shared" si="3" ref="R19:S21">G19+J19+M19+P19</f>
        <v>52.5</v>
      </c>
      <c r="S19" s="15">
        <f t="shared" si="3"/>
        <v>147354.515</v>
      </c>
      <c r="U19" s="11"/>
      <c r="V19" s="11"/>
      <c r="W19" s="12"/>
    </row>
    <row r="20" spans="1:23" ht="25.5" customHeight="1" hidden="1">
      <c r="A20" s="8"/>
      <c r="B20" s="461" t="s">
        <v>45</v>
      </c>
      <c r="C20" s="462"/>
      <c r="D20" s="463"/>
      <c r="E20" s="134"/>
      <c r="F20" s="8"/>
      <c r="G20" s="57">
        <v>2.4</v>
      </c>
      <c r="H20" s="15">
        <f>G20*G36</f>
        <v>6427.248</v>
      </c>
      <c r="I20" s="15"/>
      <c r="J20" s="15">
        <v>0.8</v>
      </c>
      <c r="K20" s="15">
        <f>J20*G36</f>
        <v>2142.416</v>
      </c>
      <c r="L20" s="15"/>
      <c r="M20" s="15">
        <v>0.2</v>
      </c>
      <c r="N20" s="15">
        <f>M20*H36</f>
        <v>597.894</v>
      </c>
      <c r="O20" s="15"/>
      <c r="P20" s="15">
        <v>2</v>
      </c>
      <c r="Q20" s="15">
        <f>P20*H36</f>
        <v>5978.94</v>
      </c>
      <c r="R20" s="15">
        <f t="shared" si="3"/>
        <v>5.4</v>
      </c>
      <c r="S20" s="15">
        <f t="shared" si="3"/>
        <v>15146.498</v>
      </c>
      <c r="U20" s="11"/>
      <c r="V20" s="11"/>
      <c r="W20" s="12"/>
    </row>
    <row r="21" spans="1:23" ht="26.25" customHeight="1" hidden="1">
      <c r="A21" s="8"/>
      <c r="B21" s="461" t="s">
        <v>46</v>
      </c>
      <c r="C21" s="462"/>
      <c r="D21" s="463"/>
      <c r="E21" s="134"/>
      <c r="F21" s="8"/>
      <c r="G21" s="57">
        <v>14.7</v>
      </c>
      <c r="H21" s="15">
        <f>G21*G36</f>
        <v>39366.894</v>
      </c>
      <c r="I21" s="15"/>
      <c r="J21" s="15">
        <v>4.9</v>
      </c>
      <c r="K21" s="15">
        <f>J21*G36</f>
        <v>13122.298</v>
      </c>
      <c r="L21" s="15"/>
      <c r="M21" s="15">
        <v>1.6</v>
      </c>
      <c r="N21" s="15">
        <f>M21*H36</f>
        <v>4783.152</v>
      </c>
      <c r="O21" s="15"/>
      <c r="P21" s="15">
        <v>12.2</v>
      </c>
      <c r="Q21" s="15">
        <f>P21*H36</f>
        <v>36471.53399999999</v>
      </c>
      <c r="R21" s="15">
        <f t="shared" si="3"/>
        <v>33.400000000000006</v>
      </c>
      <c r="S21" s="15">
        <f t="shared" si="3"/>
        <v>93743.878</v>
      </c>
      <c r="U21" s="11"/>
      <c r="V21" s="11"/>
      <c r="W21" s="12"/>
    </row>
    <row r="22" spans="1:23" ht="29.25" customHeight="1" hidden="1">
      <c r="A22" s="14">
        <v>5</v>
      </c>
      <c r="B22" s="458" t="s">
        <v>47</v>
      </c>
      <c r="C22" s="459"/>
      <c r="D22" s="460"/>
      <c r="E22" s="133"/>
      <c r="F22" s="8"/>
      <c r="G22" s="56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61" t="s">
        <v>48</v>
      </c>
      <c r="C23" s="462"/>
      <c r="D23" s="463"/>
      <c r="E23" s="134"/>
      <c r="F23" s="8"/>
      <c r="G23" s="57">
        <v>19.7</v>
      </c>
      <c r="H23" s="15">
        <f>G23*G36</f>
        <v>52756.994</v>
      </c>
      <c r="I23" s="15"/>
      <c r="J23" s="15">
        <v>6.7</v>
      </c>
      <c r="K23" s="15">
        <f>J23*G36</f>
        <v>17942.734</v>
      </c>
      <c r="L23" s="15"/>
      <c r="M23" s="15">
        <v>2.3</v>
      </c>
      <c r="N23" s="15">
        <f>M23*H36</f>
        <v>6875.780999999999</v>
      </c>
      <c r="O23" s="15"/>
      <c r="P23" s="15">
        <v>17.2</v>
      </c>
      <c r="Q23" s="15">
        <f>P23*H36</f>
        <v>51418.88399999999</v>
      </c>
      <c r="R23" s="15">
        <f aca="true" t="shared" si="4" ref="R23:S28">G23+J23+M23+P23</f>
        <v>45.9</v>
      </c>
      <c r="S23" s="15">
        <f t="shared" si="4"/>
        <v>128994.393</v>
      </c>
      <c r="U23" s="11"/>
      <c r="V23" s="11"/>
      <c r="W23" s="12"/>
    </row>
    <row r="24" spans="1:23" ht="28.5" customHeight="1" hidden="1">
      <c r="A24" s="8"/>
      <c r="B24" s="461" t="s">
        <v>49</v>
      </c>
      <c r="C24" s="462"/>
      <c r="D24" s="463"/>
      <c r="E24" s="134"/>
      <c r="F24" s="8"/>
      <c r="G24" s="57">
        <v>317.5</v>
      </c>
      <c r="H24" s="15">
        <f>G24*G36</f>
        <v>850271.35</v>
      </c>
      <c r="I24" s="15"/>
      <c r="J24" s="15">
        <v>111.7</v>
      </c>
      <c r="K24" s="15">
        <f>J24*G36</f>
        <v>299134.83400000003</v>
      </c>
      <c r="L24" s="15"/>
      <c r="M24" s="15">
        <v>5.7</v>
      </c>
      <c r="N24" s="15">
        <f>M24*H36</f>
        <v>17039.979</v>
      </c>
      <c r="O24" s="15"/>
      <c r="P24" s="15">
        <v>205.7</v>
      </c>
      <c r="Q24" s="15">
        <f>P24*H36</f>
        <v>614933.9789999999</v>
      </c>
      <c r="R24" s="15">
        <f t="shared" si="4"/>
        <v>640.5999999999999</v>
      </c>
      <c r="S24" s="15">
        <f t="shared" si="4"/>
        <v>1781380.142</v>
      </c>
      <c r="U24" s="11"/>
      <c r="V24" s="11"/>
      <c r="W24" s="12"/>
    </row>
    <row r="25" spans="1:23" ht="32.25" customHeight="1" hidden="1">
      <c r="A25" s="8"/>
      <c r="B25" s="461" t="s">
        <v>50</v>
      </c>
      <c r="C25" s="462"/>
      <c r="D25" s="463"/>
      <c r="E25" s="134"/>
      <c r="F25" s="8"/>
      <c r="G25" s="57">
        <v>88.5</v>
      </c>
      <c r="H25" s="15">
        <f>G25*G36</f>
        <v>237004.77</v>
      </c>
      <c r="I25" s="15"/>
      <c r="J25" s="15">
        <v>28.3</v>
      </c>
      <c r="K25" s="15">
        <f>J25*G36</f>
        <v>75787.966</v>
      </c>
      <c r="L25" s="15"/>
      <c r="M25" s="15">
        <v>4.8</v>
      </c>
      <c r="N25" s="15">
        <f>M25*H36</f>
        <v>14349.455999999998</v>
      </c>
      <c r="O25" s="15"/>
      <c r="P25" s="15">
        <v>76.4</v>
      </c>
      <c r="Q25" s="15">
        <f>P25*H36</f>
        <v>228395.508</v>
      </c>
      <c r="R25" s="15">
        <f t="shared" si="4"/>
        <v>198</v>
      </c>
      <c r="S25" s="15">
        <f t="shared" si="4"/>
        <v>555537.7</v>
      </c>
      <c r="U25" s="11"/>
      <c r="V25" s="11"/>
      <c r="W25" s="12"/>
    </row>
    <row r="26" spans="1:23" ht="28.5" customHeight="1" hidden="1">
      <c r="A26" s="8"/>
      <c r="B26" s="461" t="s">
        <v>40</v>
      </c>
      <c r="C26" s="462"/>
      <c r="D26" s="463"/>
      <c r="E26" s="134"/>
      <c r="F26" s="8">
        <v>112.1</v>
      </c>
      <c r="G26" s="57">
        <v>70.8</v>
      </c>
      <c r="H26" s="15">
        <f>G26*G36</f>
        <v>189603.816</v>
      </c>
      <c r="I26" s="15"/>
      <c r="J26" s="15">
        <v>33.6</v>
      </c>
      <c r="K26" s="15">
        <f>J26*G36</f>
        <v>89981.47200000001</v>
      </c>
      <c r="L26" s="15"/>
      <c r="M26" s="15">
        <v>6.8</v>
      </c>
      <c r="N26" s="15">
        <f>M26*H36</f>
        <v>20328.395999999997</v>
      </c>
      <c r="O26" s="15"/>
      <c r="P26" s="15">
        <v>40.5</v>
      </c>
      <c r="Q26" s="15">
        <f>P26*H36</f>
        <v>121073.53499999999</v>
      </c>
      <c r="R26" s="15">
        <f t="shared" si="4"/>
        <v>151.7</v>
      </c>
      <c r="S26" s="15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61" t="s">
        <v>51</v>
      </c>
      <c r="C27" s="462"/>
      <c r="D27" s="463"/>
      <c r="E27" s="134"/>
      <c r="F27" s="8">
        <v>87.8</v>
      </c>
      <c r="G27" s="57">
        <v>30.2</v>
      </c>
      <c r="H27" s="15">
        <f>G27*G36</f>
        <v>80876.204</v>
      </c>
      <c r="I27" s="15"/>
      <c r="J27" s="15">
        <v>9.6</v>
      </c>
      <c r="K27" s="15">
        <f>J27*G36</f>
        <v>25708.992</v>
      </c>
      <c r="L27" s="15"/>
      <c r="M27" s="15">
        <v>3.1</v>
      </c>
      <c r="N27" s="15">
        <f>M27*H36</f>
        <v>9267.357</v>
      </c>
      <c r="O27" s="15"/>
      <c r="P27" s="15">
        <v>25.9</v>
      </c>
      <c r="Q27" s="15">
        <f>P27*H36</f>
        <v>77427.27299999999</v>
      </c>
      <c r="R27" s="15">
        <f t="shared" si="4"/>
        <v>68.8</v>
      </c>
      <c r="S27" s="15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61" t="s">
        <v>52</v>
      </c>
      <c r="C28" s="462"/>
      <c r="D28" s="463"/>
      <c r="E28" s="134"/>
      <c r="F28" s="8">
        <v>331.5</v>
      </c>
      <c r="G28" s="57">
        <v>63</v>
      </c>
      <c r="H28" s="15">
        <f>G28*G36</f>
        <v>168715.26</v>
      </c>
      <c r="I28" s="15"/>
      <c r="J28" s="15">
        <v>27</v>
      </c>
      <c r="K28" s="15">
        <f>J28*G36</f>
        <v>72306.54</v>
      </c>
      <c r="L28" s="15"/>
      <c r="M28" s="15">
        <v>2.1</v>
      </c>
      <c r="N28" s="15">
        <f>M28*H36</f>
        <v>6277.887</v>
      </c>
      <c r="O28" s="15"/>
      <c r="P28" s="15">
        <v>42.2</v>
      </c>
      <c r="Q28" s="15">
        <f>P28*H36</f>
        <v>126155.634</v>
      </c>
      <c r="R28" s="15">
        <f t="shared" si="4"/>
        <v>134.3</v>
      </c>
      <c r="S28" s="15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4">
        <v>6</v>
      </c>
      <c r="B29" s="458" t="s">
        <v>53</v>
      </c>
      <c r="C29" s="459"/>
      <c r="D29" s="460"/>
      <c r="E29" s="133"/>
      <c r="F29" s="8"/>
      <c r="G29" s="56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61" t="s">
        <v>54</v>
      </c>
      <c r="C30" s="462"/>
      <c r="D30" s="463"/>
      <c r="E30" s="134"/>
      <c r="F30" s="8"/>
      <c r="G30" s="57">
        <v>87.6</v>
      </c>
      <c r="H30" s="15">
        <f>G30*G36</f>
        <v>234594.552</v>
      </c>
      <c r="I30" s="15"/>
      <c r="J30" s="15">
        <v>30.2</v>
      </c>
      <c r="K30" s="15">
        <f>J30*G36</f>
        <v>80876.204</v>
      </c>
      <c r="L30" s="15"/>
      <c r="M30" s="15">
        <v>10.1</v>
      </c>
      <c r="N30" s="15">
        <f>M30*H36</f>
        <v>30193.646999999997</v>
      </c>
      <c r="O30" s="15"/>
      <c r="P30" s="15">
        <v>73.6</v>
      </c>
      <c r="Q30" s="15">
        <f>P30*H36</f>
        <v>220024.99199999997</v>
      </c>
      <c r="R30" s="15">
        <f aca="true" t="shared" si="5" ref="R30:S32">G30+J30+M30+P30</f>
        <v>201.5</v>
      </c>
      <c r="S30" s="15">
        <f t="shared" si="5"/>
        <v>565689.395</v>
      </c>
      <c r="U30" s="11"/>
      <c r="V30" s="11"/>
      <c r="W30" s="12"/>
    </row>
    <row r="31" spans="1:23" ht="27" customHeight="1" hidden="1">
      <c r="A31" s="8"/>
      <c r="B31" s="461" t="s">
        <v>55</v>
      </c>
      <c r="C31" s="462"/>
      <c r="D31" s="463"/>
      <c r="E31" s="134"/>
      <c r="F31" s="8"/>
      <c r="G31" s="57">
        <v>137.2</v>
      </c>
      <c r="H31" s="15">
        <f>G31*G36</f>
        <v>367424.344</v>
      </c>
      <c r="I31" s="15"/>
      <c r="J31" s="15">
        <v>43.4</v>
      </c>
      <c r="K31" s="15">
        <f>J31*G36</f>
        <v>116226.068</v>
      </c>
      <c r="L31" s="15"/>
      <c r="M31" s="15">
        <v>13.1</v>
      </c>
      <c r="N31" s="15">
        <f>M31*H36</f>
        <v>39162.05699999999</v>
      </c>
      <c r="O31" s="15"/>
      <c r="P31" s="15">
        <v>112.8</v>
      </c>
      <c r="Q31" s="15">
        <f>P31*H36</f>
        <v>337212.21599999996</v>
      </c>
      <c r="R31" s="15">
        <f t="shared" si="5"/>
        <v>306.5</v>
      </c>
      <c r="S31" s="15">
        <f t="shared" si="5"/>
        <v>860024.6849999999</v>
      </c>
      <c r="U31" s="11"/>
      <c r="V31" s="11"/>
      <c r="W31" s="12"/>
    </row>
    <row r="32" spans="1:23" ht="27" customHeight="1" hidden="1">
      <c r="A32" s="14">
        <v>7</v>
      </c>
      <c r="B32" s="458" t="s">
        <v>56</v>
      </c>
      <c r="C32" s="459"/>
      <c r="D32" s="460"/>
      <c r="E32" s="133"/>
      <c r="F32" s="8"/>
      <c r="G32" s="56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64" t="s">
        <v>19</v>
      </c>
      <c r="C33" s="465"/>
      <c r="D33" s="466"/>
      <c r="E33" s="135"/>
      <c r="F33" s="14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19"/>
      <c r="V33" s="12"/>
      <c r="W33" s="12"/>
    </row>
    <row r="34" spans="1:23" ht="25.5" customHeight="1" hidden="1">
      <c r="A34" s="58"/>
      <c r="B34" s="467" t="s">
        <v>8</v>
      </c>
      <c r="C34" s="468"/>
      <c r="D34" s="469"/>
      <c r="E34" s="136"/>
      <c r="F34" s="396" t="s">
        <v>64</v>
      </c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8"/>
      <c r="U34" s="12"/>
      <c r="V34" s="12"/>
      <c r="W34" s="12"/>
    </row>
    <row r="35" spans="1:23" ht="15.75" customHeight="1" hidden="1">
      <c r="A35" s="21"/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U35" s="12"/>
      <c r="V35" s="12"/>
      <c r="W35" s="12"/>
    </row>
    <row r="36" spans="1:23" ht="28.5" customHeight="1" hidden="1">
      <c r="A36" s="24"/>
      <c r="B36" s="25"/>
      <c r="C36" s="25"/>
      <c r="D36" s="26"/>
      <c r="E36" s="26"/>
      <c r="F36" s="27" t="s">
        <v>11</v>
      </c>
      <c r="G36" s="3">
        <v>2678.02</v>
      </c>
      <c r="H36" s="4">
        <v>2989.47</v>
      </c>
      <c r="I36" s="27" t="s">
        <v>16</v>
      </c>
      <c r="J36" s="27"/>
      <c r="K36" s="27"/>
      <c r="L36" s="27"/>
      <c r="M36" s="27"/>
      <c r="N36" s="25"/>
      <c r="O36" s="28"/>
      <c r="P36" s="28"/>
      <c r="Q36" s="28"/>
      <c r="R36" s="28"/>
      <c r="S36" s="28"/>
      <c r="U36" s="12"/>
      <c r="V36" s="12"/>
      <c r="W36" s="12"/>
    </row>
    <row r="37" spans="1:23" ht="20.25" customHeight="1" hidden="1">
      <c r="A37" s="447" t="s">
        <v>67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U37" s="12"/>
      <c r="V37" s="12"/>
      <c r="W37" s="12"/>
    </row>
    <row r="38" spans="1:23" ht="19.5" customHeight="1" hidden="1">
      <c r="A38" s="449" t="s">
        <v>15</v>
      </c>
      <c r="B38" s="450" t="s">
        <v>0</v>
      </c>
      <c r="C38" s="451"/>
      <c r="D38" s="452"/>
      <c r="E38" s="128"/>
      <c r="F38" s="377" t="s">
        <v>1</v>
      </c>
      <c r="G38" s="377"/>
      <c r="H38" s="377"/>
      <c r="I38" s="377" t="s">
        <v>3</v>
      </c>
      <c r="J38" s="377"/>
      <c r="K38" s="377"/>
      <c r="L38" s="377" t="s">
        <v>4</v>
      </c>
      <c r="M38" s="377"/>
      <c r="N38" s="377"/>
      <c r="O38" s="377" t="s">
        <v>6</v>
      </c>
      <c r="P38" s="377"/>
      <c r="Q38" s="377"/>
      <c r="R38" s="377" t="s">
        <v>7</v>
      </c>
      <c r="S38" s="377"/>
      <c r="U38" s="12"/>
      <c r="V38" s="12"/>
      <c r="W38" s="12"/>
    </row>
    <row r="39" spans="1:23" ht="30" customHeight="1" hidden="1">
      <c r="A39" s="449"/>
      <c r="B39" s="453"/>
      <c r="C39" s="454"/>
      <c r="D39" s="455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0">
        <v>1</v>
      </c>
      <c r="B40" s="470" t="s">
        <v>33</v>
      </c>
      <c r="C40" s="471"/>
      <c r="D40" s="472"/>
      <c r="E40" s="137"/>
      <c r="F40" s="30">
        <v>1800</v>
      </c>
      <c r="G40" s="31">
        <v>1750</v>
      </c>
      <c r="H40" s="31">
        <f>G40*G65</f>
        <v>8792.7</v>
      </c>
      <c r="I40" s="31">
        <v>1200</v>
      </c>
      <c r="J40" s="31">
        <v>1750</v>
      </c>
      <c r="K40" s="31">
        <f>J40*G65</f>
        <v>8792.7</v>
      </c>
      <c r="L40" s="31">
        <v>1500</v>
      </c>
      <c r="M40" s="31">
        <v>1750</v>
      </c>
      <c r="N40" s="31">
        <f>M40*H65</f>
        <v>9759.75</v>
      </c>
      <c r="O40" s="31">
        <v>1500</v>
      </c>
      <c r="P40" s="31">
        <v>1751.1</v>
      </c>
      <c r="Q40" s="31">
        <f>P40*H65</f>
        <v>9765.884699999999</v>
      </c>
      <c r="R40" s="31">
        <f>G40+J40+M40+P40</f>
        <v>7001.1</v>
      </c>
      <c r="S40" s="31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4">
        <v>2</v>
      </c>
      <c r="B41" s="458" t="s">
        <v>41</v>
      </c>
      <c r="C41" s="459"/>
      <c r="D41" s="460"/>
      <c r="E41" s="133"/>
      <c r="F41" s="30"/>
      <c r="G41" s="31">
        <f>G42+G43+G44+G45+G46+G47</f>
        <v>181078</v>
      </c>
      <c r="H41" s="31">
        <f>H42+H43+H44+H45+H46+H47</f>
        <v>909808.3032000001</v>
      </c>
      <c r="I41" s="31"/>
      <c r="J41" s="31">
        <f>J42+J43+J44+J45+J46+J47</f>
        <v>182881</v>
      </c>
      <c r="K41" s="31">
        <f>K42+K43+K44+K45+K46+K47</f>
        <v>918867.2964000001</v>
      </c>
      <c r="L41" s="31"/>
      <c r="M41" s="31">
        <f>M42+M43+M44+M45+M46+M47</f>
        <v>167091</v>
      </c>
      <c r="N41" s="31">
        <f>N42+N43+N44+N45+N46+N47</f>
        <v>931866.507</v>
      </c>
      <c r="O41" s="31"/>
      <c r="P41" s="31">
        <f>P42+P43+P44+P45+P46+P47</f>
        <v>250747</v>
      </c>
      <c r="Q41" s="31">
        <f>Q42+Q43+Q44+Q45+Q46+Q47</f>
        <v>1398416.019</v>
      </c>
      <c r="R41" s="31">
        <f>R42+R43+R44+R45+R46+R47</f>
        <v>781797</v>
      </c>
      <c r="S41" s="31">
        <f>S42+S43+S44+S45+S46+S47</f>
        <v>4158958.1255999994</v>
      </c>
      <c r="U41" s="12"/>
      <c r="V41" s="11"/>
      <c r="W41" s="12"/>
    </row>
    <row r="42" spans="1:23" ht="33" customHeight="1" hidden="1">
      <c r="A42" s="14"/>
      <c r="B42" s="461" t="s">
        <v>34</v>
      </c>
      <c r="C42" s="462"/>
      <c r="D42" s="463"/>
      <c r="E42" s="134"/>
      <c r="F42" s="14">
        <v>53000</v>
      </c>
      <c r="G42" s="15">
        <v>40000</v>
      </c>
      <c r="H42" s="15">
        <f>G42*G65</f>
        <v>200976</v>
      </c>
      <c r="I42" s="15">
        <v>36000</v>
      </c>
      <c r="J42" s="15">
        <v>43500</v>
      </c>
      <c r="K42" s="15">
        <f>J42*G65</f>
        <v>218561.4</v>
      </c>
      <c r="L42" s="15">
        <v>24000</v>
      </c>
      <c r="M42" s="15">
        <v>25200</v>
      </c>
      <c r="N42" s="15">
        <f>M42*H65</f>
        <v>140540.4</v>
      </c>
      <c r="O42" s="15">
        <v>50000</v>
      </c>
      <c r="P42" s="15">
        <v>64000</v>
      </c>
      <c r="Q42" s="15">
        <f>P42*H65</f>
        <v>356928</v>
      </c>
      <c r="R42" s="15">
        <f aca="true" t="shared" si="7" ref="R42:S48">G42+J42+M42+P42</f>
        <v>172700</v>
      </c>
      <c r="S42" s="15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0"/>
      <c r="B43" s="473" t="s">
        <v>57</v>
      </c>
      <c r="C43" s="474"/>
      <c r="D43" s="475"/>
      <c r="E43" s="138"/>
      <c r="F43" s="30">
        <v>27000</v>
      </c>
      <c r="G43" s="33">
        <v>23250</v>
      </c>
      <c r="H43" s="33">
        <f>G43*G65</f>
        <v>116817.3</v>
      </c>
      <c r="I43" s="33">
        <v>17000</v>
      </c>
      <c r="J43" s="33">
        <v>17820</v>
      </c>
      <c r="K43" s="33">
        <f>J43*G65</f>
        <v>89534.808</v>
      </c>
      <c r="L43" s="33">
        <v>19000</v>
      </c>
      <c r="M43" s="33">
        <v>18549</v>
      </c>
      <c r="N43" s="33">
        <f>M43*H65</f>
        <v>103447.773</v>
      </c>
      <c r="O43" s="33">
        <v>41000</v>
      </c>
      <c r="P43" s="33">
        <v>35010</v>
      </c>
      <c r="Q43" s="33">
        <f>P43*H65</f>
        <v>195250.77</v>
      </c>
      <c r="R43" s="33">
        <f t="shared" si="7"/>
        <v>94629</v>
      </c>
      <c r="S43" s="33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4"/>
      <c r="B44" s="461" t="s">
        <v>36</v>
      </c>
      <c r="C44" s="462"/>
      <c r="D44" s="463"/>
      <c r="E44" s="134"/>
      <c r="F44" s="14">
        <v>70000</v>
      </c>
      <c r="G44" s="15">
        <v>29500</v>
      </c>
      <c r="H44" s="15">
        <f>G44*G65</f>
        <v>148219.8</v>
      </c>
      <c r="I44" s="15">
        <v>55000</v>
      </c>
      <c r="J44" s="15">
        <v>46750</v>
      </c>
      <c r="K44" s="15">
        <f>J44*G65</f>
        <v>234890.7</v>
      </c>
      <c r="L44" s="15">
        <v>45000</v>
      </c>
      <c r="M44" s="15">
        <v>38250</v>
      </c>
      <c r="N44" s="15">
        <f>M44*H65</f>
        <v>213320.25</v>
      </c>
      <c r="O44" s="15">
        <v>70000</v>
      </c>
      <c r="P44" s="15">
        <v>39500</v>
      </c>
      <c r="Q44" s="15">
        <f>P44*H65</f>
        <v>220291.5</v>
      </c>
      <c r="R44" s="15">
        <f t="shared" si="7"/>
        <v>154000</v>
      </c>
      <c r="S44" s="15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76" t="s">
        <v>37</v>
      </c>
      <c r="C45" s="476"/>
      <c r="D45" s="476"/>
      <c r="E45" s="139"/>
      <c r="F45" s="8">
        <v>17000</v>
      </c>
      <c r="G45" s="15">
        <v>49478</v>
      </c>
      <c r="H45" s="15">
        <f>G45*G65</f>
        <v>248597.2632</v>
      </c>
      <c r="I45" s="15">
        <v>14000</v>
      </c>
      <c r="J45" s="15">
        <v>40561</v>
      </c>
      <c r="K45" s="15">
        <f>J45*G65</f>
        <v>203794.68839999998</v>
      </c>
      <c r="L45" s="15">
        <v>13000</v>
      </c>
      <c r="M45" s="15">
        <v>34292</v>
      </c>
      <c r="N45" s="15">
        <f>M45*H65</f>
        <v>191246.484</v>
      </c>
      <c r="O45" s="15">
        <v>24000</v>
      </c>
      <c r="P45" s="15">
        <v>62737</v>
      </c>
      <c r="Q45" s="15">
        <f>P45*H65</f>
        <v>349884.249</v>
      </c>
      <c r="R45" s="15">
        <f t="shared" si="7"/>
        <v>187068</v>
      </c>
      <c r="S45" s="15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76" t="s">
        <v>38</v>
      </c>
      <c r="C46" s="476"/>
      <c r="D46" s="476"/>
      <c r="E46" s="139"/>
      <c r="F46" s="8">
        <v>31000</v>
      </c>
      <c r="G46" s="15">
        <v>29350</v>
      </c>
      <c r="H46" s="15">
        <f>G46*G65</f>
        <v>147466.13999999998</v>
      </c>
      <c r="I46" s="15">
        <v>27000</v>
      </c>
      <c r="J46" s="15">
        <v>25950</v>
      </c>
      <c r="K46" s="15">
        <f>J46*G65</f>
        <v>130383.18</v>
      </c>
      <c r="L46" s="15">
        <v>58000</v>
      </c>
      <c r="M46" s="15">
        <v>43300</v>
      </c>
      <c r="N46" s="15">
        <f>M46*H65</f>
        <v>241484.1</v>
      </c>
      <c r="O46" s="15">
        <v>44000</v>
      </c>
      <c r="P46" s="15">
        <v>37400</v>
      </c>
      <c r="Q46" s="15">
        <f>P46*H65</f>
        <v>208579.8</v>
      </c>
      <c r="R46" s="15">
        <f t="shared" si="7"/>
        <v>136000</v>
      </c>
      <c r="S46" s="15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76" t="s">
        <v>39</v>
      </c>
      <c r="C47" s="476"/>
      <c r="D47" s="476"/>
      <c r="E47" s="139"/>
      <c r="F47" s="8">
        <v>8000</v>
      </c>
      <c r="G47" s="15">
        <v>9500</v>
      </c>
      <c r="H47" s="15">
        <f>G47*G65</f>
        <v>47731.8</v>
      </c>
      <c r="I47" s="15">
        <v>12000</v>
      </c>
      <c r="J47" s="15">
        <v>8300</v>
      </c>
      <c r="K47" s="15">
        <f>J47*G65</f>
        <v>41702.52</v>
      </c>
      <c r="L47" s="15">
        <v>9000</v>
      </c>
      <c r="M47" s="15">
        <v>7500</v>
      </c>
      <c r="N47" s="15">
        <f>M47*H65</f>
        <v>41827.5</v>
      </c>
      <c r="O47" s="15">
        <v>15000</v>
      </c>
      <c r="P47" s="15">
        <v>12100</v>
      </c>
      <c r="Q47" s="15">
        <f>P47*H65</f>
        <v>67481.7</v>
      </c>
      <c r="R47" s="15">
        <f t="shared" si="7"/>
        <v>37400</v>
      </c>
      <c r="S47" s="15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4">
        <v>3</v>
      </c>
      <c r="B48" s="458" t="s">
        <v>42</v>
      </c>
      <c r="C48" s="459"/>
      <c r="D48" s="460"/>
      <c r="E48" s="133"/>
      <c r="F48" s="14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4">
        <v>4</v>
      </c>
      <c r="B49" s="458" t="s">
        <v>43</v>
      </c>
      <c r="C49" s="459"/>
      <c r="D49" s="460"/>
      <c r="E49" s="133"/>
      <c r="F49" s="14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61" t="s">
        <v>44</v>
      </c>
      <c r="C50" s="462"/>
      <c r="D50" s="463"/>
      <c r="E50" s="134"/>
      <c r="F50" s="8"/>
      <c r="G50" s="15">
        <v>5264</v>
      </c>
      <c r="H50" s="15">
        <f>G50*G65</f>
        <v>26448.4416</v>
      </c>
      <c r="I50" s="15"/>
      <c r="J50" s="15">
        <v>3510</v>
      </c>
      <c r="K50" s="15">
        <f>J50*G65</f>
        <v>17635.644</v>
      </c>
      <c r="L50" s="15"/>
      <c r="M50" s="15">
        <v>3510</v>
      </c>
      <c r="N50" s="15">
        <f>M50*H65</f>
        <v>19575.27</v>
      </c>
      <c r="O50" s="15"/>
      <c r="P50" s="15">
        <v>5264</v>
      </c>
      <c r="Q50" s="15">
        <f>P50*H65</f>
        <v>29357.328</v>
      </c>
      <c r="R50" s="15">
        <f aca="true" t="shared" si="11" ref="R50:S52">G50+J50+M50+P50</f>
        <v>17548</v>
      </c>
      <c r="S50" s="15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61" t="s">
        <v>58</v>
      </c>
      <c r="C51" s="462"/>
      <c r="D51" s="463"/>
      <c r="E51" s="134"/>
      <c r="F51" s="8">
        <v>29400</v>
      </c>
      <c r="G51" s="15">
        <v>23198</v>
      </c>
      <c r="H51" s="15">
        <f>G51*G65</f>
        <v>116556.0312</v>
      </c>
      <c r="I51" s="15"/>
      <c r="J51" s="15">
        <v>15465</v>
      </c>
      <c r="K51" s="15">
        <f>J51*G65</f>
        <v>77702.346</v>
      </c>
      <c r="L51" s="15"/>
      <c r="M51" s="15">
        <v>15465</v>
      </c>
      <c r="N51" s="15">
        <f>M51*H65</f>
        <v>86248.305</v>
      </c>
      <c r="O51" s="15"/>
      <c r="P51" s="15">
        <v>23198</v>
      </c>
      <c r="Q51" s="15">
        <f>P51*H65</f>
        <v>129375.246</v>
      </c>
      <c r="R51" s="15">
        <f t="shared" si="11"/>
        <v>77326</v>
      </c>
      <c r="S51" s="15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61" t="s">
        <v>59</v>
      </c>
      <c r="C52" s="462"/>
      <c r="D52" s="463"/>
      <c r="E52" s="134"/>
      <c r="F52" s="8"/>
      <c r="G52" s="15">
        <v>5237</v>
      </c>
      <c r="H52" s="15">
        <f>G52*G65</f>
        <v>26312.7828</v>
      </c>
      <c r="I52" s="15"/>
      <c r="J52" s="15">
        <v>3491</v>
      </c>
      <c r="K52" s="15">
        <f>J52*G65</f>
        <v>17540.1804</v>
      </c>
      <c r="L52" s="15"/>
      <c r="M52" s="15">
        <v>3491</v>
      </c>
      <c r="N52" s="15">
        <f>M52*H65</f>
        <v>19469.307</v>
      </c>
      <c r="O52" s="15"/>
      <c r="P52" s="15">
        <v>5237</v>
      </c>
      <c r="Q52" s="15">
        <f>P52*H65</f>
        <v>29206.749</v>
      </c>
      <c r="R52" s="15">
        <f t="shared" si="11"/>
        <v>17456</v>
      </c>
      <c r="S52" s="15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4">
        <v>5</v>
      </c>
      <c r="B53" s="458" t="s">
        <v>47</v>
      </c>
      <c r="C53" s="459"/>
      <c r="D53" s="460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61" t="s">
        <v>48</v>
      </c>
      <c r="C54" s="462"/>
      <c r="D54" s="463"/>
      <c r="E54" s="134"/>
      <c r="F54" s="8"/>
      <c r="G54" s="15">
        <v>3093</v>
      </c>
      <c r="H54" s="35">
        <f>G54*G65</f>
        <v>15540.4692</v>
      </c>
      <c r="I54" s="15"/>
      <c r="J54" s="15">
        <v>2715</v>
      </c>
      <c r="K54" s="15">
        <f>J54*G65</f>
        <v>13641.246</v>
      </c>
      <c r="L54" s="15"/>
      <c r="M54" s="15">
        <v>2752</v>
      </c>
      <c r="N54" s="15">
        <f>M54*H65</f>
        <v>15347.904</v>
      </c>
      <c r="O54" s="15"/>
      <c r="P54" s="15">
        <v>2588</v>
      </c>
      <c r="Q54" s="15">
        <f>P54*H65</f>
        <v>14433.276</v>
      </c>
      <c r="R54" s="15">
        <f aca="true" t="shared" si="12" ref="R54:S59">G54+J54+M54+P54</f>
        <v>11148</v>
      </c>
      <c r="S54" s="15">
        <f t="shared" si="12"/>
        <v>58962.8952</v>
      </c>
      <c r="U54" s="12"/>
      <c r="V54" s="11"/>
      <c r="W54" s="12"/>
    </row>
    <row r="55" spans="1:23" ht="27" customHeight="1" hidden="1">
      <c r="A55" s="8"/>
      <c r="B55" s="461" t="s">
        <v>49</v>
      </c>
      <c r="C55" s="462"/>
      <c r="D55" s="463"/>
      <c r="E55" s="134"/>
      <c r="F55" s="8"/>
      <c r="G55" s="15">
        <v>5045</v>
      </c>
      <c r="H55" s="15">
        <f>G55*G65</f>
        <v>25348.097999999998</v>
      </c>
      <c r="I55" s="15"/>
      <c r="J55" s="15">
        <v>3390</v>
      </c>
      <c r="K55" s="15">
        <f>J55*G65</f>
        <v>17032.716</v>
      </c>
      <c r="L55" s="15"/>
      <c r="M55" s="15">
        <v>5675</v>
      </c>
      <c r="N55" s="15">
        <f>M55*H65</f>
        <v>31649.475</v>
      </c>
      <c r="O55" s="15"/>
      <c r="P55" s="15">
        <v>6890</v>
      </c>
      <c r="Q55" s="15">
        <f>P55*H65</f>
        <v>38425.53</v>
      </c>
      <c r="R55" s="15">
        <f t="shared" si="12"/>
        <v>21000</v>
      </c>
      <c r="S55" s="15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61" t="s">
        <v>50</v>
      </c>
      <c r="C56" s="462"/>
      <c r="D56" s="463"/>
      <c r="E56" s="134"/>
      <c r="F56" s="8"/>
      <c r="G56" s="15">
        <v>5253</v>
      </c>
      <c r="H56" s="15">
        <f>G56*G65</f>
        <v>26393.1732</v>
      </c>
      <c r="I56" s="15"/>
      <c r="J56" s="15">
        <v>5294</v>
      </c>
      <c r="K56" s="15">
        <f>J56*G65</f>
        <v>26599.1736</v>
      </c>
      <c r="L56" s="15"/>
      <c r="M56" s="15">
        <v>7570</v>
      </c>
      <c r="N56" s="15">
        <f>M56*H65</f>
        <v>42217.89</v>
      </c>
      <c r="O56" s="15"/>
      <c r="P56" s="15">
        <v>4038</v>
      </c>
      <c r="Q56" s="15">
        <f>P56*H65</f>
        <v>22519.926</v>
      </c>
      <c r="R56" s="15">
        <f t="shared" si="12"/>
        <v>22155</v>
      </c>
      <c r="S56" s="15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76" t="s">
        <v>40</v>
      </c>
      <c r="C57" s="476"/>
      <c r="D57" s="476"/>
      <c r="E57" s="139"/>
      <c r="F57" s="8"/>
      <c r="G57" s="15">
        <v>3278</v>
      </c>
      <c r="H57" s="15">
        <f>G57*G65</f>
        <v>16469.9832</v>
      </c>
      <c r="I57" s="15"/>
      <c r="J57" s="15">
        <v>2211</v>
      </c>
      <c r="K57" s="15">
        <f>J57*G65</f>
        <v>11108.9484</v>
      </c>
      <c r="L57" s="15"/>
      <c r="M57" s="15">
        <v>2959</v>
      </c>
      <c r="N57" s="15">
        <f>M57*H65</f>
        <v>16502.343</v>
      </c>
      <c r="O57" s="15"/>
      <c r="P57" s="15">
        <v>3696</v>
      </c>
      <c r="Q57" s="15">
        <f>P57*H65</f>
        <v>20612.592</v>
      </c>
      <c r="R57" s="15">
        <f t="shared" si="12"/>
        <v>12144</v>
      </c>
      <c r="S57" s="15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76" t="s">
        <v>51</v>
      </c>
      <c r="C58" s="476"/>
      <c r="D58" s="476"/>
      <c r="E58" s="139"/>
      <c r="F58" s="8"/>
      <c r="G58" s="15">
        <v>1865</v>
      </c>
      <c r="H58" s="15">
        <f>G58*G65</f>
        <v>9370.506</v>
      </c>
      <c r="I58" s="15"/>
      <c r="J58" s="15">
        <v>1775</v>
      </c>
      <c r="K58" s="15">
        <f>J58*G65</f>
        <v>8918.31</v>
      </c>
      <c r="L58" s="15"/>
      <c r="M58" s="15">
        <v>1145</v>
      </c>
      <c r="N58" s="15">
        <f>M58*H65</f>
        <v>6385.665</v>
      </c>
      <c r="O58" s="15"/>
      <c r="P58" s="15">
        <v>1875</v>
      </c>
      <c r="Q58" s="15">
        <f>P58*H65</f>
        <v>10456.875</v>
      </c>
      <c r="R58" s="15">
        <f t="shared" si="12"/>
        <v>6660</v>
      </c>
      <c r="S58" s="15">
        <f t="shared" si="12"/>
        <v>35131.356</v>
      </c>
      <c r="U58" s="12"/>
      <c r="V58" s="11"/>
      <c r="W58" s="12"/>
    </row>
    <row r="59" spans="1:23" ht="27" customHeight="1" hidden="1">
      <c r="A59" s="8"/>
      <c r="B59" s="476" t="s">
        <v>52</v>
      </c>
      <c r="C59" s="476"/>
      <c r="D59" s="476"/>
      <c r="E59" s="139"/>
      <c r="F59" s="8"/>
      <c r="G59" s="15">
        <v>4050</v>
      </c>
      <c r="H59" s="15">
        <f>G59*G65</f>
        <v>20348.82</v>
      </c>
      <c r="I59" s="15"/>
      <c r="J59" s="15">
        <v>4050</v>
      </c>
      <c r="K59" s="15">
        <f>J59*G65</f>
        <v>20348.82</v>
      </c>
      <c r="L59" s="15"/>
      <c r="M59" s="15">
        <v>3950</v>
      </c>
      <c r="N59" s="15">
        <f>M59*H65</f>
        <v>22029.15</v>
      </c>
      <c r="O59" s="15"/>
      <c r="P59" s="15">
        <v>4050</v>
      </c>
      <c r="Q59" s="15">
        <f>P59*H65</f>
        <v>22586.85</v>
      </c>
      <c r="R59" s="15">
        <f t="shared" si="12"/>
        <v>16100</v>
      </c>
      <c r="S59" s="15">
        <f t="shared" si="12"/>
        <v>85313.64</v>
      </c>
      <c r="U59" s="12"/>
      <c r="V59" s="11"/>
      <c r="W59" s="12"/>
    </row>
    <row r="60" spans="1:23" ht="27" customHeight="1" hidden="1">
      <c r="A60" s="14">
        <v>6</v>
      </c>
      <c r="B60" s="458" t="s">
        <v>53</v>
      </c>
      <c r="C60" s="459"/>
      <c r="D60" s="460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61" t="s">
        <v>54</v>
      </c>
      <c r="C61" s="462"/>
      <c r="D61" s="463"/>
      <c r="E61" s="134"/>
      <c r="F61" s="8"/>
      <c r="G61" s="15">
        <v>7650</v>
      </c>
      <c r="H61" s="15">
        <f>G61*G65</f>
        <v>38436.659999999996</v>
      </c>
      <c r="I61" s="15"/>
      <c r="J61" s="15">
        <v>10200</v>
      </c>
      <c r="K61" s="15">
        <f>J61*G65</f>
        <v>51248.88</v>
      </c>
      <c r="L61" s="15"/>
      <c r="M61" s="15">
        <v>7650</v>
      </c>
      <c r="N61" s="15">
        <f>M61*H65</f>
        <v>42664.05</v>
      </c>
      <c r="O61" s="15"/>
      <c r="P61" s="15">
        <v>13600</v>
      </c>
      <c r="Q61" s="15">
        <f>P61*H65</f>
        <v>75847.2</v>
      </c>
      <c r="R61" s="15">
        <f>G61+J61+M61+P61</f>
        <v>39100</v>
      </c>
      <c r="S61" s="15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61" t="s">
        <v>55</v>
      </c>
      <c r="C62" s="462"/>
      <c r="D62" s="463"/>
      <c r="E62" s="134"/>
      <c r="F62" s="8"/>
      <c r="G62" s="15">
        <v>52475.76</v>
      </c>
      <c r="H62" s="15">
        <f>G62*G65</f>
        <v>263659.208544</v>
      </c>
      <c r="I62" s="15"/>
      <c r="J62" s="15">
        <v>23227</v>
      </c>
      <c r="K62" s="15">
        <f>J62*G65</f>
        <v>116701.7388</v>
      </c>
      <c r="L62" s="15"/>
      <c r="M62" s="15">
        <v>19391.07</v>
      </c>
      <c r="N62" s="15">
        <f>M62*H65</f>
        <v>108143.99739</v>
      </c>
      <c r="O62" s="15"/>
      <c r="P62" s="15">
        <v>60863</v>
      </c>
      <c r="Q62" s="15">
        <f>P62*H65</f>
        <v>339432.951</v>
      </c>
      <c r="R62" s="15">
        <f>G62+J62+M62+P62</f>
        <v>155956.83000000002</v>
      </c>
      <c r="S62" s="15">
        <f>H62+K62+N62+Q62</f>
        <v>827937.895734</v>
      </c>
      <c r="U62" s="12"/>
      <c r="V62" s="11"/>
      <c r="W62" s="12"/>
    </row>
    <row r="63" spans="1:23" ht="30" customHeight="1" hidden="1">
      <c r="A63" s="8"/>
      <c r="B63" s="477" t="s">
        <v>19</v>
      </c>
      <c r="C63" s="477"/>
      <c r="D63" s="477"/>
      <c r="E63" s="140"/>
      <c r="F63" s="14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6"/>
      <c r="V63" s="12"/>
      <c r="W63" s="12"/>
    </row>
    <row r="64" spans="1:23" ht="50.25" customHeight="1" hidden="1">
      <c r="A64" s="53"/>
      <c r="B64" s="478" t="s">
        <v>8</v>
      </c>
      <c r="C64" s="478"/>
      <c r="D64" s="478"/>
      <c r="E64" s="145"/>
      <c r="F64" s="396" t="s">
        <v>68</v>
      </c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8"/>
      <c r="U64" s="12"/>
      <c r="V64" s="12"/>
      <c r="W64" s="12"/>
    </row>
    <row r="65" spans="1:23" ht="32.25" customHeight="1" hidden="1">
      <c r="A65" s="46"/>
      <c r="B65" s="46"/>
      <c r="C65" s="46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2"/>
      <c r="L65" s="42"/>
      <c r="M65" s="42"/>
      <c r="N65" s="46"/>
      <c r="O65" s="46"/>
      <c r="P65" s="46"/>
      <c r="Q65" s="55"/>
      <c r="R65" s="55"/>
      <c r="S65" s="46"/>
      <c r="U65" s="12"/>
      <c r="V65" s="12"/>
      <c r="W65" s="12"/>
    </row>
    <row r="66" spans="1:23" ht="33.75" customHeight="1" hidden="1">
      <c r="A66" s="46"/>
      <c r="B66" s="46"/>
      <c r="C66" s="46"/>
      <c r="D66" s="5" t="s">
        <v>65</v>
      </c>
      <c r="E66" s="5"/>
      <c r="F66" s="5"/>
      <c r="G66" s="5"/>
      <c r="H66" s="5"/>
      <c r="I66" s="6"/>
      <c r="J66" s="6"/>
      <c r="K66" s="42"/>
      <c r="L66" s="42"/>
      <c r="M66" s="42"/>
      <c r="N66" s="46"/>
      <c r="O66" s="46"/>
      <c r="P66" s="46"/>
      <c r="Q66" s="479"/>
      <c r="R66" s="479"/>
      <c r="S66" s="479"/>
      <c r="U66" s="12"/>
      <c r="V66" s="12"/>
      <c r="W66" s="12"/>
    </row>
    <row r="67" spans="1:23" ht="47.25" customHeight="1">
      <c r="A67" s="447" t="s">
        <v>116</v>
      </c>
      <c r="B67" s="447"/>
      <c r="C67" s="447"/>
      <c r="D67" s="447"/>
      <c r="E67" s="447"/>
      <c r="F67" s="447"/>
      <c r="G67" s="447"/>
      <c r="H67" s="447"/>
      <c r="I67" s="447"/>
      <c r="J67" s="447"/>
      <c r="K67" s="447"/>
      <c r="L67" s="447"/>
      <c r="M67" s="447"/>
      <c r="N67" s="447"/>
      <c r="O67" s="447"/>
      <c r="P67" s="447"/>
      <c r="Q67" s="447"/>
      <c r="R67" s="447"/>
      <c r="S67" s="447"/>
      <c r="U67" s="12"/>
      <c r="V67" s="12"/>
      <c r="W67" s="12"/>
    </row>
    <row r="68" spans="1:23" ht="27.75" customHeight="1">
      <c r="A68" s="449" t="s">
        <v>15</v>
      </c>
      <c r="B68" s="450" t="s">
        <v>0</v>
      </c>
      <c r="C68" s="451"/>
      <c r="D68" s="452"/>
      <c r="E68" s="486" t="s">
        <v>69</v>
      </c>
      <c r="F68" s="377" t="s">
        <v>1</v>
      </c>
      <c r="G68" s="377"/>
      <c r="H68" s="377"/>
      <c r="I68" s="377" t="s">
        <v>3</v>
      </c>
      <c r="J68" s="377"/>
      <c r="K68" s="377"/>
      <c r="L68" s="377" t="s">
        <v>4</v>
      </c>
      <c r="M68" s="377"/>
      <c r="N68" s="377"/>
      <c r="O68" s="377" t="s">
        <v>6</v>
      </c>
      <c r="P68" s="377"/>
      <c r="Q68" s="377"/>
      <c r="R68" s="377" t="s">
        <v>7</v>
      </c>
      <c r="S68" s="377"/>
      <c r="U68" s="12"/>
      <c r="V68" s="12"/>
      <c r="W68" s="12"/>
    </row>
    <row r="69" spans="1:23" ht="47.25" customHeight="1">
      <c r="A69" s="449"/>
      <c r="B69" s="453"/>
      <c r="C69" s="454"/>
      <c r="D69" s="455"/>
      <c r="E69" s="487"/>
      <c r="F69" s="125"/>
      <c r="G69" s="125"/>
      <c r="H69" s="125" t="s">
        <v>5</v>
      </c>
      <c r="I69" s="125" t="s">
        <v>10</v>
      </c>
      <c r="J69" s="125"/>
      <c r="K69" s="125" t="s">
        <v>5</v>
      </c>
      <c r="L69" s="125" t="s">
        <v>10</v>
      </c>
      <c r="M69" s="125"/>
      <c r="N69" s="125" t="s">
        <v>5</v>
      </c>
      <c r="O69" s="125" t="s">
        <v>10</v>
      </c>
      <c r="P69" s="125"/>
      <c r="Q69" s="125" t="s">
        <v>5</v>
      </c>
      <c r="R69" s="125" t="s">
        <v>10</v>
      </c>
      <c r="S69" s="125" t="s">
        <v>5</v>
      </c>
      <c r="U69" s="12"/>
      <c r="V69" s="12"/>
      <c r="W69" s="12"/>
    </row>
    <row r="70" spans="1:23" s="97" customFormat="1" ht="48.75" customHeight="1">
      <c r="A70" s="91">
        <v>1</v>
      </c>
      <c r="B70" s="480" t="s">
        <v>33</v>
      </c>
      <c r="C70" s="481"/>
      <c r="D70" s="482"/>
      <c r="E70" s="92" t="s">
        <v>84</v>
      </c>
      <c r="F70" s="91">
        <v>0</v>
      </c>
      <c r="G70" s="93"/>
      <c r="H70" s="93">
        <f>H71+H72</f>
        <v>2723.344</v>
      </c>
      <c r="I70" s="93"/>
      <c r="J70" s="93"/>
      <c r="K70" s="93">
        <f>K71+K72</f>
        <v>2255.3403000000003</v>
      </c>
      <c r="L70" s="93"/>
      <c r="M70" s="93"/>
      <c r="N70" s="93">
        <f>N71+N72</f>
        <v>2566.4064</v>
      </c>
      <c r="O70" s="93"/>
      <c r="P70" s="93"/>
      <c r="Q70" s="93">
        <f>Q71+Q72</f>
        <v>3849.6096000000002</v>
      </c>
      <c r="R70" s="93"/>
      <c r="S70" s="93">
        <f>S71+S72</f>
        <v>11394.7003</v>
      </c>
      <c r="T70" s="94"/>
      <c r="U70" s="95">
        <f>37.94*P70</f>
        <v>0</v>
      </c>
      <c r="V70" s="96">
        <f>H70+K70+N70+Q70</f>
        <v>11394.7003</v>
      </c>
      <c r="W70" s="95">
        <f>G70+J70+M70+P70</f>
        <v>0</v>
      </c>
    </row>
    <row r="71" spans="1:23" ht="39" customHeight="1">
      <c r="A71" s="14"/>
      <c r="B71" s="488"/>
      <c r="C71" s="489"/>
      <c r="D71" s="490"/>
      <c r="E71" s="144" t="s">
        <v>70</v>
      </c>
      <c r="F71" s="8"/>
      <c r="G71" s="231">
        <v>7</v>
      </c>
      <c r="H71" s="231">
        <f>G71*H145</f>
        <v>266.98</v>
      </c>
      <c r="I71" s="231"/>
      <c r="J71" s="231">
        <v>6</v>
      </c>
      <c r="K71" s="231">
        <f>J71*H145</f>
        <v>228.84</v>
      </c>
      <c r="L71" s="231"/>
      <c r="M71" s="231">
        <v>6</v>
      </c>
      <c r="N71" s="231">
        <f>M71*J145</f>
        <v>240.71999999999997</v>
      </c>
      <c r="O71" s="231"/>
      <c r="P71" s="231">
        <v>9</v>
      </c>
      <c r="Q71" s="231">
        <f>P71*J145</f>
        <v>361.08</v>
      </c>
      <c r="R71" s="231">
        <f>G71+J71+M71+P71</f>
        <v>28</v>
      </c>
      <c r="S71" s="231">
        <f>H71+K71+N71+Q71</f>
        <v>1097.62</v>
      </c>
      <c r="U71" s="12"/>
      <c r="V71" s="11"/>
      <c r="W71" s="12"/>
    </row>
    <row r="72" spans="1:23" ht="39" customHeight="1">
      <c r="A72" s="14"/>
      <c r="B72" s="488"/>
      <c r="C72" s="489"/>
      <c r="D72" s="490"/>
      <c r="E72" s="144" t="s">
        <v>2</v>
      </c>
      <c r="F72" s="8"/>
      <c r="G72" s="231">
        <v>0.4</v>
      </c>
      <c r="H72" s="231">
        <f>G72*H147</f>
        <v>2456.364</v>
      </c>
      <c r="I72" s="231"/>
      <c r="J72" s="231">
        <v>0.33</v>
      </c>
      <c r="K72" s="231">
        <f>J72*H147</f>
        <v>2026.5003000000002</v>
      </c>
      <c r="L72" s="231"/>
      <c r="M72" s="231">
        <v>0.36</v>
      </c>
      <c r="N72" s="231">
        <f>M72*J147</f>
        <v>2325.6864</v>
      </c>
      <c r="O72" s="231"/>
      <c r="P72" s="231">
        <v>0.54</v>
      </c>
      <c r="Q72" s="231">
        <f>P72*J148</f>
        <v>3488.5296000000003</v>
      </c>
      <c r="R72" s="231">
        <f>G72+J72+M72+P72</f>
        <v>1.63</v>
      </c>
      <c r="S72" s="231">
        <f>H72+K72+N72+Q72</f>
        <v>10297.0803</v>
      </c>
      <c r="U72" s="12"/>
      <c r="V72" s="11"/>
      <c r="W72" s="12"/>
    </row>
    <row r="73" spans="1:23" s="97" customFormat="1" ht="45" customHeight="1">
      <c r="A73" s="91">
        <v>2</v>
      </c>
      <c r="B73" s="480" t="s">
        <v>74</v>
      </c>
      <c r="C73" s="481"/>
      <c r="D73" s="482"/>
      <c r="E73" s="92" t="s">
        <v>84</v>
      </c>
      <c r="F73" s="98"/>
      <c r="G73" s="93"/>
      <c r="H73" s="93">
        <f>H76+H79+H82+H85+H88+H91</f>
        <v>440731.61039999995</v>
      </c>
      <c r="I73" s="93"/>
      <c r="J73" s="93"/>
      <c r="K73" s="93">
        <f>K76+K79+K82+K85+K88+K91</f>
        <v>471634.1996</v>
      </c>
      <c r="L73" s="93"/>
      <c r="M73" s="93"/>
      <c r="N73" s="93">
        <f>N76+N79+N82+N85+N88+N91</f>
        <v>345480.41959999996</v>
      </c>
      <c r="O73" s="93"/>
      <c r="P73" s="93"/>
      <c r="Q73" s="93">
        <f>Q76+Q79+Q82+Q85+Q88+Q91</f>
        <v>567118.0876</v>
      </c>
      <c r="R73" s="93"/>
      <c r="S73" s="93">
        <f>S76+S79+S82+S85+S88+S91</f>
        <v>1824964.3172</v>
      </c>
      <c r="T73" s="94"/>
      <c r="U73" s="95"/>
      <c r="V73" s="96"/>
      <c r="W73" s="95"/>
    </row>
    <row r="74" spans="1:23" ht="35.25" customHeight="1">
      <c r="A74" s="14"/>
      <c r="B74" s="131"/>
      <c r="C74" s="132"/>
      <c r="D74" s="133"/>
      <c r="E74" s="143" t="s">
        <v>70</v>
      </c>
      <c r="F74" s="8"/>
      <c r="G74" s="59">
        <f>G77+G80+G83+G86+G89+G92</f>
        <v>1122</v>
      </c>
      <c r="H74" s="59">
        <f>H77+H80+H83+H86+H89+H92</f>
        <v>51152.28</v>
      </c>
      <c r="I74" s="59"/>
      <c r="J74" s="59">
        <f>J77+J80+J83+J86+J89+J92</f>
        <v>1208</v>
      </c>
      <c r="K74" s="59">
        <f>K77+K80+K83+K86+K89+K92</f>
        <v>56754.32</v>
      </c>
      <c r="L74" s="59"/>
      <c r="M74" s="59">
        <f>M77+M80+M83+M86+M89+M92</f>
        <v>796</v>
      </c>
      <c r="N74" s="59">
        <f>N77+N80+N83+N86+N89+N92</f>
        <v>38360.61</v>
      </c>
      <c r="O74" s="59"/>
      <c r="P74" s="59">
        <f>P77+P80+P83+P86+P89+P92</f>
        <v>1293</v>
      </c>
      <c r="Q74" s="59">
        <f>Q77+Q80+Q83+Q86+Q89+Q92</f>
        <v>63283.969999999994</v>
      </c>
      <c r="R74" s="59">
        <f>G74+J74+M74+P74</f>
        <v>4419</v>
      </c>
      <c r="S74" s="59">
        <f>H74+K74+N74+Q74</f>
        <v>209551.18000000002</v>
      </c>
      <c r="U74" s="12"/>
      <c r="V74" s="11"/>
      <c r="W74" s="12"/>
    </row>
    <row r="75" spans="1:23" ht="35.25" customHeight="1">
      <c r="A75" s="14"/>
      <c r="B75" s="483"/>
      <c r="C75" s="484"/>
      <c r="D75" s="485"/>
      <c r="E75" s="143" t="s">
        <v>2</v>
      </c>
      <c r="F75" s="8"/>
      <c r="G75" s="59">
        <f>G78+G81+G84+G87+G90+G93</f>
        <v>63.440000000000005</v>
      </c>
      <c r="H75" s="59">
        <f>H78+H81+H84+H87+H90+H93</f>
        <v>389579.33040000004</v>
      </c>
      <c r="I75" s="59"/>
      <c r="J75" s="59">
        <f>J78+J81+J84+J87+J90+J93</f>
        <v>67.56</v>
      </c>
      <c r="K75" s="59">
        <f>K78+K81+K84+K87+K90+K93</f>
        <v>414879.8796</v>
      </c>
      <c r="L75" s="59"/>
      <c r="M75" s="59">
        <f>M78+M81+M84+M87+M90+M93</f>
        <v>47.54</v>
      </c>
      <c r="N75" s="59">
        <f>N78+N81+N84+N87+N90+N93</f>
        <v>307119.80960000004</v>
      </c>
      <c r="O75" s="59"/>
      <c r="P75" s="59">
        <f>P78+P81+P84+P87+P90+P93</f>
        <v>77.99000000000001</v>
      </c>
      <c r="Q75" s="59">
        <f>Q78+Q81+Q84+Q87+Q90+Q93</f>
        <v>503834.1176</v>
      </c>
      <c r="R75" s="59">
        <f>G75+J75+M75+P75</f>
        <v>256.53</v>
      </c>
      <c r="S75" s="59">
        <f>H75+K75+N75+Q75</f>
        <v>1615413.1372</v>
      </c>
      <c r="U75" s="12"/>
      <c r="V75" s="11"/>
      <c r="W75" s="12"/>
    </row>
    <row r="76" spans="1:23" ht="54.75" customHeight="1">
      <c r="A76" s="14"/>
      <c r="B76" s="461" t="s">
        <v>34</v>
      </c>
      <c r="C76" s="462"/>
      <c r="D76" s="463"/>
      <c r="E76" s="134"/>
      <c r="F76" s="8">
        <v>420</v>
      </c>
      <c r="G76" s="231"/>
      <c r="H76" s="231">
        <f>H77+H78</f>
        <v>47258.049999999996</v>
      </c>
      <c r="I76" s="231"/>
      <c r="J76" s="231"/>
      <c r="K76" s="231">
        <f>K77+K78</f>
        <v>66901.26</v>
      </c>
      <c r="L76" s="231"/>
      <c r="M76" s="231"/>
      <c r="N76" s="231">
        <f>N77+N78</f>
        <v>49795.36</v>
      </c>
      <c r="O76" s="231"/>
      <c r="P76" s="231"/>
      <c r="Q76" s="231">
        <f>Q77+Q78</f>
        <v>63718.84</v>
      </c>
      <c r="R76" s="231"/>
      <c r="S76" s="231">
        <f>S77+S78</f>
        <v>227673.51</v>
      </c>
      <c r="U76" s="12">
        <f>37.94*P76</f>
        <v>0</v>
      </c>
      <c r="V76" s="11">
        <f>H76+K76+N76+Q76</f>
        <v>227673.50999999998</v>
      </c>
      <c r="W76" s="12">
        <f>G76+J76+M76+P76</f>
        <v>0</v>
      </c>
    </row>
    <row r="77" spans="1:23" ht="38.25" customHeight="1">
      <c r="A77" s="14"/>
      <c r="B77" s="488"/>
      <c r="C77" s="489"/>
      <c r="D77" s="490"/>
      <c r="E77" s="144" t="s">
        <v>70</v>
      </c>
      <c r="F77" s="8"/>
      <c r="G77" s="231">
        <v>112</v>
      </c>
      <c r="H77" s="231">
        <f>G77*H145</f>
        <v>4271.68</v>
      </c>
      <c r="I77" s="231"/>
      <c r="J77" s="231">
        <v>144</v>
      </c>
      <c r="K77" s="231">
        <f>J77*H145</f>
        <v>5492.16</v>
      </c>
      <c r="L77" s="231"/>
      <c r="M77" s="231">
        <v>114</v>
      </c>
      <c r="N77" s="231">
        <f>M77*J145</f>
        <v>4573.679999999999</v>
      </c>
      <c r="O77" s="231"/>
      <c r="P77" s="231">
        <v>139</v>
      </c>
      <c r="Q77" s="231">
        <f>P77*J145</f>
        <v>5576.679999999999</v>
      </c>
      <c r="R77" s="231">
        <f>G77+J77+M77+P77</f>
        <v>509</v>
      </c>
      <c r="S77" s="231">
        <f>H77+K77+N77+Q77</f>
        <v>19914.2</v>
      </c>
      <c r="U77" s="12"/>
      <c r="V77" s="11"/>
      <c r="W77" s="12"/>
    </row>
    <row r="78" spans="1:23" ht="36" customHeight="1">
      <c r="A78" s="14"/>
      <c r="B78" s="488"/>
      <c r="C78" s="489"/>
      <c r="D78" s="490"/>
      <c r="E78" s="144" t="s">
        <v>2</v>
      </c>
      <c r="F78" s="8"/>
      <c r="G78" s="231">
        <v>7</v>
      </c>
      <c r="H78" s="231">
        <f>G78*H147</f>
        <v>42986.369999999995</v>
      </c>
      <c r="I78" s="231"/>
      <c r="J78" s="231">
        <v>10</v>
      </c>
      <c r="K78" s="231">
        <f>J78*H147</f>
        <v>61409.1</v>
      </c>
      <c r="L78" s="231"/>
      <c r="M78" s="231">
        <v>7</v>
      </c>
      <c r="N78" s="231">
        <f>M78*J147</f>
        <v>45221.68</v>
      </c>
      <c r="O78" s="231"/>
      <c r="P78" s="231">
        <v>9</v>
      </c>
      <c r="Q78" s="231">
        <f>P78*J147</f>
        <v>58142.159999999996</v>
      </c>
      <c r="R78" s="231">
        <f>G78+J78+M78+P78</f>
        <v>33</v>
      </c>
      <c r="S78" s="231">
        <f>H78+K78+N78+Q78</f>
        <v>207759.31</v>
      </c>
      <c r="U78" s="12"/>
      <c r="V78" s="11"/>
      <c r="W78" s="12"/>
    </row>
    <row r="79" spans="1:23" ht="54.75" customHeight="1">
      <c r="A79" s="14"/>
      <c r="B79" s="461" t="s">
        <v>35</v>
      </c>
      <c r="C79" s="462"/>
      <c r="D79" s="463"/>
      <c r="E79" s="134"/>
      <c r="F79" s="8">
        <v>171</v>
      </c>
      <c r="G79" s="231"/>
      <c r="H79" s="231">
        <f>H80+H81</f>
        <v>38080.277799999996</v>
      </c>
      <c r="I79" s="231"/>
      <c r="J79" s="231"/>
      <c r="K79" s="231">
        <f>K80+K81</f>
        <v>38080.277799999996</v>
      </c>
      <c r="L79" s="231"/>
      <c r="M79" s="231"/>
      <c r="N79" s="231">
        <f>N80+N81</f>
        <v>21580.527199999997</v>
      </c>
      <c r="O79" s="231"/>
      <c r="P79" s="231"/>
      <c r="Q79" s="231">
        <f>Q80+Q81</f>
        <v>43096.452</v>
      </c>
      <c r="R79" s="231"/>
      <c r="S79" s="231">
        <f>S80+S81</f>
        <v>140837.5348</v>
      </c>
      <c r="T79" s="67" t="s">
        <v>82</v>
      </c>
      <c r="U79" s="12">
        <f>37.94*P79</f>
        <v>0</v>
      </c>
      <c r="V79" s="11">
        <f>H79+K79+N79+Q79</f>
        <v>140837.5348</v>
      </c>
      <c r="W79" s="12">
        <f>G79+J79+M79+P79</f>
        <v>0</v>
      </c>
    </row>
    <row r="80" spans="1:23" ht="33.75" customHeight="1">
      <c r="A80" s="14"/>
      <c r="B80" s="488"/>
      <c r="C80" s="489"/>
      <c r="D80" s="490"/>
      <c r="E80" s="144" t="s">
        <v>70</v>
      </c>
      <c r="F80" s="8"/>
      <c r="G80" s="231">
        <v>100</v>
      </c>
      <c r="H80" s="231">
        <f>G80*H145</f>
        <v>3814</v>
      </c>
      <c r="I80" s="231"/>
      <c r="J80" s="231">
        <v>100</v>
      </c>
      <c r="K80" s="231">
        <f>J80*H145</f>
        <v>3814</v>
      </c>
      <c r="L80" s="231"/>
      <c r="M80" s="231">
        <v>50</v>
      </c>
      <c r="N80" s="231">
        <f>M80*J145</f>
        <v>2005.9999999999998</v>
      </c>
      <c r="O80" s="231"/>
      <c r="P80" s="231">
        <v>100</v>
      </c>
      <c r="Q80" s="231">
        <f>P80*J145</f>
        <v>4011.9999999999995</v>
      </c>
      <c r="R80" s="231">
        <f>G80+J80+M80+P80</f>
        <v>350</v>
      </c>
      <c r="S80" s="231">
        <f>H80+K80+N80+Q80</f>
        <v>13646</v>
      </c>
      <c r="U80" s="12"/>
      <c r="V80" s="11"/>
      <c r="W80" s="12"/>
    </row>
    <row r="81" spans="1:23" ht="36" customHeight="1">
      <c r="A81" s="14"/>
      <c r="B81" s="488"/>
      <c r="C81" s="489"/>
      <c r="D81" s="490"/>
      <c r="E81" s="144" t="s">
        <v>2</v>
      </c>
      <c r="F81" s="8"/>
      <c r="G81" s="231">
        <v>5.58</v>
      </c>
      <c r="H81" s="231">
        <f>G81*H147</f>
        <v>34266.277799999996</v>
      </c>
      <c r="I81" s="231"/>
      <c r="J81" s="231">
        <v>5.58</v>
      </c>
      <c r="K81" s="231">
        <f>J81*H147</f>
        <v>34266.277799999996</v>
      </c>
      <c r="L81" s="231"/>
      <c r="M81" s="231">
        <v>3.03</v>
      </c>
      <c r="N81" s="231">
        <f>M81*J147</f>
        <v>19574.527199999997</v>
      </c>
      <c r="O81" s="231"/>
      <c r="P81" s="231">
        <v>6.05</v>
      </c>
      <c r="Q81" s="231">
        <f>P81*J147</f>
        <v>39084.452</v>
      </c>
      <c r="R81" s="231">
        <f>G81+J81+M81+P81</f>
        <v>20.24</v>
      </c>
      <c r="S81" s="231">
        <f>H81+K81+N81+Q81</f>
        <v>127191.5348</v>
      </c>
      <c r="U81" s="12"/>
      <c r="V81" s="11"/>
      <c r="W81" s="12"/>
    </row>
    <row r="82" spans="1:23" ht="51.75" customHeight="1">
      <c r="A82" s="14"/>
      <c r="B82" s="461" t="s">
        <v>36</v>
      </c>
      <c r="C82" s="462"/>
      <c r="D82" s="463"/>
      <c r="E82" s="134"/>
      <c r="F82" s="8">
        <v>213</v>
      </c>
      <c r="G82" s="231"/>
      <c r="H82" s="231">
        <f>H83+H84</f>
        <v>40402.277799999996</v>
      </c>
      <c r="I82" s="231"/>
      <c r="J82" s="231"/>
      <c r="K82" s="231">
        <f>K83+K84</f>
        <v>80804.55559999999</v>
      </c>
      <c r="L82" s="231"/>
      <c r="M82" s="231"/>
      <c r="N82" s="231">
        <f>N83+N84</f>
        <v>32040.1704</v>
      </c>
      <c r="O82" s="231"/>
      <c r="P82" s="231"/>
      <c r="Q82" s="231">
        <f>Q83+Q84</f>
        <v>82099.69440000001</v>
      </c>
      <c r="R82" s="231"/>
      <c r="S82" s="231">
        <f>S83+S84</f>
        <v>235346.69819999998</v>
      </c>
      <c r="U82" s="12">
        <f>49.34*P82</f>
        <v>0</v>
      </c>
      <c r="V82" s="11">
        <f>H82+K82+N82+Q82</f>
        <v>235346.69819999998</v>
      </c>
      <c r="W82" s="12">
        <f>G82+J82+M82+P82</f>
        <v>0</v>
      </c>
    </row>
    <row r="83" spans="1:23" ht="34.5" customHeight="1">
      <c r="A83" s="14"/>
      <c r="B83" s="488"/>
      <c r="C83" s="489"/>
      <c r="D83" s="490"/>
      <c r="E83" s="144" t="s">
        <v>70</v>
      </c>
      <c r="F83" s="8"/>
      <c r="G83" s="231">
        <v>100</v>
      </c>
      <c r="H83" s="231">
        <f>G83*H146</f>
        <v>6136</v>
      </c>
      <c r="I83" s="231"/>
      <c r="J83" s="231">
        <v>200</v>
      </c>
      <c r="K83" s="231">
        <f>J83*H146</f>
        <v>12272</v>
      </c>
      <c r="L83" s="231"/>
      <c r="M83" s="231">
        <v>50</v>
      </c>
      <c r="N83" s="231">
        <f>M83*J146</f>
        <v>3227.5</v>
      </c>
      <c r="O83" s="231"/>
      <c r="P83" s="231">
        <v>190</v>
      </c>
      <c r="Q83" s="231">
        <f>P83*J146</f>
        <v>12264.5</v>
      </c>
      <c r="R83" s="231">
        <f aca="true" t="shared" si="13" ref="R83:R93">G83+J83+M83+P83</f>
        <v>540</v>
      </c>
      <c r="S83" s="231">
        <f>H83+K83+N83+Q83</f>
        <v>33900</v>
      </c>
      <c r="T83" s="67" t="s">
        <v>82</v>
      </c>
      <c r="U83" s="12"/>
      <c r="V83" s="11"/>
      <c r="W83" s="12"/>
    </row>
    <row r="84" spans="1:23" ht="39.75" customHeight="1">
      <c r="A84" s="14"/>
      <c r="B84" s="488"/>
      <c r="C84" s="489"/>
      <c r="D84" s="490"/>
      <c r="E84" s="144" t="s">
        <v>2</v>
      </c>
      <c r="F84" s="8"/>
      <c r="G84" s="231">
        <v>5.58</v>
      </c>
      <c r="H84" s="231">
        <f>G84*H148</f>
        <v>34266.277799999996</v>
      </c>
      <c r="I84" s="231"/>
      <c r="J84" s="231">
        <v>11.16</v>
      </c>
      <c r="K84" s="231">
        <f>J84*H148</f>
        <v>68532.55559999999</v>
      </c>
      <c r="L84" s="231"/>
      <c r="M84" s="231">
        <v>4.46</v>
      </c>
      <c r="N84" s="231">
        <f>M84*J148</f>
        <v>28812.6704</v>
      </c>
      <c r="O84" s="231"/>
      <c r="P84" s="231">
        <v>10.81</v>
      </c>
      <c r="Q84" s="231">
        <f>P84*J148</f>
        <v>69835.19440000001</v>
      </c>
      <c r="R84" s="231">
        <f>G84+J84+M84+P84</f>
        <v>32.010000000000005</v>
      </c>
      <c r="S84" s="231">
        <f>H84+K84+N84+Q84</f>
        <v>201446.69819999998</v>
      </c>
      <c r="U84" s="12"/>
      <c r="V84" s="11"/>
      <c r="W84" s="12"/>
    </row>
    <row r="85" spans="1:23" ht="41.25" customHeight="1">
      <c r="A85" s="14"/>
      <c r="B85" s="476" t="s">
        <v>37</v>
      </c>
      <c r="C85" s="476"/>
      <c r="D85" s="476"/>
      <c r="E85" s="139"/>
      <c r="F85" s="8">
        <v>0</v>
      </c>
      <c r="G85" s="231"/>
      <c r="H85" s="231">
        <f>H86+H87</f>
        <v>105058.2041</v>
      </c>
      <c r="I85" s="231"/>
      <c r="J85" s="231"/>
      <c r="K85" s="231">
        <f>K86+K87</f>
        <v>105058.2041</v>
      </c>
      <c r="L85" s="231"/>
      <c r="M85" s="231"/>
      <c r="N85" s="231">
        <f>N86+N87</f>
        <v>92047.25879999998</v>
      </c>
      <c r="O85" s="231"/>
      <c r="P85" s="231"/>
      <c r="Q85" s="231">
        <f>Q86+Q87</f>
        <v>117755.6604</v>
      </c>
      <c r="R85" s="231"/>
      <c r="S85" s="231">
        <f>S86+S87</f>
        <v>419919.3274</v>
      </c>
      <c r="U85" s="12">
        <f>49.34*P85</f>
        <v>0</v>
      </c>
      <c r="V85" s="11">
        <f>H85+K85+N85+Q85</f>
        <v>419919.3274</v>
      </c>
      <c r="W85" s="12">
        <f>G85+J85+M85+P85</f>
        <v>0</v>
      </c>
    </row>
    <row r="86" spans="1:23" ht="35.25" customHeight="1">
      <c r="A86" s="14"/>
      <c r="B86" s="488"/>
      <c r="C86" s="489"/>
      <c r="D86" s="490"/>
      <c r="E86" s="144" t="s">
        <v>70</v>
      </c>
      <c r="F86" s="8"/>
      <c r="G86" s="231">
        <v>260</v>
      </c>
      <c r="H86" s="231">
        <f>G86*H146</f>
        <v>15953.6</v>
      </c>
      <c r="I86" s="231"/>
      <c r="J86" s="231">
        <v>260</v>
      </c>
      <c r="K86" s="231">
        <f>J86*H146</f>
        <v>15953.6</v>
      </c>
      <c r="L86" s="231"/>
      <c r="M86" s="231">
        <v>213</v>
      </c>
      <c r="N86" s="231">
        <f>M86*J146</f>
        <v>13749.15</v>
      </c>
      <c r="O86" s="231"/>
      <c r="P86" s="231">
        <v>277</v>
      </c>
      <c r="Q86" s="231">
        <f>P86*J146</f>
        <v>17880.35</v>
      </c>
      <c r="R86" s="231">
        <f t="shared" si="13"/>
        <v>1010</v>
      </c>
      <c r="S86" s="231">
        <f>H86+K86+N86+Q86</f>
        <v>63536.7</v>
      </c>
      <c r="U86" s="12"/>
      <c r="V86" s="11"/>
      <c r="W86" s="12"/>
    </row>
    <row r="87" spans="1:23" ht="37.5" customHeight="1">
      <c r="A87" s="14"/>
      <c r="B87" s="488"/>
      <c r="C87" s="489"/>
      <c r="D87" s="490"/>
      <c r="E87" s="144" t="s">
        <v>2</v>
      </c>
      <c r="F87" s="8"/>
      <c r="G87" s="231">
        <v>14.51</v>
      </c>
      <c r="H87" s="231">
        <f>G87*H148</f>
        <v>89104.6041</v>
      </c>
      <c r="I87" s="231"/>
      <c r="J87" s="231">
        <v>14.51</v>
      </c>
      <c r="K87" s="231">
        <f>J87*H148</f>
        <v>89104.6041</v>
      </c>
      <c r="L87" s="231"/>
      <c r="M87" s="231">
        <v>12.12</v>
      </c>
      <c r="N87" s="231">
        <f>M87*J148</f>
        <v>78298.10879999999</v>
      </c>
      <c r="O87" s="231"/>
      <c r="P87" s="231">
        <v>15.46</v>
      </c>
      <c r="Q87" s="231">
        <f>P87*J148</f>
        <v>99875.3104</v>
      </c>
      <c r="R87" s="231">
        <f t="shared" si="13"/>
        <v>56.6</v>
      </c>
      <c r="S87" s="231">
        <f>H87+K87+N87+Q87</f>
        <v>356382.6274</v>
      </c>
      <c r="U87" s="12"/>
      <c r="V87" s="11"/>
      <c r="W87" s="12"/>
    </row>
    <row r="88" spans="1:23" s="120" customFormat="1" ht="33" customHeight="1">
      <c r="A88" s="114"/>
      <c r="B88" s="519" t="s">
        <v>38</v>
      </c>
      <c r="C88" s="519"/>
      <c r="D88" s="519"/>
      <c r="E88" s="115"/>
      <c r="F88" s="116">
        <v>651</v>
      </c>
      <c r="G88" s="252"/>
      <c r="H88" s="252">
        <f>H89+H90</f>
        <v>204202.3363</v>
      </c>
      <c r="I88" s="252"/>
      <c r="J88" s="252"/>
      <c r="K88" s="252">
        <f>K89+K90</f>
        <v>175466.03230000002</v>
      </c>
      <c r="L88" s="252"/>
      <c r="M88" s="252"/>
      <c r="N88" s="252">
        <f>N89+N90</f>
        <v>143964.2192</v>
      </c>
      <c r="O88" s="252"/>
      <c r="P88" s="252"/>
      <c r="Q88" s="252">
        <f>Q89+Q90</f>
        <v>253111.3536</v>
      </c>
      <c r="R88" s="252"/>
      <c r="S88" s="252">
        <f>S89+S90</f>
        <v>776743.9414</v>
      </c>
      <c r="T88" s="117"/>
      <c r="U88" s="118">
        <f>37.94*P88</f>
        <v>0</v>
      </c>
      <c r="V88" s="119">
        <f>H88+K88+N88+Q88</f>
        <v>776743.9414</v>
      </c>
      <c r="W88" s="118">
        <f>G88+J88+M88+P88</f>
        <v>0</v>
      </c>
    </row>
    <row r="89" spans="1:23" ht="36.75" customHeight="1">
      <c r="A89" s="14"/>
      <c r="B89" s="488"/>
      <c r="C89" s="489"/>
      <c r="D89" s="490"/>
      <c r="E89" s="144" t="s">
        <v>70</v>
      </c>
      <c r="F89" s="8"/>
      <c r="G89" s="231">
        <v>535</v>
      </c>
      <c r="H89" s="231">
        <f>G89*H145</f>
        <v>20404.9</v>
      </c>
      <c r="I89" s="231"/>
      <c r="J89" s="231">
        <v>490</v>
      </c>
      <c r="K89" s="231">
        <f>J89*H145</f>
        <v>18688.6</v>
      </c>
      <c r="L89" s="231"/>
      <c r="M89" s="231">
        <v>355</v>
      </c>
      <c r="N89" s="231">
        <f>M89*J145</f>
        <v>14242.599999999999</v>
      </c>
      <c r="O89" s="231"/>
      <c r="P89" s="231">
        <v>570</v>
      </c>
      <c r="Q89" s="231">
        <f>P89*J145</f>
        <v>22868.399999999998</v>
      </c>
      <c r="R89" s="231">
        <f t="shared" si="13"/>
        <v>1950</v>
      </c>
      <c r="S89" s="231">
        <f>H89+K89+N89+Q89</f>
        <v>76204.5</v>
      </c>
      <c r="T89" s="67" t="s">
        <v>82</v>
      </c>
      <c r="U89" s="12"/>
      <c r="V89" s="11"/>
      <c r="W89" s="12"/>
    </row>
    <row r="90" spans="1:23" ht="33" customHeight="1">
      <c r="A90" s="14"/>
      <c r="B90" s="488"/>
      <c r="C90" s="489"/>
      <c r="D90" s="490"/>
      <c r="E90" s="144" t="s">
        <v>2</v>
      </c>
      <c r="F90" s="8"/>
      <c r="G90" s="231">
        <v>29.93</v>
      </c>
      <c r="H90" s="231">
        <f>G90*H147</f>
        <v>183797.4363</v>
      </c>
      <c r="I90" s="231"/>
      <c r="J90" s="231">
        <v>25.53</v>
      </c>
      <c r="K90" s="231">
        <f>J90*H147</f>
        <v>156777.43230000001</v>
      </c>
      <c r="L90" s="231"/>
      <c r="M90" s="231">
        <v>20.08</v>
      </c>
      <c r="N90" s="231">
        <f>M90*J147</f>
        <v>129721.61919999999</v>
      </c>
      <c r="O90" s="231"/>
      <c r="P90" s="231">
        <v>35.64</v>
      </c>
      <c r="Q90" s="231">
        <f>P90*J147</f>
        <v>230242.9536</v>
      </c>
      <c r="R90" s="231">
        <f t="shared" si="13"/>
        <v>111.17999999999999</v>
      </c>
      <c r="S90" s="231">
        <f>H90+K90+N90+Q90</f>
        <v>700539.4414</v>
      </c>
      <c r="U90" s="12"/>
      <c r="V90" s="11"/>
      <c r="W90" s="12"/>
    </row>
    <row r="91" spans="1:23" ht="52.5" customHeight="1">
      <c r="A91" s="14"/>
      <c r="B91" s="476" t="s">
        <v>39</v>
      </c>
      <c r="C91" s="476"/>
      <c r="D91" s="476"/>
      <c r="E91" s="139"/>
      <c r="F91" s="8">
        <v>15.1</v>
      </c>
      <c r="G91" s="231"/>
      <c r="H91" s="231">
        <f>H92+H93</f>
        <v>5730.4644</v>
      </c>
      <c r="I91" s="231"/>
      <c r="J91" s="231"/>
      <c r="K91" s="231">
        <f>K92+K93</f>
        <v>5323.8698</v>
      </c>
      <c r="L91" s="231"/>
      <c r="M91" s="231"/>
      <c r="N91" s="231">
        <f>N92+N93</f>
        <v>6052.884</v>
      </c>
      <c r="O91" s="231"/>
      <c r="P91" s="231"/>
      <c r="Q91" s="231">
        <f>Q92+Q93</f>
        <v>7336.0872</v>
      </c>
      <c r="R91" s="231"/>
      <c r="S91" s="231">
        <f>S92+S93</f>
        <v>24443.305399999997</v>
      </c>
      <c r="U91" s="12">
        <f>37.94*P91</f>
        <v>0</v>
      </c>
      <c r="V91" s="11">
        <f>H91+K91+N91+Q91</f>
        <v>24443.305400000005</v>
      </c>
      <c r="W91" s="12">
        <f>G91+J91+M91+P91</f>
        <v>0</v>
      </c>
    </row>
    <row r="92" spans="1:23" ht="42" customHeight="1">
      <c r="A92" s="14"/>
      <c r="B92" s="488"/>
      <c r="C92" s="489"/>
      <c r="D92" s="490"/>
      <c r="E92" s="144" t="s">
        <v>70</v>
      </c>
      <c r="F92" s="8"/>
      <c r="G92" s="231">
        <v>15</v>
      </c>
      <c r="H92" s="231">
        <f>G92*H145</f>
        <v>572.1</v>
      </c>
      <c r="I92" s="231"/>
      <c r="J92" s="231">
        <v>14</v>
      </c>
      <c r="K92" s="231">
        <f>J92*H145</f>
        <v>533.96</v>
      </c>
      <c r="L92" s="231"/>
      <c r="M92" s="231">
        <v>14</v>
      </c>
      <c r="N92" s="231">
        <f>M92*J145</f>
        <v>561.68</v>
      </c>
      <c r="O92" s="231"/>
      <c r="P92" s="231">
        <v>17</v>
      </c>
      <c r="Q92" s="231">
        <f>P92*J145</f>
        <v>682.04</v>
      </c>
      <c r="R92" s="231">
        <f t="shared" si="13"/>
        <v>60</v>
      </c>
      <c r="S92" s="231">
        <f>H92+K92+N92+Q92</f>
        <v>2349.7799999999997</v>
      </c>
      <c r="T92" s="67" t="s">
        <v>82</v>
      </c>
      <c r="U92" s="12"/>
      <c r="V92" s="11"/>
      <c r="W92" s="12"/>
    </row>
    <row r="93" spans="1:23" ht="43.5" customHeight="1">
      <c r="A93" s="14"/>
      <c r="B93" s="488"/>
      <c r="C93" s="489"/>
      <c r="D93" s="490"/>
      <c r="E93" s="144" t="s">
        <v>2</v>
      </c>
      <c r="F93" s="8"/>
      <c r="G93" s="231">
        <v>0.84</v>
      </c>
      <c r="H93" s="231">
        <f>G93*H147</f>
        <v>5158.3643999999995</v>
      </c>
      <c r="I93" s="231"/>
      <c r="J93" s="231">
        <v>0.78</v>
      </c>
      <c r="K93" s="231">
        <f>J93*H147</f>
        <v>4789.9098</v>
      </c>
      <c r="L93" s="231"/>
      <c r="M93" s="231">
        <v>0.85</v>
      </c>
      <c r="N93" s="231">
        <f>M93*J147</f>
        <v>5491.204</v>
      </c>
      <c r="O93" s="231"/>
      <c r="P93" s="231">
        <v>1.03</v>
      </c>
      <c r="Q93" s="231">
        <f>P93*J147</f>
        <v>6654.0472</v>
      </c>
      <c r="R93" s="231">
        <f t="shared" si="13"/>
        <v>3.5</v>
      </c>
      <c r="S93" s="231">
        <f>H93+K93+N93+Q93</f>
        <v>22093.5254</v>
      </c>
      <c r="U93" s="12"/>
      <c r="V93" s="11"/>
      <c r="W93" s="12"/>
    </row>
    <row r="94" spans="1:23" s="97" customFormat="1" ht="54.75" customHeight="1">
      <c r="A94" s="91">
        <v>3</v>
      </c>
      <c r="B94" s="480" t="s">
        <v>42</v>
      </c>
      <c r="C94" s="481"/>
      <c r="D94" s="482"/>
      <c r="E94" s="92" t="s">
        <v>84</v>
      </c>
      <c r="F94" s="98"/>
      <c r="G94" s="93"/>
      <c r="H94" s="93">
        <f>H97+H100</f>
        <v>10557.88411</v>
      </c>
      <c r="I94" s="93"/>
      <c r="J94" s="93"/>
      <c r="K94" s="93">
        <f>K97+K100</f>
        <v>10943.74321</v>
      </c>
      <c r="L94" s="93"/>
      <c r="M94" s="93"/>
      <c r="N94" s="93">
        <f>N97+N100</f>
        <v>11944.508010000001</v>
      </c>
      <c r="O94" s="93"/>
      <c r="P94" s="93"/>
      <c r="Q94" s="93">
        <f>Q97+Q100</f>
        <v>11836.593630000001</v>
      </c>
      <c r="R94" s="93"/>
      <c r="S94" s="93">
        <f>S97+S100</f>
        <v>45282.72895999999</v>
      </c>
      <c r="T94" s="94"/>
      <c r="U94" s="95"/>
      <c r="V94" s="96"/>
      <c r="W94" s="95">
        <f>G94+J94+M94+P94</f>
        <v>0</v>
      </c>
    </row>
    <row r="95" spans="1:23" ht="54.75" customHeight="1">
      <c r="A95" s="14"/>
      <c r="B95" s="483"/>
      <c r="C95" s="484"/>
      <c r="D95" s="485"/>
      <c r="E95" s="143" t="s">
        <v>70</v>
      </c>
      <c r="F95" s="8"/>
      <c r="G95" s="346">
        <f>G98+G101</f>
        <v>24.700000000000003</v>
      </c>
      <c r="H95" s="59">
        <f>H98+H101</f>
        <v>1008.7690600000001</v>
      </c>
      <c r="I95" s="59"/>
      <c r="J95" s="346">
        <f>J98+J101</f>
        <v>25.677999999999997</v>
      </c>
      <c r="K95" s="59">
        <f>K98+K101</f>
        <v>1050.7372</v>
      </c>
      <c r="L95" s="59"/>
      <c r="M95" s="346">
        <f>M98+M101</f>
        <v>26.656</v>
      </c>
      <c r="N95" s="59">
        <f>N98+N101</f>
        <v>1149.44697</v>
      </c>
      <c r="O95" s="59"/>
      <c r="P95" s="346">
        <f>P98+P101</f>
        <v>26.412000000000003</v>
      </c>
      <c r="Q95" s="59">
        <f>Q98+Q101</f>
        <v>1138.43619</v>
      </c>
      <c r="R95" s="346">
        <f>G95+J95+M95+P95</f>
        <v>103.446</v>
      </c>
      <c r="S95" s="59">
        <f>H95+K95+N95+Q95</f>
        <v>4347.3894199999995</v>
      </c>
      <c r="U95" s="12"/>
      <c r="V95" s="11"/>
      <c r="W95" s="12"/>
    </row>
    <row r="96" spans="1:23" ht="54.75" customHeight="1">
      <c r="A96" s="14"/>
      <c r="B96" s="483"/>
      <c r="C96" s="484"/>
      <c r="D96" s="485"/>
      <c r="E96" s="143" t="s">
        <v>2</v>
      </c>
      <c r="F96" s="8"/>
      <c r="G96" s="346">
        <f>G99+G102</f>
        <v>1.555</v>
      </c>
      <c r="H96" s="59">
        <f>H99+H102</f>
        <v>9549.11505</v>
      </c>
      <c r="I96" s="59"/>
      <c r="J96" s="346">
        <f>J99+J102</f>
        <v>1.611</v>
      </c>
      <c r="K96" s="59">
        <f>K99+K102</f>
        <v>9893.006010000001</v>
      </c>
      <c r="L96" s="59"/>
      <c r="M96" s="346">
        <f>M99+M102</f>
        <v>1.671</v>
      </c>
      <c r="N96" s="59">
        <f>N99+N102</f>
        <v>10795.06104</v>
      </c>
      <c r="O96" s="59"/>
      <c r="P96" s="346">
        <f>P99+P102</f>
        <v>1.6560000000000001</v>
      </c>
      <c r="Q96" s="59">
        <f>Q99+Q102</f>
        <v>10698.15744</v>
      </c>
      <c r="R96" s="349">
        <f>G96+J96+M96+P96</f>
        <v>6.493</v>
      </c>
      <c r="S96" s="59">
        <f>H96+K96+N96+Q96</f>
        <v>40935.33954</v>
      </c>
      <c r="U96" s="12"/>
      <c r="V96" s="11"/>
      <c r="W96" s="12"/>
    </row>
    <row r="97" spans="1:23" ht="47.25" customHeight="1">
      <c r="A97" s="14"/>
      <c r="B97" s="488" t="s">
        <v>71</v>
      </c>
      <c r="C97" s="489"/>
      <c r="D97" s="490"/>
      <c r="E97" s="144"/>
      <c r="F97" s="8"/>
      <c r="G97" s="231"/>
      <c r="H97" s="231">
        <f>H98+H99</f>
        <v>9374.48759</v>
      </c>
      <c r="I97" s="231"/>
      <c r="J97" s="231"/>
      <c r="K97" s="231">
        <f>K98+K99</f>
        <v>9686.60423</v>
      </c>
      <c r="L97" s="231"/>
      <c r="M97" s="231"/>
      <c r="N97" s="231">
        <f>N98+N99</f>
        <v>10531.502120000001</v>
      </c>
      <c r="O97" s="231"/>
      <c r="P97" s="231"/>
      <c r="Q97" s="231">
        <f>Q98+Q99</f>
        <v>10446.195960000001</v>
      </c>
      <c r="R97" s="231"/>
      <c r="S97" s="231">
        <f>S98+S99</f>
        <v>40038.789899999996</v>
      </c>
      <c r="U97" s="12"/>
      <c r="V97" s="11"/>
      <c r="W97" s="12"/>
    </row>
    <row r="98" spans="1:23" ht="45.75" customHeight="1">
      <c r="A98" s="14"/>
      <c r="B98" s="488"/>
      <c r="C98" s="489"/>
      <c r="D98" s="490"/>
      <c r="E98" s="144" t="s">
        <v>70</v>
      </c>
      <c r="F98" s="8"/>
      <c r="G98" s="261">
        <v>21.827</v>
      </c>
      <c r="H98" s="231">
        <f>G98*H145</f>
        <v>832.4817800000001</v>
      </c>
      <c r="I98" s="231"/>
      <c r="J98" s="231">
        <v>22.604</v>
      </c>
      <c r="K98" s="231">
        <f>J98*H145</f>
        <v>862.1165599999999</v>
      </c>
      <c r="L98" s="231"/>
      <c r="M98" s="261">
        <v>23.381</v>
      </c>
      <c r="N98" s="231">
        <f>M98*J145</f>
        <v>938.04572</v>
      </c>
      <c r="O98" s="231"/>
      <c r="P98" s="261">
        <v>23.187</v>
      </c>
      <c r="Q98" s="231">
        <f>P98*J145</f>
        <v>930.26244</v>
      </c>
      <c r="R98" s="261">
        <f>G98+J98+M98+P98</f>
        <v>90.999</v>
      </c>
      <c r="S98" s="231">
        <f>H98+K98+N98+Q98</f>
        <v>3562.9065</v>
      </c>
      <c r="U98" s="12"/>
      <c r="V98" s="11"/>
      <c r="W98" s="12"/>
    </row>
    <row r="99" spans="1:23" ht="38.25" customHeight="1">
      <c r="A99" s="14"/>
      <c r="B99" s="488"/>
      <c r="C99" s="489"/>
      <c r="D99" s="490"/>
      <c r="E99" s="144" t="s">
        <v>2</v>
      </c>
      <c r="F99" s="8"/>
      <c r="G99" s="261">
        <v>1.391</v>
      </c>
      <c r="H99" s="231">
        <f>G99*H147</f>
        <v>8542.00581</v>
      </c>
      <c r="I99" s="231"/>
      <c r="J99" s="261">
        <v>1.437</v>
      </c>
      <c r="K99" s="231">
        <f>J99*H147</f>
        <v>8824.48767</v>
      </c>
      <c r="L99" s="231"/>
      <c r="M99" s="261">
        <v>1.485</v>
      </c>
      <c r="N99" s="231">
        <f>M99*J147</f>
        <v>9593.456400000001</v>
      </c>
      <c r="O99" s="231"/>
      <c r="P99" s="261">
        <v>1.473</v>
      </c>
      <c r="Q99" s="231">
        <f>P99*J147</f>
        <v>9515.93352</v>
      </c>
      <c r="R99" s="261">
        <f>G99+J99+M99+P99</f>
        <v>5.7860000000000005</v>
      </c>
      <c r="S99" s="231">
        <f>H99+K99+N99+Q99</f>
        <v>36475.8834</v>
      </c>
      <c r="U99" s="12"/>
      <c r="V99" s="11"/>
      <c r="W99" s="12"/>
    </row>
    <row r="100" spans="1:23" ht="46.5" customHeight="1">
      <c r="A100" s="14"/>
      <c r="B100" s="488" t="s">
        <v>72</v>
      </c>
      <c r="C100" s="489"/>
      <c r="D100" s="490"/>
      <c r="E100" s="144"/>
      <c r="F100" s="8"/>
      <c r="G100" s="231"/>
      <c r="H100" s="231">
        <f>H101+H102</f>
        <v>1183.39652</v>
      </c>
      <c r="I100" s="231"/>
      <c r="J100" s="231"/>
      <c r="K100" s="231">
        <f>K101+K102</f>
        <v>1257.1389799999997</v>
      </c>
      <c r="L100" s="231"/>
      <c r="M100" s="231"/>
      <c r="N100" s="231">
        <f>N101+N102</f>
        <v>1413.00589</v>
      </c>
      <c r="O100" s="231"/>
      <c r="P100" s="231"/>
      <c r="Q100" s="231">
        <f>Q101+Q102</f>
        <v>1390.3976699999998</v>
      </c>
      <c r="R100" s="231"/>
      <c r="S100" s="231">
        <f>S101+S102</f>
        <v>5243.939060000001</v>
      </c>
      <c r="U100" s="12"/>
      <c r="V100" s="11"/>
      <c r="W100" s="12"/>
    </row>
    <row r="101" spans="1:23" ht="36.75" customHeight="1">
      <c r="A101" s="14"/>
      <c r="B101" s="488"/>
      <c r="C101" s="489"/>
      <c r="D101" s="490"/>
      <c r="E101" s="144" t="s">
        <v>70</v>
      </c>
      <c r="F101" s="8"/>
      <c r="G101" s="261">
        <v>2.873</v>
      </c>
      <c r="H101" s="231">
        <f>G101*H146</f>
        <v>176.28728</v>
      </c>
      <c r="I101" s="231"/>
      <c r="J101" s="261">
        <v>3.074</v>
      </c>
      <c r="K101" s="231">
        <f>J101*H146</f>
        <v>188.62063999999998</v>
      </c>
      <c r="L101" s="231"/>
      <c r="M101" s="261">
        <v>3.275</v>
      </c>
      <c r="N101" s="231">
        <f>M101*J146</f>
        <v>211.40124999999998</v>
      </c>
      <c r="O101" s="231"/>
      <c r="P101" s="261">
        <v>3.225</v>
      </c>
      <c r="Q101" s="231">
        <f>P101*J146</f>
        <v>208.17374999999998</v>
      </c>
      <c r="R101" s="261">
        <f>G101+J101+M101+P101</f>
        <v>12.447</v>
      </c>
      <c r="S101" s="231">
        <f>H101+K101+N101+Q101</f>
        <v>784.4829199999999</v>
      </c>
      <c r="U101" s="12"/>
      <c r="V101" s="11"/>
      <c r="W101" s="12"/>
    </row>
    <row r="102" spans="1:23" ht="46.5" customHeight="1">
      <c r="A102" s="14"/>
      <c r="B102" s="488"/>
      <c r="C102" s="489"/>
      <c r="D102" s="490"/>
      <c r="E102" s="144" t="s">
        <v>2</v>
      </c>
      <c r="F102" s="8"/>
      <c r="G102" s="261">
        <v>0.164</v>
      </c>
      <c r="H102" s="231">
        <f>G102*H148</f>
        <v>1007.10924</v>
      </c>
      <c r="I102" s="231"/>
      <c r="J102" s="261">
        <v>0.174</v>
      </c>
      <c r="K102" s="231">
        <f>J102*H148</f>
        <v>1068.5183399999999</v>
      </c>
      <c r="L102" s="231"/>
      <c r="M102" s="261">
        <v>0.186</v>
      </c>
      <c r="N102" s="231">
        <f>M102*J148</f>
        <v>1201.60464</v>
      </c>
      <c r="O102" s="231"/>
      <c r="P102" s="261">
        <v>0.183</v>
      </c>
      <c r="Q102" s="231">
        <f>P102*J148</f>
        <v>1182.22392</v>
      </c>
      <c r="R102" s="261">
        <f>G102+J102+M102+P102</f>
        <v>0.7070000000000001</v>
      </c>
      <c r="S102" s="231">
        <f>H102+K102+N102+Q102</f>
        <v>4459.45614</v>
      </c>
      <c r="U102" s="12"/>
      <c r="V102" s="11"/>
      <c r="W102" s="12"/>
    </row>
    <row r="103" spans="1:23" s="97" customFormat="1" ht="45" customHeight="1">
      <c r="A103" s="91">
        <v>4</v>
      </c>
      <c r="B103" s="480" t="s">
        <v>43</v>
      </c>
      <c r="C103" s="481"/>
      <c r="D103" s="482"/>
      <c r="E103" s="142"/>
      <c r="F103" s="98">
        <v>31</v>
      </c>
      <c r="G103" s="93"/>
      <c r="H103" s="93">
        <f>H104</f>
        <v>0</v>
      </c>
      <c r="I103" s="93"/>
      <c r="J103" s="93"/>
      <c r="K103" s="93">
        <f>K104</f>
        <v>0</v>
      </c>
      <c r="L103" s="93"/>
      <c r="M103" s="93"/>
      <c r="N103" s="93">
        <f>N104</f>
        <v>0</v>
      </c>
      <c r="O103" s="93"/>
      <c r="P103" s="93"/>
      <c r="Q103" s="93">
        <f>Q104</f>
        <v>0</v>
      </c>
      <c r="R103" s="93"/>
      <c r="S103" s="93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1.25" customHeight="1" hidden="1">
      <c r="A104" s="14"/>
      <c r="B104" s="461" t="s">
        <v>45</v>
      </c>
      <c r="C104" s="462"/>
      <c r="D104" s="463"/>
      <c r="E104" s="133"/>
      <c r="F104" s="14">
        <v>51</v>
      </c>
      <c r="G104" s="59"/>
      <c r="H104" s="231">
        <f>H105+H106</f>
        <v>0</v>
      </c>
      <c r="I104" s="231"/>
      <c r="J104" s="231"/>
      <c r="K104" s="231">
        <f>K105+K106</f>
        <v>0</v>
      </c>
      <c r="L104" s="231"/>
      <c r="M104" s="231"/>
      <c r="N104" s="231">
        <f>N105+N106</f>
        <v>0</v>
      </c>
      <c r="O104" s="231"/>
      <c r="P104" s="231"/>
      <c r="Q104" s="231">
        <f>Q105+Q106</f>
        <v>0</v>
      </c>
      <c r="R104" s="231"/>
      <c r="S104" s="231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36.75" customHeight="1" hidden="1">
      <c r="A105" s="14"/>
      <c r="B105" s="488"/>
      <c r="C105" s="489"/>
      <c r="D105" s="490"/>
      <c r="E105" s="144" t="s">
        <v>70</v>
      </c>
      <c r="F105" s="8"/>
      <c r="G105" s="231"/>
      <c r="H105" s="231">
        <f>G105*H145</f>
        <v>0</v>
      </c>
      <c r="I105" s="231"/>
      <c r="J105" s="231"/>
      <c r="K105" s="231">
        <f>J105*H145</f>
        <v>0</v>
      </c>
      <c r="L105" s="231"/>
      <c r="M105" s="231"/>
      <c r="N105" s="231">
        <f>M105*J145</f>
        <v>0</v>
      </c>
      <c r="O105" s="231"/>
      <c r="P105" s="231"/>
      <c r="Q105" s="231">
        <f>P105*J145</f>
        <v>0</v>
      </c>
      <c r="R105" s="231">
        <f>G105+J105+M105+P105</f>
        <v>0</v>
      </c>
      <c r="S105" s="231">
        <f>H105+K105+N105+Q105</f>
        <v>0</v>
      </c>
      <c r="U105" s="12"/>
      <c r="V105" s="11"/>
      <c r="W105" s="12"/>
    </row>
    <row r="106" spans="1:23" ht="36.75" customHeight="1" hidden="1">
      <c r="A106" s="14"/>
      <c r="B106" s="488"/>
      <c r="C106" s="489"/>
      <c r="D106" s="490"/>
      <c r="E106" s="144" t="s">
        <v>2</v>
      </c>
      <c r="F106" s="8"/>
      <c r="G106" s="231"/>
      <c r="H106" s="231">
        <f>G106*H147</f>
        <v>0</v>
      </c>
      <c r="I106" s="231"/>
      <c r="J106" s="231"/>
      <c r="K106" s="231">
        <f>J106*H147</f>
        <v>0</v>
      </c>
      <c r="L106" s="231"/>
      <c r="M106" s="231"/>
      <c r="N106" s="231">
        <f>M106*J147</f>
        <v>0</v>
      </c>
      <c r="O106" s="231"/>
      <c r="P106" s="231"/>
      <c r="Q106" s="231">
        <f>P106*J147</f>
        <v>0</v>
      </c>
      <c r="R106" s="231">
        <f>G106+J106+M106+P106</f>
        <v>0</v>
      </c>
      <c r="S106" s="231">
        <f>H106+K106+N106+Q106</f>
        <v>0</v>
      </c>
      <c r="U106" s="12"/>
      <c r="V106" s="11"/>
      <c r="W106" s="12"/>
    </row>
    <row r="107" spans="1:23" s="97" customFormat="1" ht="48" customHeight="1">
      <c r="A107" s="91">
        <v>5</v>
      </c>
      <c r="B107" s="480" t="s">
        <v>47</v>
      </c>
      <c r="C107" s="481"/>
      <c r="D107" s="482"/>
      <c r="E107" s="92" t="s">
        <v>84</v>
      </c>
      <c r="F107" s="98"/>
      <c r="G107" s="93"/>
      <c r="H107" s="93">
        <f>H110+H113+H116+H119</f>
        <v>30086.530700000003</v>
      </c>
      <c r="I107" s="93"/>
      <c r="J107" s="93"/>
      <c r="K107" s="93">
        <f>K110+K113+K116+K119</f>
        <v>24338.6164</v>
      </c>
      <c r="L107" s="93"/>
      <c r="M107" s="93"/>
      <c r="N107" s="93">
        <f>N110+N113+N116+N119</f>
        <v>20462.0292</v>
      </c>
      <c r="O107" s="93"/>
      <c r="P107" s="93"/>
      <c r="Q107" s="93">
        <f>Q110+Q113+Q116+Q119</f>
        <v>32496.532</v>
      </c>
      <c r="R107" s="93"/>
      <c r="S107" s="93">
        <f>S110+S113+S116+S119</f>
        <v>107383.7083</v>
      </c>
      <c r="T107" s="94"/>
      <c r="U107" s="95"/>
      <c r="V107" s="96"/>
      <c r="W107" s="95"/>
    </row>
    <row r="108" spans="1:23" ht="38.25" customHeight="1">
      <c r="A108" s="14"/>
      <c r="B108" s="483"/>
      <c r="C108" s="484"/>
      <c r="D108" s="485"/>
      <c r="E108" s="133" t="s">
        <v>70</v>
      </c>
      <c r="F108" s="8"/>
      <c r="G108" s="59">
        <f>G111+G114+G117+G120</f>
        <v>76.1</v>
      </c>
      <c r="H108" s="59">
        <f>H111+H114+H117+H120</f>
        <v>3250.754</v>
      </c>
      <c r="I108" s="59"/>
      <c r="J108" s="59">
        <f>J111+J114+J117+J120</f>
        <v>60.25</v>
      </c>
      <c r="K108" s="59">
        <f>K111+K114+K117+K120</f>
        <v>2599.795</v>
      </c>
      <c r="L108" s="59"/>
      <c r="M108" s="59">
        <f>M111+M114+M117+M120</f>
        <v>48.019999999999996</v>
      </c>
      <c r="N108" s="59">
        <f>N111+N114+N117+N120</f>
        <v>2244.1524</v>
      </c>
      <c r="O108" s="59"/>
      <c r="P108" s="59">
        <f>P111+P114+P117+P120</f>
        <v>77.64</v>
      </c>
      <c r="Q108" s="59">
        <f>Q111+Q114+Q117+Q120</f>
        <v>3554.6568</v>
      </c>
      <c r="R108" s="59">
        <f>G108+J108+M108+P108</f>
        <v>262.01</v>
      </c>
      <c r="S108" s="59">
        <f>H108+K108+N108+Q108</f>
        <v>11649.3582</v>
      </c>
      <c r="U108" s="12"/>
      <c r="V108" s="11"/>
      <c r="W108" s="12"/>
    </row>
    <row r="109" spans="1:23" ht="38.25" customHeight="1">
      <c r="A109" s="14"/>
      <c r="B109" s="483"/>
      <c r="C109" s="484"/>
      <c r="D109" s="485"/>
      <c r="E109" s="133" t="s">
        <v>2</v>
      </c>
      <c r="F109" s="8"/>
      <c r="G109" s="59">
        <f>G112+G115+G118+G121</f>
        <v>4.369999999999999</v>
      </c>
      <c r="H109" s="59">
        <f>H112+H115+H118+H121</f>
        <v>26835.7767</v>
      </c>
      <c r="I109" s="59"/>
      <c r="J109" s="59">
        <f>J112+J115+J118+J121</f>
        <v>3.54</v>
      </c>
      <c r="K109" s="59">
        <f>K112+K115+K118+K121</f>
        <v>21738.821399999997</v>
      </c>
      <c r="L109" s="59"/>
      <c r="M109" s="59">
        <f>M112+M115+M118+M121</f>
        <v>2.82</v>
      </c>
      <c r="N109" s="59">
        <f>N112+N115+N118+N121</f>
        <v>18217.876800000002</v>
      </c>
      <c r="O109" s="59"/>
      <c r="P109" s="59">
        <f>P112+P115+P118+P121</f>
        <v>4.4799999999999995</v>
      </c>
      <c r="Q109" s="59">
        <f>Q112+Q115+Q118+Q121</f>
        <v>28941.875200000002</v>
      </c>
      <c r="R109" s="59">
        <f>G109+J109+M109+P109</f>
        <v>15.209999999999997</v>
      </c>
      <c r="S109" s="59">
        <f>H109+K109+N109+Q109</f>
        <v>95734.35010000001</v>
      </c>
      <c r="U109" s="12"/>
      <c r="V109" s="11"/>
      <c r="W109" s="12"/>
    </row>
    <row r="110" spans="1:23" ht="41.25" customHeight="1">
      <c r="A110" s="14"/>
      <c r="B110" s="461" t="s">
        <v>48</v>
      </c>
      <c r="C110" s="462"/>
      <c r="D110" s="463"/>
      <c r="E110" s="134"/>
      <c r="F110" s="8"/>
      <c r="G110" s="231"/>
      <c r="H110" s="231">
        <f>H111+H112</f>
        <v>1418.1228999999998</v>
      </c>
      <c r="I110" s="231"/>
      <c r="J110" s="231"/>
      <c r="K110" s="231">
        <f>K111+K112</f>
        <v>1086.2864</v>
      </c>
      <c r="L110" s="231"/>
      <c r="M110" s="231"/>
      <c r="N110" s="231">
        <f>N111+N112</f>
        <v>1926.4096000000002</v>
      </c>
      <c r="O110" s="231"/>
      <c r="P110" s="231"/>
      <c r="Q110" s="231">
        <f>Q111+Q112</f>
        <v>4058.2611999999995</v>
      </c>
      <c r="R110" s="231"/>
      <c r="S110" s="231">
        <f>S111+S112</f>
        <v>8489.0801</v>
      </c>
      <c r="U110" s="12"/>
      <c r="V110" s="11"/>
      <c r="W110" s="12"/>
    </row>
    <row r="111" spans="1:23" ht="38.25" customHeight="1">
      <c r="A111" s="14"/>
      <c r="B111" s="488"/>
      <c r="C111" s="489"/>
      <c r="D111" s="490"/>
      <c r="E111" s="144" t="s">
        <v>70</v>
      </c>
      <c r="F111" s="8"/>
      <c r="G111" s="231">
        <v>3.37</v>
      </c>
      <c r="H111" s="231">
        <f>G111*H145</f>
        <v>128.5318</v>
      </c>
      <c r="I111" s="231"/>
      <c r="J111" s="231">
        <v>2.72</v>
      </c>
      <c r="K111" s="231">
        <f>J111*H145</f>
        <v>103.74080000000001</v>
      </c>
      <c r="L111" s="231"/>
      <c r="M111" s="231">
        <v>4.54</v>
      </c>
      <c r="N111" s="231">
        <f>M111*J145</f>
        <v>182.1448</v>
      </c>
      <c r="O111" s="231"/>
      <c r="P111" s="231">
        <v>9.37</v>
      </c>
      <c r="Q111" s="231">
        <f>P111*J145</f>
        <v>375.92439999999993</v>
      </c>
      <c r="R111" s="231">
        <f>G111+J111+M111+P111</f>
        <v>20</v>
      </c>
      <c r="S111" s="231">
        <f>H111+K111+N111+Q111</f>
        <v>790.3417999999999</v>
      </c>
      <c r="U111" s="12"/>
      <c r="V111" s="11"/>
      <c r="W111" s="12"/>
    </row>
    <row r="112" spans="1:23" ht="36.75" customHeight="1">
      <c r="A112" s="14"/>
      <c r="B112" s="488"/>
      <c r="C112" s="489"/>
      <c r="D112" s="490"/>
      <c r="E112" s="144" t="s">
        <v>2</v>
      </c>
      <c r="F112" s="8"/>
      <c r="G112" s="231">
        <v>0.21</v>
      </c>
      <c r="H112" s="231">
        <f>G112*H147</f>
        <v>1289.5910999999999</v>
      </c>
      <c r="I112" s="231"/>
      <c r="J112" s="231">
        <v>0.16</v>
      </c>
      <c r="K112" s="231">
        <f>J112*H147</f>
        <v>982.5456</v>
      </c>
      <c r="L112" s="231"/>
      <c r="M112" s="231">
        <v>0.27</v>
      </c>
      <c r="N112" s="231">
        <f>M112*J147</f>
        <v>1744.2648000000002</v>
      </c>
      <c r="O112" s="231"/>
      <c r="P112" s="231">
        <v>0.57</v>
      </c>
      <c r="Q112" s="231">
        <f>P112*J147</f>
        <v>3682.3367999999996</v>
      </c>
      <c r="R112" s="231">
        <f>G112+J112+M112+P112</f>
        <v>1.21</v>
      </c>
      <c r="S112" s="231">
        <f>H112+K112+N112+Q112</f>
        <v>7698.738299999999</v>
      </c>
      <c r="U112" s="12"/>
      <c r="V112" s="11"/>
      <c r="W112" s="12"/>
    </row>
    <row r="113" spans="1:23" ht="35.25" customHeight="1">
      <c r="A113" s="14"/>
      <c r="B113" s="461" t="s">
        <v>49</v>
      </c>
      <c r="C113" s="462"/>
      <c r="D113" s="463"/>
      <c r="E113" s="134"/>
      <c r="F113" s="8"/>
      <c r="G113" s="231"/>
      <c r="H113" s="231">
        <f>H114+H115</f>
        <v>13526.9054</v>
      </c>
      <c r="I113" s="231"/>
      <c r="J113" s="231"/>
      <c r="K113" s="231">
        <f>K114+K115</f>
        <v>13857.22</v>
      </c>
      <c r="L113" s="231"/>
      <c r="M113" s="231"/>
      <c r="N113" s="231">
        <f>N114+N115</f>
        <v>10578.8456</v>
      </c>
      <c r="O113" s="231"/>
      <c r="P113" s="231"/>
      <c r="Q113" s="231">
        <f>Q114+Q115</f>
        <v>14985.2896</v>
      </c>
      <c r="R113" s="231"/>
      <c r="S113" s="231">
        <f>S114+S115</f>
        <v>52948.2606</v>
      </c>
      <c r="U113" s="12"/>
      <c r="V113" s="11"/>
      <c r="W113" s="12"/>
    </row>
    <row r="114" spans="1:23" ht="31.5" customHeight="1">
      <c r="A114" s="14"/>
      <c r="B114" s="488"/>
      <c r="C114" s="489"/>
      <c r="D114" s="490"/>
      <c r="E114" s="144" t="s">
        <v>70</v>
      </c>
      <c r="F114" s="8"/>
      <c r="G114" s="231">
        <v>35</v>
      </c>
      <c r="H114" s="231">
        <f>23*H145+12*H146</f>
        <v>1613.54</v>
      </c>
      <c r="I114" s="231"/>
      <c r="J114" s="231">
        <v>34</v>
      </c>
      <c r="K114" s="231">
        <f>22*H145+12*H146</f>
        <v>1575.4</v>
      </c>
      <c r="L114" s="231"/>
      <c r="M114" s="231">
        <v>24.5</v>
      </c>
      <c r="N114" s="231">
        <f>12.5*J145+12*J146</f>
        <v>1276.1</v>
      </c>
      <c r="O114" s="231"/>
      <c r="P114" s="231">
        <v>36.5</v>
      </c>
      <c r="Q114" s="231">
        <f>22.5*J145+14*J146</f>
        <v>1806.3999999999999</v>
      </c>
      <c r="R114" s="231">
        <f>G114+J114+M114+P114</f>
        <v>130</v>
      </c>
      <c r="S114" s="231">
        <f>H114+K114+N114+Q114</f>
        <v>6271.44</v>
      </c>
      <c r="U114" s="12"/>
      <c r="V114" s="11"/>
      <c r="W114" s="12"/>
    </row>
    <row r="115" spans="1:23" ht="33" customHeight="1">
      <c r="A115" s="14"/>
      <c r="B115" s="488"/>
      <c r="C115" s="489"/>
      <c r="D115" s="490"/>
      <c r="E115" s="144" t="s">
        <v>2</v>
      </c>
      <c r="F115" s="8"/>
      <c r="G115" s="231">
        <v>1.94</v>
      </c>
      <c r="H115" s="231">
        <f>G115*H147</f>
        <v>11913.365399999999</v>
      </c>
      <c r="I115" s="231"/>
      <c r="J115" s="231">
        <v>2</v>
      </c>
      <c r="K115" s="231">
        <f>J115*H147</f>
        <v>12281.82</v>
      </c>
      <c r="L115" s="231"/>
      <c r="M115" s="231">
        <v>1.44</v>
      </c>
      <c r="N115" s="231">
        <f>M115*J147</f>
        <v>9302.7456</v>
      </c>
      <c r="O115" s="231"/>
      <c r="P115" s="231">
        <v>2.04</v>
      </c>
      <c r="Q115" s="231">
        <f>P115*J147</f>
        <v>13178.8896</v>
      </c>
      <c r="R115" s="231">
        <f>G115+J115+M115+P115</f>
        <v>7.42</v>
      </c>
      <c r="S115" s="231">
        <f>H115+K115+N115+Q115</f>
        <v>46676.8206</v>
      </c>
      <c r="U115" s="12"/>
      <c r="V115" s="11"/>
      <c r="W115" s="12"/>
    </row>
    <row r="116" spans="1:23" ht="36.75" customHeight="1">
      <c r="A116" s="14"/>
      <c r="B116" s="461" t="s">
        <v>50</v>
      </c>
      <c r="C116" s="462"/>
      <c r="D116" s="463"/>
      <c r="E116" s="134"/>
      <c r="F116" s="8"/>
      <c r="G116" s="231"/>
      <c r="H116" s="231">
        <f>H117+H118</f>
        <v>7062.2473</v>
      </c>
      <c r="I116" s="231"/>
      <c r="J116" s="231"/>
      <c r="K116" s="231">
        <f>K117+K118</f>
        <v>6202.618100000001</v>
      </c>
      <c r="L116" s="231"/>
      <c r="M116" s="231"/>
      <c r="N116" s="231">
        <f>N117+N118</f>
        <v>5669.6396</v>
      </c>
      <c r="O116" s="231"/>
      <c r="P116" s="231"/>
      <c r="Q116" s="231">
        <f>Q117+Q118</f>
        <v>7453.8672</v>
      </c>
      <c r="R116" s="231"/>
      <c r="S116" s="231">
        <f>S117+S118</f>
        <v>26388.3722</v>
      </c>
      <c r="U116" s="12"/>
      <c r="V116" s="11"/>
      <c r="W116" s="12"/>
    </row>
    <row r="117" spans="1:23" ht="36.75" customHeight="1">
      <c r="A117" s="14"/>
      <c r="B117" s="488"/>
      <c r="C117" s="489"/>
      <c r="D117" s="490"/>
      <c r="E117" s="144" t="s">
        <v>70</v>
      </c>
      <c r="F117" s="8"/>
      <c r="G117" s="231">
        <v>17.5</v>
      </c>
      <c r="H117" s="231">
        <f>14.5*H145+3*H146</f>
        <v>737.1099999999999</v>
      </c>
      <c r="I117" s="231"/>
      <c r="J117" s="231">
        <v>15.5</v>
      </c>
      <c r="K117" s="231">
        <f>14.5*H145+1*H146</f>
        <v>614.39</v>
      </c>
      <c r="L117" s="231"/>
      <c r="M117" s="231">
        <v>13.5</v>
      </c>
      <c r="N117" s="231">
        <f>12.5*J145+1*J146</f>
        <v>566.05</v>
      </c>
      <c r="O117" s="231"/>
      <c r="P117" s="231">
        <v>17.5</v>
      </c>
      <c r="Q117" s="231">
        <f>13.5*J145+4*J146</f>
        <v>799.8199999999999</v>
      </c>
      <c r="R117" s="231">
        <f>G117+J117+M117+P117</f>
        <v>64</v>
      </c>
      <c r="S117" s="231">
        <f>H117+K117+N117+Q117</f>
        <v>2717.37</v>
      </c>
      <c r="U117" s="12"/>
      <c r="V117" s="11"/>
      <c r="W117" s="12"/>
    </row>
    <row r="118" spans="1:23" ht="35.25" customHeight="1">
      <c r="A118" s="14"/>
      <c r="B118" s="488"/>
      <c r="C118" s="489"/>
      <c r="D118" s="490"/>
      <c r="E118" s="144" t="s">
        <v>2</v>
      </c>
      <c r="F118" s="8"/>
      <c r="G118" s="231">
        <v>1.03</v>
      </c>
      <c r="H118" s="231">
        <f>G118*H147</f>
        <v>6325.1373</v>
      </c>
      <c r="I118" s="231"/>
      <c r="J118" s="231">
        <v>0.91</v>
      </c>
      <c r="K118" s="231">
        <f>J118*H147</f>
        <v>5588.2281</v>
      </c>
      <c r="L118" s="231"/>
      <c r="M118" s="231">
        <v>0.79</v>
      </c>
      <c r="N118" s="231">
        <f>M118*J147</f>
        <v>5103.5896</v>
      </c>
      <c r="O118" s="231"/>
      <c r="P118" s="231">
        <v>1.03</v>
      </c>
      <c r="Q118" s="231">
        <f>P118*J147</f>
        <v>6654.0472</v>
      </c>
      <c r="R118" s="231">
        <f>G118+J118+M118+P118</f>
        <v>3.76</v>
      </c>
      <c r="S118" s="231">
        <f>H118+K118+N118+Q118</f>
        <v>23671.002200000003</v>
      </c>
      <c r="U118" s="12"/>
      <c r="V118" s="11"/>
      <c r="W118" s="12"/>
    </row>
    <row r="119" spans="1:23" ht="33" customHeight="1">
      <c r="A119" s="14"/>
      <c r="B119" s="476" t="s">
        <v>40</v>
      </c>
      <c r="C119" s="476"/>
      <c r="D119" s="476"/>
      <c r="E119" s="139"/>
      <c r="F119" s="8"/>
      <c r="G119" s="231"/>
      <c r="H119" s="231">
        <f>H120+H121</f>
        <v>8079.2551</v>
      </c>
      <c r="I119" s="231"/>
      <c r="J119" s="231"/>
      <c r="K119" s="231">
        <f>K120+K121</f>
        <v>3192.4919</v>
      </c>
      <c r="L119" s="231"/>
      <c r="M119" s="231"/>
      <c r="N119" s="231">
        <f>N120+N121</f>
        <v>2287.1344</v>
      </c>
      <c r="O119" s="231"/>
      <c r="P119" s="231"/>
      <c r="Q119" s="231">
        <f>Q120+Q121</f>
        <v>5999.114</v>
      </c>
      <c r="R119" s="231"/>
      <c r="S119" s="231">
        <f>S120+S121</f>
        <v>19557.995399999996</v>
      </c>
      <c r="U119" s="12"/>
      <c r="V119" s="11"/>
      <c r="W119" s="12"/>
    </row>
    <row r="120" spans="1:23" ht="33" customHeight="1">
      <c r="A120" s="14"/>
      <c r="B120" s="488"/>
      <c r="C120" s="489"/>
      <c r="D120" s="490"/>
      <c r="E120" s="144" t="s">
        <v>70</v>
      </c>
      <c r="F120" s="8"/>
      <c r="G120" s="231">
        <v>20.23</v>
      </c>
      <c r="H120" s="231">
        <f>G120*H145</f>
        <v>771.5722000000001</v>
      </c>
      <c r="I120" s="231"/>
      <c r="J120" s="262">
        <v>8.03</v>
      </c>
      <c r="K120" s="231">
        <f>J120*H145</f>
        <v>306.26419999999996</v>
      </c>
      <c r="L120" s="231"/>
      <c r="M120" s="231">
        <v>5.48</v>
      </c>
      <c r="N120" s="231">
        <f>M120*J145</f>
        <v>219.8576</v>
      </c>
      <c r="O120" s="231"/>
      <c r="P120" s="231">
        <v>14.27</v>
      </c>
      <c r="Q120" s="231">
        <f>P120*J145</f>
        <v>572.5124</v>
      </c>
      <c r="R120" s="231">
        <f>G120+J120+M120+P120</f>
        <v>48.00999999999999</v>
      </c>
      <c r="S120" s="231">
        <f>H120+K120+N120+Q120</f>
        <v>1870.2064</v>
      </c>
      <c r="T120" s="67" t="s">
        <v>83</v>
      </c>
      <c r="U120" s="12"/>
      <c r="V120" s="11"/>
      <c r="W120" s="12"/>
    </row>
    <row r="121" spans="1:23" ht="31.5" customHeight="1">
      <c r="A121" s="14"/>
      <c r="B121" s="488"/>
      <c r="C121" s="489"/>
      <c r="D121" s="490"/>
      <c r="E121" s="144" t="s">
        <v>2</v>
      </c>
      <c r="F121" s="8"/>
      <c r="G121" s="231">
        <v>1.19</v>
      </c>
      <c r="H121" s="231">
        <f>G121*H147</f>
        <v>7307.6829</v>
      </c>
      <c r="I121" s="231"/>
      <c r="J121" s="231">
        <v>0.47</v>
      </c>
      <c r="K121" s="231">
        <f>J121*H147</f>
        <v>2886.2277</v>
      </c>
      <c r="L121" s="231"/>
      <c r="M121" s="231">
        <v>0.32</v>
      </c>
      <c r="N121" s="231">
        <f>M121*J147</f>
        <v>2067.2768</v>
      </c>
      <c r="O121" s="231"/>
      <c r="P121" s="231">
        <v>0.84</v>
      </c>
      <c r="Q121" s="231">
        <f>P121*J147</f>
        <v>5426.6016</v>
      </c>
      <c r="R121" s="231">
        <f>G121+J121+M121+P121</f>
        <v>2.82</v>
      </c>
      <c r="S121" s="231">
        <f>H121+K121+N121+Q121</f>
        <v>17687.788999999997</v>
      </c>
      <c r="U121" s="12"/>
      <c r="V121" s="11"/>
      <c r="W121" s="12"/>
    </row>
    <row r="122" spans="1:23" s="97" customFormat="1" ht="43.5" customHeight="1">
      <c r="A122" s="91">
        <v>6</v>
      </c>
      <c r="B122" s="480" t="s">
        <v>53</v>
      </c>
      <c r="C122" s="481"/>
      <c r="D122" s="482"/>
      <c r="E122" s="92" t="s">
        <v>84</v>
      </c>
      <c r="F122" s="98"/>
      <c r="G122" s="93"/>
      <c r="H122" s="93">
        <f>H125+H128+H131</f>
        <v>1229007.2332</v>
      </c>
      <c r="I122" s="93"/>
      <c r="J122" s="93"/>
      <c r="K122" s="93">
        <f>K125+K128+K131</f>
        <v>1243119.7732</v>
      </c>
      <c r="L122" s="93"/>
      <c r="M122" s="93"/>
      <c r="N122" s="93">
        <f>N125+N128+N131</f>
        <v>1269792.7116</v>
      </c>
      <c r="O122" s="93"/>
      <c r="P122" s="93"/>
      <c r="Q122" s="93">
        <f>Q125+Q128+Q131</f>
        <v>1301371.7516</v>
      </c>
      <c r="R122" s="93"/>
      <c r="S122" s="93">
        <f>S125+S128+S131</f>
        <v>5043291.4696</v>
      </c>
      <c r="T122" s="94"/>
      <c r="U122" s="95"/>
      <c r="V122" s="96"/>
      <c r="W122" s="95"/>
    </row>
    <row r="123" spans="1:23" ht="43.5" customHeight="1">
      <c r="A123" s="14"/>
      <c r="B123" s="483"/>
      <c r="C123" s="484"/>
      <c r="D123" s="485"/>
      <c r="E123" s="143" t="s">
        <v>70</v>
      </c>
      <c r="F123" s="8"/>
      <c r="G123" s="59">
        <f>G126+G129+G132</f>
        <v>3225.73</v>
      </c>
      <c r="H123" s="59">
        <f>H126+H129+H132</f>
        <v>123029.3422</v>
      </c>
      <c r="I123" s="59"/>
      <c r="J123" s="59">
        <f>J126+J129+J132</f>
        <v>3273.73</v>
      </c>
      <c r="K123" s="59">
        <f>K126+K129+K132</f>
        <v>124860.0622</v>
      </c>
      <c r="L123" s="59"/>
      <c r="M123" s="59">
        <f>M126+M129+M132</f>
        <v>3293.73</v>
      </c>
      <c r="N123" s="59">
        <f>N126+N129+N132</f>
        <v>132144.44759999998</v>
      </c>
      <c r="O123" s="59"/>
      <c r="P123" s="59">
        <f>P126+P129+P132</f>
        <v>3275.73</v>
      </c>
      <c r="Q123" s="59">
        <f>Q126+Q129+Q132</f>
        <v>131422.28759999998</v>
      </c>
      <c r="R123" s="59">
        <f>G123+J123+M123+P123</f>
        <v>13068.92</v>
      </c>
      <c r="S123" s="59">
        <f>H123+K123+N123+Q123</f>
        <v>511456.13959999994</v>
      </c>
      <c r="U123" s="12"/>
      <c r="V123" s="11"/>
      <c r="W123" s="12"/>
    </row>
    <row r="124" spans="1:23" ht="43.5" customHeight="1">
      <c r="A124" s="14"/>
      <c r="B124" s="483"/>
      <c r="C124" s="484"/>
      <c r="D124" s="485"/>
      <c r="E124" s="143" t="s">
        <v>75</v>
      </c>
      <c r="F124" s="8"/>
      <c r="G124" s="59">
        <f>G127+G130+G133</f>
        <v>180.1</v>
      </c>
      <c r="H124" s="59">
        <f>H127+H130+H133</f>
        <v>1105977.891</v>
      </c>
      <c r="I124" s="59"/>
      <c r="J124" s="59">
        <f>J127+J130+J133</f>
        <v>182.1</v>
      </c>
      <c r="K124" s="59">
        <f>K127+K130+K133</f>
        <v>1118259.711</v>
      </c>
      <c r="L124" s="59"/>
      <c r="M124" s="59">
        <f>M127+M130+M133</f>
        <v>176.1</v>
      </c>
      <c r="N124" s="59">
        <f>N127+N130+N133</f>
        <v>1137648.264</v>
      </c>
      <c r="O124" s="59"/>
      <c r="P124" s="59">
        <f>P127+P130+P133</f>
        <v>181.1</v>
      </c>
      <c r="Q124" s="59">
        <f>Q127+Q130+Q133</f>
        <v>1169949.464</v>
      </c>
      <c r="R124" s="59">
        <f>G124+J124+M124+P124</f>
        <v>719.4</v>
      </c>
      <c r="S124" s="59">
        <f>H124+K124+N124+Q124</f>
        <v>4531835.33</v>
      </c>
      <c r="U124" s="12"/>
      <c r="V124" s="11"/>
      <c r="W124" s="12"/>
    </row>
    <row r="125" spans="1:23" ht="37.5" customHeight="1">
      <c r="A125" s="14"/>
      <c r="B125" s="461" t="s">
        <v>73</v>
      </c>
      <c r="C125" s="462"/>
      <c r="D125" s="463"/>
      <c r="E125" s="134"/>
      <c r="F125" s="8"/>
      <c r="G125" s="231"/>
      <c r="H125" s="231">
        <f>H126+H127</f>
        <v>19681.35</v>
      </c>
      <c r="I125" s="231"/>
      <c r="J125" s="231"/>
      <c r="K125" s="231">
        <f>K126+K127</f>
        <v>13464.16</v>
      </c>
      <c r="L125" s="231"/>
      <c r="M125" s="231"/>
      <c r="N125" s="231">
        <f>N126+N127</f>
        <v>7703.96</v>
      </c>
      <c r="O125" s="231"/>
      <c r="P125" s="231"/>
      <c r="Q125" s="231">
        <f>Q126+Q127</f>
        <v>20704.68</v>
      </c>
      <c r="R125" s="231"/>
      <c r="S125" s="231">
        <f>S126+S127</f>
        <v>61554.15</v>
      </c>
      <c r="U125" s="12"/>
      <c r="V125" s="11"/>
      <c r="W125" s="12"/>
    </row>
    <row r="126" spans="1:23" ht="42.75" customHeight="1">
      <c r="A126" s="14"/>
      <c r="B126" s="488"/>
      <c r="C126" s="489"/>
      <c r="D126" s="490"/>
      <c r="E126" s="144" t="s">
        <v>70</v>
      </c>
      <c r="F126" s="8"/>
      <c r="G126" s="231">
        <v>33</v>
      </c>
      <c r="H126" s="231">
        <f>G126*H145</f>
        <v>1258.6200000000001</v>
      </c>
      <c r="I126" s="231"/>
      <c r="J126" s="231">
        <v>31</v>
      </c>
      <c r="K126" s="231">
        <f>J126*H145</f>
        <v>1182.34</v>
      </c>
      <c r="L126" s="231"/>
      <c r="M126" s="231">
        <v>31</v>
      </c>
      <c r="N126" s="231">
        <f>M126*J145</f>
        <v>1243.72</v>
      </c>
      <c r="O126" s="231"/>
      <c r="P126" s="231">
        <v>33</v>
      </c>
      <c r="Q126" s="231">
        <f>P126*J145</f>
        <v>1323.9599999999998</v>
      </c>
      <c r="R126" s="231">
        <f>G126+J126+M126+P126</f>
        <v>128</v>
      </c>
      <c r="S126" s="231">
        <f>H126+K126+N126+Q126</f>
        <v>5008.64</v>
      </c>
      <c r="U126" s="12"/>
      <c r="V126" s="11"/>
      <c r="W126" s="12"/>
    </row>
    <row r="127" spans="1:23" ht="35.25" customHeight="1">
      <c r="A127" s="14"/>
      <c r="B127" s="488"/>
      <c r="C127" s="489"/>
      <c r="D127" s="490"/>
      <c r="E127" s="144" t="s">
        <v>2</v>
      </c>
      <c r="F127" s="8"/>
      <c r="G127" s="231">
        <v>3</v>
      </c>
      <c r="H127" s="231">
        <f>G127*H147</f>
        <v>18422.73</v>
      </c>
      <c r="I127" s="231"/>
      <c r="J127" s="231">
        <v>2</v>
      </c>
      <c r="K127" s="231">
        <f>J127*H147</f>
        <v>12281.82</v>
      </c>
      <c r="L127" s="231"/>
      <c r="M127" s="231">
        <v>1</v>
      </c>
      <c r="N127" s="231">
        <f>M127*J147</f>
        <v>6460.24</v>
      </c>
      <c r="O127" s="231"/>
      <c r="P127" s="231">
        <v>3</v>
      </c>
      <c r="Q127" s="231">
        <f>P127*J147</f>
        <v>19380.72</v>
      </c>
      <c r="R127" s="231">
        <f>G127+J127+M127+P127</f>
        <v>9</v>
      </c>
      <c r="S127" s="231">
        <f>H127+K127+N127+Q127</f>
        <v>56545.51</v>
      </c>
      <c r="U127" s="12"/>
      <c r="V127" s="11"/>
      <c r="W127" s="12"/>
    </row>
    <row r="128" spans="1:23" ht="33" customHeight="1">
      <c r="A128" s="14"/>
      <c r="B128" s="461" t="s">
        <v>55</v>
      </c>
      <c r="C128" s="462"/>
      <c r="D128" s="463"/>
      <c r="E128" s="134"/>
      <c r="F128" s="8"/>
      <c r="G128" s="231"/>
      <c r="H128" s="231">
        <f>H129+H130</f>
        <v>46800.369999999995</v>
      </c>
      <c r="I128" s="231"/>
      <c r="J128" s="231"/>
      <c r="K128" s="231">
        <f>K129+K130</f>
        <v>67130.1</v>
      </c>
      <c r="L128" s="231"/>
      <c r="M128" s="231"/>
      <c r="N128" s="231">
        <f>N129+N130</f>
        <v>39121.6</v>
      </c>
      <c r="O128" s="231"/>
      <c r="P128" s="231"/>
      <c r="Q128" s="231">
        <f>Q129+Q130</f>
        <v>57699.92</v>
      </c>
      <c r="R128" s="231"/>
      <c r="S128" s="231">
        <f>S129+S130</f>
        <v>210751.98999999996</v>
      </c>
      <c r="U128" s="12"/>
      <c r="V128" s="11"/>
      <c r="W128" s="12"/>
    </row>
    <row r="129" spans="1:23" ht="35.25" customHeight="1">
      <c r="A129" s="14"/>
      <c r="B129" s="488"/>
      <c r="C129" s="489"/>
      <c r="D129" s="490"/>
      <c r="E129" s="144" t="s">
        <v>70</v>
      </c>
      <c r="F129" s="8"/>
      <c r="G129" s="231">
        <v>100</v>
      </c>
      <c r="H129" s="231">
        <f>G129*H145</f>
        <v>3814</v>
      </c>
      <c r="I129" s="231"/>
      <c r="J129" s="231">
        <v>150</v>
      </c>
      <c r="K129" s="231">
        <f>J129*H145</f>
        <v>5721</v>
      </c>
      <c r="L129" s="231"/>
      <c r="M129" s="231">
        <v>170</v>
      </c>
      <c r="N129" s="231">
        <f>M129*J145</f>
        <v>6820.4</v>
      </c>
      <c r="O129" s="231"/>
      <c r="P129" s="231">
        <v>150</v>
      </c>
      <c r="Q129" s="231">
        <f>P129*J145</f>
        <v>6018</v>
      </c>
      <c r="R129" s="231">
        <f>G129+J129+M129+P129</f>
        <v>570</v>
      </c>
      <c r="S129" s="231">
        <f>H129+K129+N129+Q129</f>
        <v>22373.4</v>
      </c>
      <c r="T129" s="67" t="s">
        <v>82</v>
      </c>
      <c r="U129" s="12"/>
      <c r="V129" s="11"/>
      <c r="W129" s="12"/>
    </row>
    <row r="130" spans="1:23" ht="33" customHeight="1">
      <c r="A130" s="14"/>
      <c r="B130" s="488"/>
      <c r="C130" s="489"/>
      <c r="D130" s="490"/>
      <c r="E130" s="144" t="s">
        <v>2</v>
      </c>
      <c r="F130" s="8"/>
      <c r="G130" s="231">
        <v>7</v>
      </c>
      <c r="H130" s="231">
        <f>G130*H148</f>
        <v>42986.369999999995</v>
      </c>
      <c r="I130" s="231"/>
      <c r="J130" s="231">
        <v>10</v>
      </c>
      <c r="K130" s="231">
        <f>J130*H148</f>
        <v>61409.1</v>
      </c>
      <c r="L130" s="231"/>
      <c r="M130" s="231">
        <v>5</v>
      </c>
      <c r="N130" s="231">
        <f>M130*J148</f>
        <v>32301.199999999997</v>
      </c>
      <c r="O130" s="231"/>
      <c r="P130" s="231">
        <v>8</v>
      </c>
      <c r="Q130" s="231">
        <f>P130*J148</f>
        <v>51681.92</v>
      </c>
      <c r="R130" s="231">
        <f>G130+J130+M130+P130</f>
        <v>30</v>
      </c>
      <c r="S130" s="231">
        <f>H130+K130+N130+Q130</f>
        <v>188378.58999999997</v>
      </c>
      <c r="U130" s="12"/>
      <c r="V130" s="11"/>
      <c r="W130" s="12"/>
    </row>
    <row r="131" spans="1:23" ht="42.75" customHeight="1">
      <c r="A131" s="14"/>
      <c r="B131" s="360" t="s">
        <v>91</v>
      </c>
      <c r="C131" s="441"/>
      <c r="D131" s="442"/>
      <c r="E131" s="162"/>
      <c r="F131" s="8"/>
      <c r="G131" s="231"/>
      <c r="H131" s="231">
        <f>SUM(H132:H133)</f>
        <v>1162525.5132</v>
      </c>
      <c r="I131" s="231"/>
      <c r="J131" s="231"/>
      <c r="K131" s="231">
        <f>SUM(K132:K133)</f>
        <v>1162525.5132</v>
      </c>
      <c r="L131" s="231"/>
      <c r="M131" s="231"/>
      <c r="N131" s="231">
        <f>SUM(N132:N133)</f>
        <v>1222967.1516</v>
      </c>
      <c r="O131" s="231"/>
      <c r="P131" s="231"/>
      <c r="Q131" s="231">
        <f>SUM(Q132:Q133)</f>
        <v>1222967.1516</v>
      </c>
      <c r="R131" s="231"/>
      <c r="S131" s="231">
        <f>SUM(S132:S133)</f>
        <v>4770985.329600001</v>
      </c>
      <c r="U131" s="12"/>
      <c r="V131" s="11"/>
      <c r="W131" s="12"/>
    </row>
    <row r="132" spans="1:23" ht="39" customHeight="1">
      <c r="A132" s="14"/>
      <c r="B132" s="488"/>
      <c r="C132" s="489"/>
      <c r="D132" s="490"/>
      <c r="E132" s="163" t="s">
        <v>70</v>
      </c>
      <c r="F132" s="8"/>
      <c r="G132" s="231">
        <v>3092.73</v>
      </c>
      <c r="H132" s="231">
        <f>SUM(G132)*H145</f>
        <v>117956.7222</v>
      </c>
      <c r="I132" s="231"/>
      <c r="J132" s="231">
        <v>3092.73</v>
      </c>
      <c r="K132" s="231">
        <f>SUM(J132)*H145</f>
        <v>117956.7222</v>
      </c>
      <c r="L132" s="231"/>
      <c r="M132" s="231">
        <v>3092.73</v>
      </c>
      <c r="N132" s="231">
        <f>SUM(M132)*J145</f>
        <v>124080.32759999999</v>
      </c>
      <c r="O132" s="231"/>
      <c r="P132" s="231">
        <v>3092.73</v>
      </c>
      <c r="Q132" s="231">
        <f>SUM(P132)*J145</f>
        <v>124080.32759999999</v>
      </c>
      <c r="R132" s="231">
        <f>SUM(G132)+J132+M132+P132</f>
        <v>12370.92</v>
      </c>
      <c r="S132" s="231">
        <f>SUM(H132)+K132+N132+Q132</f>
        <v>484074.09959999996</v>
      </c>
      <c r="U132" s="12"/>
      <c r="V132" s="11"/>
      <c r="W132" s="12"/>
    </row>
    <row r="133" spans="1:23" ht="45" customHeight="1">
      <c r="A133" s="14"/>
      <c r="B133" s="488"/>
      <c r="C133" s="489"/>
      <c r="D133" s="490"/>
      <c r="E133" s="163" t="s">
        <v>2</v>
      </c>
      <c r="F133" s="8"/>
      <c r="G133" s="231">
        <v>170.1</v>
      </c>
      <c r="H133" s="231">
        <f>SUM(G133)*H147</f>
        <v>1044568.791</v>
      </c>
      <c r="I133" s="231"/>
      <c r="J133" s="231">
        <v>170.1</v>
      </c>
      <c r="K133" s="231">
        <f>SUM(J133)*H147</f>
        <v>1044568.791</v>
      </c>
      <c r="L133" s="231"/>
      <c r="M133" s="231">
        <v>170.1</v>
      </c>
      <c r="N133" s="231">
        <f>SUM(M133)*J147</f>
        <v>1098886.824</v>
      </c>
      <c r="O133" s="231"/>
      <c r="P133" s="231">
        <v>170.1</v>
      </c>
      <c r="Q133" s="231">
        <f>SUM(P133)*J147</f>
        <v>1098886.824</v>
      </c>
      <c r="R133" s="231">
        <f>SUM(G133)+J133+M133+P133</f>
        <v>680.4</v>
      </c>
      <c r="S133" s="231">
        <f>SUM(H133)+K133+N133+Q133</f>
        <v>4286911.23</v>
      </c>
      <c r="U133" s="12"/>
      <c r="V133" s="11"/>
      <c r="W133" s="12"/>
    </row>
    <row r="134" spans="1:23" ht="45" customHeight="1">
      <c r="A134" s="34">
        <v>7</v>
      </c>
      <c r="B134" s="371" t="s">
        <v>96</v>
      </c>
      <c r="C134" s="372"/>
      <c r="D134" s="373"/>
      <c r="E134" s="92" t="s">
        <v>84</v>
      </c>
      <c r="F134" s="8"/>
      <c r="G134" s="295"/>
      <c r="H134" s="295">
        <f>H137+H140</f>
        <v>5583.2402999999995</v>
      </c>
      <c r="I134" s="295"/>
      <c r="J134" s="295"/>
      <c r="K134" s="295">
        <f>K137+K140</f>
        <v>4969.5344</v>
      </c>
      <c r="L134" s="295"/>
      <c r="M134" s="295"/>
      <c r="N134" s="295">
        <f>N137+N140</f>
        <v>5510.3972</v>
      </c>
      <c r="O134" s="295"/>
      <c r="P134" s="295"/>
      <c r="Q134" s="295">
        <f>Q137+Q140</f>
        <v>5938.1316</v>
      </c>
      <c r="R134" s="295"/>
      <c r="S134" s="295">
        <f>S137+S140</f>
        <v>22001.303499999998</v>
      </c>
      <c r="U134" s="12"/>
      <c r="V134" s="11"/>
      <c r="W134" s="12"/>
    </row>
    <row r="135" spans="1:23" ht="45" customHeight="1">
      <c r="A135" s="34"/>
      <c r="B135" s="218"/>
      <c r="C135" s="219"/>
      <c r="D135" s="220"/>
      <c r="E135" s="224" t="s">
        <v>70</v>
      </c>
      <c r="F135" s="8"/>
      <c r="G135" s="59">
        <f>G138+G141</f>
        <v>12.75</v>
      </c>
      <c r="H135" s="59">
        <f>H138+H141</f>
        <v>486.28499999999997</v>
      </c>
      <c r="I135" s="59">
        <f aca="true" t="shared" si="14" ref="I135:Q136">I138+I141</f>
        <v>0</v>
      </c>
      <c r="J135" s="59">
        <f t="shared" si="14"/>
        <v>11.15</v>
      </c>
      <c r="K135" s="59">
        <f t="shared" si="14"/>
        <v>425.26099999999997</v>
      </c>
      <c r="L135" s="59">
        <f t="shared" si="14"/>
        <v>0</v>
      </c>
      <c r="M135" s="59">
        <f t="shared" si="14"/>
        <v>11.75</v>
      </c>
      <c r="N135" s="59">
        <f t="shared" si="14"/>
        <v>471.40999999999997</v>
      </c>
      <c r="O135" s="59">
        <f t="shared" si="14"/>
        <v>0</v>
      </c>
      <c r="P135" s="59">
        <f t="shared" si="14"/>
        <v>12.75</v>
      </c>
      <c r="Q135" s="59">
        <f t="shared" si="14"/>
        <v>511.53</v>
      </c>
      <c r="R135" s="59">
        <f aca="true" t="shared" si="15" ref="R135:S142">SUM(G135)+J135+M135+P135</f>
        <v>48.4</v>
      </c>
      <c r="S135" s="59">
        <f t="shared" si="15"/>
        <v>1894.4859999999999</v>
      </c>
      <c r="U135" s="12"/>
      <c r="V135" s="11"/>
      <c r="W135" s="12"/>
    </row>
    <row r="136" spans="1:23" ht="45" customHeight="1">
      <c r="A136" s="34"/>
      <c r="B136" s="218"/>
      <c r="C136" s="219"/>
      <c r="D136" s="220"/>
      <c r="E136" s="224" t="s">
        <v>75</v>
      </c>
      <c r="F136" s="8"/>
      <c r="G136" s="59">
        <f>G139+G142</f>
        <v>0.83</v>
      </c>
      <c r="H136" s="59">
        <f>H139+H142</f>
        <v>5096.9553</v>
      </c>
      <c r="I136" s="59">
        <f t="shared" si="14"/>
        <v>0</v>
      </c>
      <c r="J136" s="59">
        <f t="shared" si="14"/>
        <v>0.74</v>
      </c>
      <c r="K136" s="59">
        <f t="shared" si="14"/>
        <v>4544.273399999999</v>
      </c>
      <c r="L136" s="59">
        <f t="shared" si="14"/>
        <v>0</v>
      </c>
      <c r="M136" s="59">
        <f t="shared" si="14"/>
        <v>0.78</v>
      </c>
      <c r="N136" s="59">
        <f t="shared" si="14"/>
        <v>5038.9872000000005</v>
      </c>
      <c r="O136" s="59">
        <f t="shared" si="14"/>
        <v>0</v>
      </c>
      <c r="P136" s="59">
        <f t="shared" si="14"/>
        <v>0.84</v>
      </c>
      <c r="Q136" s="59">
        <f t="shared" si="14"/>
        <v>5426.6016</v>
      </c>
      <c r="R136" s="59">
        <f t="shared" si="15"/>
        <v>3.1899999999999995</v>
      </c>
      <c r="S136" s="59">
        <f t="shared" si="15"/>
        <v>20106.817499999997</v>
      </c>
      <c r="U136" s="12"/>
      <c r="V136" s="11"/>
      <c r="W136" s="12"/>
    </row>
    <row r="137" spans="1:23" ht="45" customHeight="1">
      <c r="A137" s="34"/>
      <c r="B137" s="360" t="s">
        <v>97</v>
      </c>
      <c r="C137" s="441"/>
      <c r="D137" s="442"/>
      <c r="E137" s="225"/>
      <c r="F137" s="8"/>
      <c r="G137" s="231"/>
      <c r="H137" s="231">
        <f>SUM(H138:H139)</f>
        <v>751.7801</v>
      </c>
      <c r="I137" s="231"/>
      <c r="J137" s="231"/>
      <c r="K137" s="231">
        <f>SUM(K138:K139)</f>
        <v>138.07420000000002</v>
      </c>
      <c r="L137" s="231"/>
      <c r="M137" s="231"/>
      <c r="N137" s="231">
        <f>SUM(N138:N139)</f>
        <v>427.7344</v>
      </c>
      <c r="O137" s="231"/>
      <c r="P137" s="231"/>
      <c r="Q137" s="231">
        <f>SUM(Q138:Q139)</f>
        <v>855.4688</v>
      </c>
      <c r="R137" s="231"/>
      <c r="S137" s="231">
        <f t="shared" si="15"/>
        <v>2173.0575</v>
      </c>
      <c r="U137" s="12"/>
      <c r="V137" s="11"/>
      <c r="W137" s="12"/>
    </row>
    <row r="138" spans="1:23" ht="45" customHeight="1">
      <c r="A138" s="34"/>
      <c r="B138" s="221"/>
      <c r="C138" s="222"/>
      <c r="D138" s="223"/>
      <c r="E138" s="225" t="s">
        <v>70</v>
      </c>
      <c r="F138" s="8"/>
      <c r="G138" s="231">
        <v>2</v>
      </c>
      <c r="H138" s="231">
        <f>SUM(G138)*H145</f>
        <v>76.28</v>
      </c>
      <c r="I138" s="231"/>
      <c r="J138" s="231">
        <v>0.4</v>
      </c>
      <c r="K138" s="231">
        <f>SUM(J138)*H145</f>
        <v>15.256</v>
      </c>
      <c r="L138" s="231"/>
      <c r="M138" s="231">
        <v>1</v>
      </c>
      <c r="N138" s="231">
        <f>SUM(M138)*J145</f>
        <v>40.12</v>
      </c>
      <c r="O138" s="231"/>
      <c r="P138" s="231">
        <v>2</v>
      </c>
      <c r="Q138" s="231">
        <f>SUM(P138)*J145</f>
        <v>80.24</v>
      </c>
      <c r="R138" s="231">
        <f t="shared" si="15"/>
        <v>5.4</v>
      </c>
      <c r="S138" s="231">
        <f t="shared" si="15"/>
        <v>211.89600000000002</v>
      </c>
      <c r="U138" s="12"/>
      <c r="V138" s="11"/>
      <c r="W138" s="12"/>
    </row>
    <row r="139" spans="1:23" ht="45" customHeight="1">
      <c r="A139" s="34"/>
      <c r="B139" s="221"/>
      <c r="C139" s="222"/>
      <c r="D139" s="223"/>
      <c r="E139" s="225" t="s">
        <v>2</v>
      </c>
      <c r="F139" s="8"/>
      <c r="G139" s="231">
        <v>0.11</v>
      </c>
      <c r="H139" s="231">
        <f>SUM(G139)*H147</f>
        <v>675.5001</v>
      </c>
      <c r="I139" s="231"/>
      <c r="J139" s="231">
        <v>0.02</v>
      </c>
      <c r="K139" s="231">
        <f>SUM(J139)*H147</f>
        <v>122.8182</v>
      </c>
      <c r="L139" s="231"/>
      <c r="M139" s="231">
        <v>0.06</v>
      </c>
      <c r="N139" s="231">
        <f>SUM(M139)*J147</f>
        <v>387.6144</v>
      </c>
      <c r="O139" s="231"/>
      <c r="P139" s="231">
        <v>0.12</v>
      </c>
      <c r="Q139" s="231">
        <f>SUM(P139)*J147</f>
        <v>775.2288</v>
      </c>
      <c r="R139" s="231">
        <f t="shared" si="15"/>
        <v>0.31</v>
      </c>
      <c r="S139" s="231">
        <f t="shared" si="15"/>
        <v>1961.1615000000002</v>
      </c>
      <c r="U139" s="12"/>
      <c r="V139" s="11"/>
      <c r="W139" s="12"/>
    </row>
    <row r="140" spans="1:23" ht="45" customHeight="1">
      <c r="A140" s="34"/>
      <c r="B140" s="360" t="s">
        <v>98</v>
      </c>
      <c r="C140" s="441"/>
      <c r="D140" s="442"/>
      <c r="E140" s="225"/>
      <c r="F140" s="8"/>
      <c r="G140" s="231"/>
      <c r="H140" s="231">
        <f>SUM(H141:H142)</f>
        <v>4831.4601999999995</v>
      </c>
      <c r="I140" s="231"/>
      <c r="J140" s="231"/>
      <c r="K140" s="231">
        <f>SUM(K141:K142)</f>
        <v>4831.4601999999995</v>
      </c>
      <c r="L140" s="231"/>
      <c r="M140" s="231"/>
      <c r="N140" s="231">
        <f>SUM(N141:N142)</f>
        <v>5082.6628</v>
      </c>
      <c r="O140" s="231"/>
      <c r="P140" s="231"/>
      <c r="Q140" s="231">
        <f>SUM(Q141:Q142)</f>
        <v>5082.6628</v>
      </c>
      <c r="R140" s="231"/>
      <c r="S140" s="231">
        <f>SUM(H140)+K140+N140+Q140</f>
        <v>19828.246</v>
      </c>
      <c r="U140" s="12"/>
      <c r="V140" s="11"/>
      <c r="W140" s="12"/>
    </row>
    <row r="141" spans="1:23" ht="45" customHeight="1">
      <c r="A141" s="34"/>
      <c r="B141" s="221"/>
      <c r="C141" s="222"/>
      <c r="D141" s="223"/>
      <c r="E141" s="225" t="s">
        <v>70</v>
      </c>
      <c r="F141" s="8"/>
      <c r="G141" s="231">
        <v>10.75</v>
      </c>
      <c r="H141" s="231">
        <f>SUM(G141)*H145</f>
        <v>410.005</v>
      </c>
      <c r="I141" s="231"/>
      <c r="J141" s="231">
        <v>10.75</v>
      </c>
      <c r="K141" s="231">
        <f>SUM(J141)*H145</f>
        <v>410.005</v>
      </c>
      <c r="L141" s="231"/>
      <c r="M141" s="231">
        <v>10.75</v>
      </c>
      <c r="N141" s="231">
        <f>SUM(M141)*J145</f>
        <v>431.28999999999996</v>
      </c>
      <c r="O141" s="231"/>
      <c r="P141" s="231">
        <v>10.75</v>
      </c>
      <c r="Q141" s="231">
        <f>SUM(P141)*J145</f>
        <v>431.28999999999996</v>
      </c>
      <c r="R141" s="231">
        <f t="shared" si="15"/>
        <v>43</v>
      </c>
      <c r="S141" s="231">
        <f t="shared" si="15"/>
        <v>1682.59</v>
      </c>
      <c r="U141" s="12"/>
      <c r="V141" s="11"/>
      <c r="W141" s="12"/>
    </row>
    <row r="142" spans="1:23" ht="45" customHeight="1">
      <c r="A142" s="34"/>
      <c r="B142" s="221"/>
      <c r="C142" s="222"/>
      <c r="D142" s="223"/>
      <c r="E142" s="225" t="s">
        <v>2</v>
      </c>
      <c r="F142" s="8"/>
      <c r="G142" s="231">
        <v>0.72</v>
      </c>
      <c r="H142" s="231">
        <f>SUM(G142)*H147</f>
        <v>4421.455199999999</v>
      </c>
      <c r="I142" s="231"/>
      <c r="J142" s="231">
        <v>0.72</v>
      </c>
      <c r="K142" s="231">
        <f>SUM(J142)*H147</f>
        <v>4421.455199999999</v>
      </c>
      <c r="L142" s="231"/>
      <c r="M142" s="231">
        <v>0.72</v>
      </c>
      <c r="N142" s="231">
        <f>SUM(M142)*J147</f>
        <v>4651.3728</v>
      </c>
      <c r="O142" s="231"/>
      <c r="P142" s="231">
        <v>0.72</v>
      </c>
      <c r="Q142" s="231">
        <f>SUM(P142)*J147</f>
        <v>4651.3728</v>
      </c>
      <c r="R142" s="231">
        <f t="shared" si="15"/>
        <v>2.88</v>
      </c>
      <c r="S142" s="231">
        <f t="shared" si="15"/>
        <v>18145.656</v>
      </c>
      <c r="U142" s="12"/>
      <c r="V142" s="11"/>
      <c r="W142" s="12"/>
    </row>
    <row r="143" spans="1:23" ht="40.5" customHeight="1">
      <c r="A143" s="60"/>
      <c r="B143" s="477" t="s">
        <v>19</v>
      </c>
      <c r="C143" s="477"/>
      <c r="D143" s="477"/>
      <c r="E143" s="140"/>
      <c r="F143" s="14">
        <f>SUM(F70:F104)</f>
        <v>1552.1</v>
      </c>
      <c r="G143" s="59"/>
      <c r="H143" s="61">
        <f>H70+H73+H94+H103+H107+H122+H134</f>
        <v>1718689.8427099998</v>
      </c>
      <c r="I143" s="59">
        <f>SUM(I70:I104)</f>
        <v>0</v>
      </c>
      <c r="J143" s="59">
        <f>J70+J73+J94+J103+J107+J122</f>
        <v>0</v>
      </c>
      <c r="K143" s="59">
        <f>K70+K73+K94+K103+K107+K122+K134</f>
        <v>1757261.2071099998</v>
      </c>
      <c r="L143" s="59">
        <f>SUM(L70:L104)</f>
        <v>0</v>
      </c>
      <c r="M143" s="59">
        <f>M70+M73+M94+M103+M107+M122</f>
        <v>0</v>
      </c>
      <c r="N143" s="59">
        <f>N70+N73+N94+N103+N107+N122+N134</f>
        <v>1655756.47201</v>
      </c>
      <c r="O143" s="59">
        <f>SUM(O70:O104)</f>
        <v>0</v>
      </c>
      <c r="P143" s="59">
        <f>P70+P73+P94+P103+P107+P122</f>
        <v>0</v>
      </c>
      <c r="Q143" s="59">
        <f>Q70+Q73+Q94+Q103+Q107+Q122+Q134</f>
        <v>1922610.70603</v>
      </c>
      <c r="R143" s="59">
        <f>R70+R73+R94+R103+R107+R122</f>
        <v>0</v>
      </c>
      <c r="S143" s="59">
        <f>S70+S73+S94+S103+S107+S122+S134</f>
        <v>7054318.227860001</v>
      </c>
      <c r="U143" s="12"/>
      <c r="V143" s="12"/>
      <c r="W143" s="12"/>
    </row>
    <row r="144" spans="1:23" ht="68.25" customHeight="1">
      <c r="A144" s="53"/>
      <c r="B144" s="491" t="s">
        <v>8</v>
      </c>
      <c r="C144" s="492"/>
      <c r="D144" s="493"/>
      <c r="E144" s="146"/>
      <c r="F144" s="449" t="s">
        <v>125</v>
      </c>
      <c r="G144" s="449"/>
      <c r="H144" s="449"/>
      <c r="I144" s="449"/>
      <c r="J144" s="449"/>
      <c r="K144" s="449"/>
      <c r="L144" s="449"/>
      <c r="M144" s="449"/>
      <c r="N144" s="449"/>
      <c r="O144" s="449"/>
      <c r="P144" s="449"/>
      <c r="Q144" s="449"/>
      <c r="R144" s="449"/>
      <c r="S144" s="449"/>
      <c r="U144" s="12"/>
      <c r="V144" s="12"/>
      <c r="W144" s="12"/>
    </row>
    <row r="145" spans="1:19" ht="24.75" customHeight="1">
      <c r="A145" s="152"/>
      <c r="B145" s="150"/>
      <c r="C145" s="150"/>
      <c r="D145" s="191"/>
      <c r="E145" s="191"/>
      <c r="F145" s="181" t="s">
        <v>18</v>
      </c>
      <c r="G145" s="181" t="s">
        <v>18</v>
      </c>
      <c r="H145" s="192">
        <v>38.14</v>
      </c>
      <c r="I145" s="192" t="s">
        <v>16</v>
      </c>
      <c r="J145" s="192">
        <v>40.12</v>
      </c>
      <c r="K145" s="193"/>
      <c r="L145" s="193"/>
      <c r="M145" s="193"/>
      <c r="N145" s="193"/>
      <c r="O145" s="39"/>
      <c r="P145" s="39"/>
      <c r="Q145" s="39"/>
      <c r="R145" s="39"/>
      <c r="S145" s="39"/>
    </row>
    <row r="146" spans="1:19" ht="55.5" customHeight="1">
      <c r="A146" s="152"/>
      <c r="B146" s="150"/>
      <c r="C146" s="150"/>
      <c r="D146" s="191"/>
      <c r="E146" s="191"/>
      <c r="F146" s="181" t="s">
        <v>13</v>
      </c>
      <c r="G146" s="181" t="s">
        <v>32</v>
      </c>
      <c r="H146" s="192">
        <v>61.36</v>
      </c>
      <c r="I146" s="192"/>
      <c r="J146" s="192">
        <v>64.55</v>
      </c>
      <c r="K146" s="193"/>
      <c r="L146" s="193"/>
      <c r="M146" s="194" t="s">
        <v>78</v>
      </c>
      <c r="N146" s="193" t="s">
        <v>79</v>
      </c>
      <c r="O146" s="39"/>
      <c r="P146" s="39" t="s">
        <v>13</v>
      </c>
      <c r="Q146" s="39"/>
      <c r="R146" s="39"/>
      <c r="S146" s="39"/>
    </row>
    <row r="147" spans="1:19" ht="24" customHeight="1">
      <c r="A147" s="152"/>
      <c r="B147" s="150"/>
      <c r="C147" s="150"/>
      <c r="D147" s="191"/>
      <c r="E147" s="191"/>
      <c r="F147" s="181"/>
      <c r="G147" s="181"/>
      <c r="H147" s="195">
        <v>6140.91</v>
      </c>
      <c r="I147" s="195"/>
      <c r="J147" s="195">
        <v>6460.24</v>
      </c>
      <c r="K147" s="193"/>
      <c r="L147" s="193"/>
      <c r="M147" s="193" t="s">
        <v>80</v>
      </c>
      <c r="N147" s="193">
        <v>0.06054</v>
      </c>
      <c r="O147" s="39"/>
      <c r="P147" s="39">
        <v>0.05688</v>
      </c>
      <c r="Q147" s="38"/>
      <c r="R147" s="38"/>
      <c r="S147" s="165"/>
    </row>
    <row r="148" spans="1:19" ht="30.75" customHeight="1">
      <c r="A148" s="152"/>
      <c r="B148" s="150"/>
      <c r="C148" s="150"/>
      <c r="D148" s="191"/>
      <c r="E148" s="191"/>
      <c r="F148" s="181"/>
      <c r="G148" s="181"/>
      <c r="H148" s="195">
        <v>6140.91</v>
      </c>
      <c r="I148" s="195"/>
      <c r="J148" s="195">
        <v>6460.24</v>
      </c>
      <c r="K148" s="193"/>
      <c r="L148" s="193"/>
      <c r="M148" s="193" t="s">
        <v>81</v>
      </c>
      <c r="N148" s="193">
        <v>0.06054</v>
      </c>
      <c r="O148" s="39"/>
      <c r="P148" s="39">
        <v>0.05688</v>
      </c>
      <c r="Q148" s="520"/>
      <c r="R148" s="520"/>
      <c r="S148" s="520"/>
    </row>
    <row r="149" spans="1:19" ht="15" customHeight="1">
      <c r="A149" s="152"/>
      <c r="B149" s="150"/>
      <c r="C149" s="150"/>
      <c r="D149" s="191"/>
      <c r="E149" s="191"/>
      <c r="F149" s="181"/>
      <c r="G149" s="181"/>
      <c r="H149" s="195"/>
      <c r="I149" s="195"/>
      <c r="J149" s="195"/>
      <c r="K149" s="193"/>
      <c r="L149" s="193"/>
      <c r="M149" s="193"/>
      <c r="N149" s="193"/>
      <c r="O149" s="39"/>
      <c r="P149" s="39"/>
      <c r="Q149" s="520"/>
      <c r="R149" s="520"/>
      <c r="S149" s="520"/>
    </row>
    <row r="150" spans="1:19" ht="13.5" customHeight="1">
      <c r="A150" s="152"/>
      <c r="B150" s="150"/>
      <c r="C150" s="150"/>
      <c r="D150" s="191"/>
      <c r="E150" s="191"/>
      <c r="F150" s="181"/>
      <c r="G150" s="181"/>
      <c r="H150" s="181"/>
      <c r="I150" s="181"/>
      <c r="J150" s="181"/>
      <c r="K150" s="193"/>
      <c r="L150" s="193"/>
      <c r="M150" s="193"/>
      <c r="N150" s="193"/>
      <c r="O150" s="39"/>
      <c r="P150" s="39"/>
      <c r="Q150" s="520"/>
      <c r="R150" s="520"/>
      <c r="S150" s="520"/>
    </row>
    <row r="151" spans="1:19" ht="15.75" customHeight="1">
      <c r="A151" s="152"/>
      <c r="B151" s="150"/>
      <c r="C151" s="150"/>
      <c r="D151" s="191"/>
      <c r="E151" s="191"/>
      <c r="F151" s="181"/>
      <c r="G151" s="181"/>
      <c r="H151" s="181"/>
      <c r="I151" s="181"/>
      <c r="J151" s="181"/>
      <c r="K151" s="193"/>
      <c r="L151" s="193"/>
      <c r="M151" s="193"/>
      <c r="N151" s="193"/>
      <c r="O151" s="39"/>
      <c r="P151" s="39"/>
      <c r="Q151" s="39"/>
      <c r="R151" s="39"/>
      <c r="S151" s="39"/>
    </row>
    <row r="152" spans="1:23" ht="26.25" customHeight="1" hidden="1">
      <c r="A152" s="529" t="s">
        <v>62</v>
      </c>
      <c r="B152" s="529"/>
      <c r="C152" s="529"/>
      <c r="D152" s="529"/>
      <c r="E152" s="529"/>
      <c r="F152" s="529"/>
      <c r="G152" s="529"/>
      <c r="H152" s="529"/>
      <c r="I152" s="529"/>
      <c r="J152" s="529"/>
      <c r="K152" s="529"/>
      <c r="L152" s="529"/>
      <c r="M152" s="529"/>
      <c r="N152" s="529"/>
      <c r="O152" s="529"/>
      <c r="P152" s="529"/>
      <c r="Q152" s="529"/>
      <c r="R152" s="529"/>
      <c r="S152" s="529"/>
      <c r="U152" s="12"/>
      <c r="V152" s="12"/>
      <c r="W152" s="12"/>
    </row>
    <row r="153" spans="1:19" ht="35.25" hidden="1">
      <c r="A153" s="449" t="s">
        <v>15</v>
      </c>
      <c r="B153" s="450" t="s">
        <v>0</v>
      </c>
      <c r="C153" s="451"/>
      <c r="D153" s="452"/>
      <c r="E153" s="128"/>
      <c r="F153" s="377" t="s">
        <v>1</v>
      </c>
      <c r="G153" s="377"/>
      <c r="H153" s="377"/>
      <c r="I153" s="377" t="s">
        <v>3</v>
      </c>
      <c r="J153" s="377"/>
      <c r="K153" s="377"/>
      <c r="L153" s="377" t="s">
        <v>4</v>
      </c>
      <c r="M153" s="377"/>
      <c r="N153" s="377"/>
      <c r="O153" s="377" t="s">
        <v>6</v>
      </c>
      <c r="P153" s="377"/>
      <c r="Q153" s="377"/>
      <c r="R153" s="377" t="s">
        <v>7</v>
      </c>
      <c r="S153" s="377"/>
    </row>
    <row r="154" spans="1:19" ht="35.25" hidden="1">
      <c r="A154" s="449"/>
      <c r="B154" s="453"/>
      <c r="C154" s="454"/>
      <c r="D154" s="455"/>
      <c r="E154" s="62"/>
      <c r="G154" s="125" t="s">
        <v>10</v>
      </c>
      <c r="H154" s="125" t="s">
        <v>5</v>
      </c>
      <c r="I154" s="125" t="s">
        <v>10</v>
      </c>
      <c r="J154" s="125" t="s">
        <v>10</v>
      </c>
      <c r="K154" s="125" t="s">
        <v>5</v>
      </c>
      <c r="L154" s="125" t="s">
        <v>10</v>
      </c>
      <c r="M154" s="125" t="s">
        <v>10</v>
      </c>
      <c r="N154" s="125" t="s">
        <v>5</v>
      </c>
      <c r="O154" s="125" t="s">
        <v>10</v>
      </c>
      <c r="P154" s="125" t="s">
        <v>10</v>
      </c>
      <c r="Q154" s="125" t="s">
        <v>5</v>
      </c>
      <c r="R154" s="125" t="s">
        <v>10</v>
      </c>
      <c r="S154" s="125" t="s">
        <v>5</v>
      </c>
    </row>
    <row r="155" spans="1:22" ht="32.25" customHeight="1" hidden="1">
      <c r="A155" s="14">
        <v>1</v>
      </c>
      <c r="B155" s="458" t="s">
        <v>33</v>
      </c>
      <c r="C155" s="459"/>
      <c r="D155" s="460"/>
      <c r="E155" s="133"/>
      <c r="F155" s="14">
        <v>14.8</v>
      </c>
      <c r="G155" s="9">
        <v>3.3</v>
      </c>
      <c r="H155" s="9">
        <f>G155*J178</f>
        <v>97.152</v>
      </c>
      <c r="I155" s="9">
        <v>14.8</v>
      </c>
      <c r="J155" s="9">
        <v>3.3</v>
      </c>
      <c r="K155" s="9">
        <f>J155*J178</f>
        <v>97.152</v>
      </c>
      <c r="L155" s="9">
        <v>15</v>
      </c>
      <c r="M155" s="9">
        <v>3.4</v>
      </c>
      <c r="N155" s="9">
        <f>M155*J178</f>
        <v>100.096</v>
      </c>
      <c r="O155" s="9">
        <v>15</v>
      </c>
      <c r="P155" s="9">
        <v>3.3</v>
      </c>
      <c r="Q155" s="9">
        <f>P155*J178</f>
        <v>97.152</v>
      </c>
      <c r="R155" s="9">
        <f>G155+J155+M155+P155</f>
        <v>13.3</v>
      </c>
      <c r="S155" s="9">
        <f>H155+K155+N155+Q155</f>
        <v>391.55199999999996</v>
      </c>
      <c r="T155" s="67" t="s">
        <v>21</v>
      </c>
      <c r="U155" s="13"/>
      <c r="V155" s="13"/>
    </row>
    <row r="156" spans="1:22" ht="32.25" customHeight="1" hidden="1">
      <c r="A156" s="14">
        <v>2</v>
      </c>
      <c r="B156" s="458" t="s">
        <v>41</v>
      </c>
      <c r="C156" s="459"/>
      <c r="D156" s="460"/>
      <c r="E156" s="133"/>
      <c r="F156" s="8"/>
      <c r="G156" s="9">
        <f>G157+G158+G159+G160+G161+G162</f>
        <v>4062.7</v>
      </c>
      <c r="H156" s="9">
        <f>H157+H158+H159+H160+H161+H162</f>
        <v>130684.578</v>
      </c>
      <c r="I156" s="9"/>
      <c r="J156" s="9">
        <f>J157+J158+J159+J160+J161+J162</f>
        <v>3746</v>
      </c>
      <c r="K156" s="9">
        <f>K157+K158+K159+K160+K161+K162</f>
        <v>121933.6</v>
      </c>
      <c r="L156" s="9"/>
      <c r="M156" s="9">
        <f>M157+M158+M159+M160+M161+M162</f>
        <v>3920.1</v>
      </c>
      <c r="N156" s="9">
        <f>N157+N158+N159+N160+N161+N162</f>
        <v>126797.51400000001</v>
      </c>
      <c r="O156" s="9"/>
      <c r="P156" s="9">
        <f>P157+P158+P159+P160+P161+P162</f>
        <v>3955.8</v>
      </c>
      <c r="Q156" s="9">
        <f>Q157+Q158+Q159+Q160+Q161+Q162</f>
        <v>128166.672</v>
      </c>
      <c r="R156" s="9">
        <f>R157+R158+R159+R160+R161+R162</f>
        <v>15684.6</v>
      </c>
      <c r="S156" s="9">
        <f>S157+S158+S159+S160+S161+S162</f>
        <v>507582.364</v>
      </c>
      <c r="U156" s="13"/>
      <c r="V156" s="13"/>
    </row>
    <row r="157" spans="1:22" ht="25.5" customHeight="1" hidden="1">
      <c r="A157" s="14"/>
      <c r="B157" s="461" t="s">
        <v>34</v>
      </c>
      <c r="C157" s="462"/>
      <c r="D157" s="463"/>
      <c r="E157" s="134"/>
      <c r="F157" s="8">
        <v>3068.8</v>
      </c>
      <c r="G157" s="15">
        <v>520</v>
      </c>
      <c r="H157" s="15">
        <f>G157*J178</f>
        <v>15308.800000000001</v>
      </c>
      <c r="I157" s="15">
        <v>2511</v>
      </c>
      <c r="J157" s="15">
        <v>185</v>
      </c>
      <c r="K157" s="15">
        <f>J157*J178</f>
        <v>5446.400000000001</v>
      </c>
      <c r="L157" s="15">
        <v>2511</v>
      </c>
      <c r="M157" s="15">
        <v>590</v>
      </c>
      <c r="N157" s="15">
        <f>M157*J178</f>
        <v>17369.600000000002</v>
      </c>
      <c r="O157" s="15">
        <v>2511</v>
      </c>
      <c r="P157" s="15">
        <v>342</v>
      </c>
      <c r="Q157" s="15">
        <f>P157*J178</f>
        <v>10068.48</v>
      </c>
      <c r="R157" s="15">
        <f aca="true" t="shared" si="16" ref="R157:S163">G157+J157+M157+P157</f>
        <v>1637</v>
      </c>
      <c r="S157" s="15">
        <f t="shared" si="16"/>
        <v>48193.28</v>
      </c>
      <c r="T157" s="67" t="s">
        <v>21</v>
      </c>
      <c r="U157" s="13"/>
      <c r="V157" s="13"/>
    </row>
    <row r="158" spans="1:22" ht="27.75" customHeight="1" hidden="1">
      <c r="A158" s="30"/>
      <c r="B158" s="473" t="s">
        <v>35</v>
      </c>
      <c r="C158" s="474"/>
      <c r="D158" s="475"/>
      <c r="E158" s="138"/>
      <c r="F158" s="49">
        <v>609</v>
      </c>
      <c r="G158" s="33">
        <v>516</v>
      </c>
      <c r="H158" s="33">
        <f>G158*J178</f>
        <v>15191.04</v>
      </c>
      <c r="I158" s="33">
        <v>609</v>
      </c>
      <c r="J158" s="33">
        <v>516</v>
      </c>
      <c r="K158" s="33">
        <f>J158*J178</f>
        <v>15191.04</v>
      </c>
      <c r="L158" s="33">
        <v>609</v>
      </c>
      <c r="M158" s="33">
        <v>516</v>
      </c>
      <c r="N158" s="33">
        <f>M158*J178</f>
        <v>15191.04</v>
      </c>
      <c r="O158" s="33">
        <v>609</v>
      </c>
      <c r="P158" s="33">
        <v>516</v>
      </c>
      <c r="Q158" s="33">
        <f>P158*J178</f>
        <v>15191.04</v>
      </c>
      <c r="R158" s="33">
        <f t="shared" si="16"/>
        <v>2064</v>
      </c>
      <c r="S158" s="33">
        <f t="shared" si="16"/>
        <v>60764.16</v>
      </c>
      <c r="T158" s="67" t="s">
        <v>21</v>
      </c>
      <c r="U158" s="13"/>
      <c r="V158" s="13"/>
    </row>
    <row r="159" spans="1:22" ht="26.25" customHeight="1" hidden="1">
      <c r="A159" s="14"/>
      <c r="B159" s="461" t="s">
        <v>36</v>
      </c>
      <c r="C159" s="462"/>
      <c r="D159" s="463"/>
      <c r="E159" s="134"/>
      <c r="F159" s="8">
        <v>725.1</v>
      </c>
      <c r="G159" s="15">
        <v>616</v>
      </c>
      <c r="H159" s="15">
        <f>G159*J179</f>
        <v>22490.16</v>
      </c>
      <c r="I159" s="15">
        <v>885.2</v>
      </c>
      <c r="J159" s="15">
        <v>752</v>
      </c>
      <c r="K159" s="15">
        <f>J159*J179</f>
        <v>27455.519999999997</v>
      </c>
      <c r="L159" s="15">
        <v>727.3</v>
      </c>
      <c r="M159" s="15">
        <v>618</v>
      </c>
      <c r="N159" s="15">
        <f>M159*J179</f>
        <v>22563.18</v>
      </c>
      <c r="O159" s="15">
        <v>892.61</v>
      </c>
      <c r="P159" s="15">
        <v>759</v>
      </c>
      <c r="Q159" s="15">
        <f>P159*J179</f>
        <v>27711.09</v>
      </c>
      <c r="R159" s="15">
        <f t="shared" si="16"/>
        <v>2745</v>
      </c>
      <c r="S159" s="15">
        <f t="shared" si="16"/>
        <v>100219.94999999998</v>
      </c>
      <c r="T159" s="67" t="s">
        <v>21</v>
      </c>
      <c r="U159" s="13"/>
      <c r="V159" s="13"/>
    </row>
    <row r="160" spans="1:22" ht="24" customHeight="1" hidden="1">
      <c r="A160" s="14"/>
      <c r="B160" s="476" t="s">
        <v>37</v>
      </c>
      <c r="C160" s="476"/>
      <c r="D160" s="476"/>
      <c r="E160" s="139"/>
      <c r="F160" s="8">
        <v>1639</v>
      </c>
      <c r="G160" s="15">
        <v>951</v>
      </c>
      <c r="H160" s="15">
        <f>G160*J179</f>
        <v>34721.009999999995</v>
      </c>
      <c r="I160" s="15">
        <v>1584</v>
      </c>
      <c r="J160" s="15">
        <v>896</v>
      </c>
      <c r="K160" s="15">
        <f>J160*J179</f>
        <v>32712.96</v>
      </c>
      <c r="L160" s="15">
        <v>1344</v>
      </c>
      <c r="M160" s="15">
        <v>993</v>
      </c>
      <c r="N160" s="15">
        <f>M160*J179</f>
        <v>36254.43</v>
      </c>
      <c r="O160" s="15">
        <v>1639</v>
      </c>
      <c r="P160" s="15">
        <v>897</v>
      </c>
      <c r="Q160" s="15">
        <f>P160*J179</f>
        <v>32749.469999999998</v>
      </c>
      <c r="R160" s="15">
        <f t="shared" si="16"/>
        <v>3737</v>
      </c>
      <c r="S160" s="15">
        <f t="shared" si="16"/>
        <v>136437.87</v>
      </c>
      <c r="T160" s="67" t="s">
        <v>21</v>
      </c>
      <c r="U160" s="13"/>
      <c r="V160" s="13"/>
    </row>
    <row r="161" spans="1:22" ht="24.75" customHeight="1" hidden="1">
      <c r="A161" s="14"/>
      <c r="B161" s="476" t="s">
        <v>38</v>
      </c>
      <c r="C161" s="476"/>
      <c r="D161" s="476"/>
      <c r="E161" s="139"/>
      <c r="F161" s="8">
        <v>53.7</v>
      </c>
      <c r="G161" s="15">
        <v>1393</v>
      </c>
      <c r="H161" s="15">
        <f>G161*J178</f>
        <v>41009.92</v>
      </c>
      <c r="I161" s="15">
        <v>43.6</v>
      </c>
      <c r="J161" s="15">
        <v>1346</v>
      </c>
      <c r="K161" s="15">
        <f>J161*J178</f>
        <v>39626.240000000005</v>
      </c>
      <c r="L161" s="15">
        <v>43.8</v>
      </c>
      <c r="M161" s="15">
        <v>1142</v>
      </c>
      <c r="N161" s="15">
        <f>M161*J178</f>
        <v>33620.48</v>
      </c>
      <c r="O161" s="15">
        <v>43.8</v>
      </c>
      <c r="P161" s="15">
        <v>1393</v>
      </c>
      <c r="Q161" s="15">
        <f>P161*J178</f>
        <v>41009.92</v>
      </c>
      <c r="R161" s="15">
        <f t="shared" si="16"/>
        <v>5274</v>
      </c>
      <c r="S161" s="15">
        <f t="shared" si="16"/>
        <v>155266.56</v>
      </c>
      <c r="T161" s="67" t="s">
        <v>21</v>
      </c>
      <c r="U161" s="13"/>
      <c r="V161" s="13"/>
    </row>
    <row r="162" spans="1:22" ht="54.75" customHeight="1" hidden="1">
      <c r="A162" s="14"/>
      <c r="B162" s="476" t="s">
        <v>39</v>
      </c>
      <c r="C162" s="476"/>
      <c r="D162" s="476"/>
      <c r="E162" s="139"/>
      <c r="F162" s="8">
        <v>51</v>
      </c>
      <c r="G162" s="15">
        <v>66.7</v>
      </c>
      <c r="H162" s="15">
        <f>G162*J178</f>
        <v>1963.6480000000001</v>
      </c>
      <c r="I162" s="15">
        <v>48</v>
      </c>
      <c r="J162" s="15">
        <v>51</v>
      </c>
      <c r="K162" s="15">
        <f>J162*J178</f>
        <v>1501.44</v>
      </c>
      <c r="L162" s="15">
        <v>48</v>
      </c>
      <c r="M162" s="15">
        <v>61.1</v>
      </c>
      <c r="N162" s="15">
        <f>M162*J178</f>
        <v>1798.784</v>
      </c>
      <c r="O162" s="15">
        <v>51</v>
      </c>
      <c r="P162" s="15">
        <v>48.8</v>
      </c>
      <c r="Q162" s="15">
        <f>P162*J178</f>
        <v>1436.672</v>
      </c>
      <c r="R162" s="15">
        <f t="shared" si="16"/>
        <v>227.60000000000002</v>
      </c>
      <c r="S162" s="15">
        <f t="shared" si="16"/>
        <v>6700.544</v>
      </c>
      <c r="T162" s="67" t="s">
        <v>21</v>
      </c>
      <c r="U162" s="13"/>
      <c r="V162" s="13"/>
    </row>
    <row r="163" spans="1:22" ht="24" customHeight="1" hidden="1">
      <c r="A163" s="14">
        <v>3</v>
      </c>
      <c r="B163" s="458" t="s">
        <v>42</v>
      </c>
      <c r="C163" s="459"/>
      <c r="D163" s="460"/>
      <c r="E163" s="133"/>
      <c r="F163" s="8">
        <v>76.86</v>
      </c>
      <c r="G163" s="9">
        <v>201</v>
      </c>
      <c r="H163" s="9">
        <f>G163*J178</f>
        <v>5917.4400000000005</v>
      </c>
      <c r="I163" s="9">
        <v>76.86</v>
      </c>
      <c r="J163" s="9">
        <v>201</v>
      </c>
      <c r="K163" s="9">
        <f>J163*J178</f>
        <v>5917.4400000000005</v>
      </c>
      <c r="L163" s="9">
        <v>76.86</v>
      </c>
      <c r="M163" s="9">
        <v>201</v>
      </c>
      <c r="N163" s="9">
        <f>M163*J178</f>
        <v>5917.4400000000005</v>
      </c>
      <c r="O163" s="9">
        <v>76.86</v>
      </c>
      <c r="P163" s="9">
        <v>201</v>
      </c>
      <c r="Q163" s="9">
        <f>P163*J178</f>
        <v>5917.4400000000005</v>
      </c>
      <c r="R163" s="9">
        <f t="shared" si="16"/>
        <v>804</v>
      </c>
      <c r="S163" s="9">
        <f t="shared" si="16"/>
        <v>23669.760000000002</v>
      </c>
      <c r="T163" s="67" t="s">
        <v>21</v>
      </c>
      <c r="U163" s="13"/>
      <c r="V163" s="13"/>
    </row>
    <row r="164" spans="1:22" ht="30.75" customHeight="1" hidden="1">
      <c r="A164" s="14">
        <v>4</v>
      </c>
      <c r="B164" s="458" t="s">
        <v>43</v>
      </c>
      <c r="C164" s="459"/>
      <c r="D164" s="460"/>
      <c r="E164" s="133"/>
      <c r="F164" s="8">
        <v>172</v>
      </c>
      <c r="G164" s="9">
        <f>G165</f>
        <v>23.4</v>
      </c>
      <c r="H164" s="9">
        <f>H165</f>
        <v>688.896</v>
      </c>
      <c r="I164" s="9"/>
      <c r="J164" s="9">
        <f>J165</f>
        <v>23.4</v>
      </c>
      <c r="K164" s="9">
        <f>K165</f>
        <v>688.896</v>
      </c>
      <c r="L164" s="9"/>
      <c r="M164" s="9">
        <f>M165</f>
        <v>23.4</v>
      </c>
      <c r="N164" s="9">
        <f>N165</f>
        <v>688.896</v>
      </c>
      <c r="O164" s="9"/>
      <c r="P164" s="9">
        <f>P165</f>
        <v>23.1</v>
      </c>
      <c r="Q164" s="9">
        <f>Q165</f>
        <v>680.0640000000001</v>
      </c>
      <c r="R164" s="9">
        <f>R165</f>
        <v>93.29999999999998</v>
      </c>
      <c r="S164" s="9">
        <f>S165</f>
        <v>2746.7520000000004</v>
      </c>
      <c r="T164" s="67" t="s">
        <v>21</v>
      </c>
      <c r="U164" s="13"/>
      <c r="V164" s="13"/>
    </row>
    <row r="165" spans="1:22" ht="30.75" customHeight="1" hidden="1">
      <c r="A165" s="14"/>
      <c r="B165" s="461" t="s">
        <v>44</v>
      </c>
      <c r="C165" s="462"/>
      <c r="D165" s="463"/>
      <c r="E165" s="134"/>
      <c r="F165" s="8"/>
      <c r="G165" s="15">
        <v>23.4</v>
      </c>
      <c r="H165" s="15">
        <f>G165*J178</f>
        <v>688.896</v>
      </c>
      <c r="I165" s="15"/>
      <c r="J165" s="15">
        <v>23.4</v>
      </c>
      <c r="K165" s="15">
        <f>J165*J178</f>
        <v>688.896</v>
      </c>
      <c r="L165" s="15"/>
      <c r="M165" s="15">
        <v>23.4</v>
      </c>
      <c r="N165" s="15">
        <f>M165*J178</f>
        <v>688.896</v>
      </c>
      <c r="O165" s="15"/>
      <c r="P165" s="15">
        <v>23.1</v>
      </c>
      <c r="Q165" s="15">
        <f>P165*J178</f>
        <v>680.0640000000001</v>
      </c>
      <c r="R165" s="15">
        <f>G165+J165+M165+P165</f>
        <v>93.29999999999998</v>
      </c>
      <c r="S165" s="15">
        <f>H165+K165+N165+Q165</f>
        <v>2746.7520000000004</v>
      </c>
      <c r="U165" s="13"/>
      <c r="V165" s="13"/>
    </row>
    <row r="166" spans="1:22" ht="30.75" customHeight="1" hidden="1">
      <c r="A166" s="14">
        <v>5</v>
      </c>
      <c r="B166" s="458" t="s">
        <v>47</v>
      </c>
      <c r="C166" s="459"/>
      <c r="D166" s="460"/>
      <c r="E166" s="133"/>
      <c r="F166" s="8"/>
      <c r="G166" s="9">
        <f>G167+G168+G169+G170+G171+G172</f>
        <v>127.91</v>
      </c>
      <c r="H166" s="9">
        <f>H167+H168+H169+H170+H171+H172</f>
        <v>3854.7524000000003</v>
      </c>
      <c r="I166" s="9"/>
      <c r="J166" s="9">
        <f>J167+J168+J169+J171+J172+J170</f>
        <v>122.46000000000001</v>
      </c>
      <c r="K166" s="9">
        <f>K167+K168+K169+K170+K171+K172</f>
        <v>3672.3874</v>
      </c>
      <c r="L166" s="9"/>
      <c r="M166" s="9">
        <f>M167+M168+M169+M170+M171+M172</f>
        <v>110.28999999999999</v>
      </c>
      <c r="N166" s="9">
        <f>N167+N168+N169+N170+N171+N172</f>
        <v>3314.1026</v>
      </c>
      <c r="O166" s="9"/>
      <c r="P166" s="9">
        <f>P167+P168+P169+P170+P171+P172</f>
        <v>122.81</v>
      </c>
      <c r="Q166" s="9">
        <f>Q167+Q168+Q169+Q170+Q171+Q172</f>
        <v>3701.0734</v>
      </c>
      <c r="R166" s="9">
        <f>R167+R168+R169+R170+R171+R172</f>
        <v>483.46999999999997</v>
      </c>
      <c r="S166" s="9">
        <f>S167+S168+S169+S170+S171+S172</f>
        <v>14542.3158</v>
      </c>
      <c r="U166" s="13"/>
      <c r="V166" s="13"/>
    </row>
    <row r="167" spans="1:22" ht="30.75" customHeight="1" hidden="1">
      <c r="A167" s="14"/>
      <c r="B167" s="461" t="s">
        <v>48</v>
      </c>
      <c r="C167" s="462"/>
      <c r="D167" s="463"/>
      <c r="E167" s="134"/>
      <c r="F167" s="8"/>
      <c r="G167" s="15">
        <v>7.71</v>
      </c>
      <c r="H167" s="15">
        <f>G167*J178</f>
        <v>226.9824</v>
      </c>
      <c r="I167" s="15"/>
      <c r="J167" s="15">
        <v>6.36</v>
      </c>
      <c r="K167" s="15">
        <f>J167*J178</f>
        <v>187.2384</v>
      </c>
      <c r="L167" s="15"/>
      <c r="M167" s="15">
        <v>3.69</v>
      </c>
      <c r="N167" s="15">
        <f>M167*J178</f>
        <v>108.6336</v>
      </c>
      <c r="O167" s="15"/>
      <c r="P167" s="15">
        <v>6.11</v>
      </c>
      <c r="Q167" s="15">
        <f>P167*J178</f>
        <v>179.87840000000003</v>
      </c>
      <c r="R167" s="15">
        <f aca="true" t="shared" si="17" ref="R167:S172">G167+J167+M167+P167</f>
        <v>23.87</v>
      </c>
      <c r="S167" s="15">
        <f t="shared" si="17"/>
        <v>702.7328000000001</v>
      </c>
      <c r="U167" s="13"/>
      <c r="V167" s="13"/>
    </row>
    <row r="168" spans="1:22" ht="30.75" customHeight="1" hidden="1">
      <c r="A168" s="14"/>
      <c r="B168" s="461" t="s">
        <v>49</v>
      </c>
      <c r="C168" s="462"/>
      <c r="D168" s="463"/>
      <c r="E168" s="134"/>
      <c r="F168" s="8"/>
      <c r="G168" s="15">
        <v>40</v>
      </c>
      <c r="H168" s="15">
        <f>G168*J178</f>
        <v>1177.6000000000001</v>
      </c>
      <c r="I168" s="15"/>
      <c r="J168" s="15">
        <v>40</v>
      </c>
      <c r="K168" s="15">
        <f>J168*J178</f>
        <v>1177.6000000000001</v>
      </c>
      <c r="L168" s="15"/>
      <c r="M168" s="15">
        <v>40</v>
      </c>
      <c r="N168" s="15">
        <f>M168*J178</f>
        <v>1177.6000000000001</v>
      </c>
      <c r="O168" s="15"/>
      <c r="P168" s="15">
        <v>40</v>
      </c>
      <c r="Q168" s="15">
        <f>P168*J178</f>
        <v>1177.6000000000001</v>
      </c>
      <c r="R168" s="15">
        <f t="shared" si="17"/>
        <v>160</v>
      </c>
      <c r="S168" s="15">
        <f t="shared" si="17"/>
        <v>4710.400000000001</v>
      </c>
      <c r="U168" s="13"/>
      <c r="V168" s="13"/>
    </row>
    <row r="169" spans="1:22" ht="30.75" customHeight="1" hidden="1">
      <c r="A169" s="14"/>
      <c r="B169" s="461" t="s">
        <v>50</v>
      </c>
      <c r="C169" s="462"/>
      <c r="D169" s="463"/>
      <c r="E169" s="134"/>
      <c r="F169" s="8"/>
      <c r="G169" s="15">
        <v>27.6</v>
      </c>
      <c r="H169" s="35">
        <f>G169*J178</f>
        <v>812.5440000000001</v>
      </c>
      <c r="I169" s="15"/>
      <c r="J169" s="15">
        <v>27.6</v>
      </c>
      <c r="K169" s="15">
        <f>J169*J178</f>
        <v>812.5440000000001</v>
      </c>
      <c r="L169" s="15"/>
      <c r="M169" s="15">
        <v>27.6</v>
      </c>
      <c r="N169" s="15">
        <f>M169*J178</f>
        <v>812.5440000000001</v>
      </c>
      <c r="O169" s="15"/>
      <c r="P169" s="15">
        <v>27.6</v>
      </c>
      <c r="Q169" s="15">
        <f>P169*J178</f>
        <v>812.5440000000001</v>
      </c>
      <c r="R169" s="15">
        <f t="shared" si="17"/>
        <v>110.4</v>
      </c>
      <c r="S169" s="15">
        <f t="shared" si="17"/>
        <v>3250.1760000000004</v>
      </c>
      <c r="U169" s="13"/>
      <c r="V169" s="13"/>
    </row>
    <row r="170" spans="1:22" ht="30.75" customHeight="1" hidden="1">
      <c r="A170" s="14"/>
      <c r="B170" s="476" t="s">
        <v>40</v>
      </c>
      <c r="C170" s="476"/>
      <c r="D170" s="476"/>
      <c r="E170" s="139"/>
      <c r="F170" s="8"/>
      <c r="G170" s="15">
        <v>40</v>
      </c>
      <c r="H170" s="15">
        <f>G170*J178</f>
        <v>1177.6000000000001</v>
      </c>
      <c r="I170" s="15"/>
      <c r="J170" s="15">
        <v>39</v>
      </c>
      <c r="K170" s="15">
        <f>J170*J178</f>
        <v>1148.16</v>
      </c>
      <c r="L170" s="15"/>
      <c r="M170" s="15">
        <v>29.5</v>
      </c>
      <c r="N170" s="15">
        <f>M170*J178</f>
        <v>868.48</v>
      </c>
      <c r="O170" s="15"/>
      <c r="P170" s="15">
        <v>37</v>
      </c>
      <c r="Q170" s="15">
        <f>P170*J178</f>
        <v>1089.28</v>
      </c>
      <c r="R170" s="15">
        <f t="shared" si="17"/>
        <v>145.5</v>
      </c>
      <c r="S170" s="15">
        <f t="shared" si="17"/>
        <v>4283.52</v>
      </c>
      <c r="U170" s="13"/>
      <c r="V170" s="13"/>
    </row>
    <row r="171" spans="1:22" ht="30.75" customHeight="1" hidden="1">
      <c r="A171" s="14"/>
      <c r="B171" s="476" t="s">
        <v>51</v>
      </c>
      <c r="C171" s="476"/>
      <c r="D171" s="476"/>
      <c r="E171" s="139"/>
      <c r="F171" s="8"/>
      <c r="G171" s="15">
        <v>4.6</v>
      </c>
      <c r="H171" s="15">
        <f>G171*J179</f>
        <v>167.94599999999997</v>
      </c>
      <c r="I171" s="15"/>
      <c r="J171" s="15">
        <v>1.5</v>
      </c>
      <c r="K171" s="15">
        <f>J171*J179</f>
        <v>54.765</v>
      </c>
      <c r="L171" s="15"/>
      <c r="M171" s="15">
        <v>1.5</v>
      </c>
      <c r="N171" s="15">
        <f>M171*J179</f>
        <v>54.765</v>
      </c>
      <c r="O171" s="15"/>
      <c r="P171" s="15">
        <v>4.1</v>
      </c>
      <c r="Q171" s="15">
        <f>P171*J179</f>
        <v>149.69099999999997</v>
      </c>
      <c r="R171" s="15">
        <f t="shared" si="17"/>
        <v>11.7</v>
      </c>
      <c r="S171" s="15">
        <f t="shared" si="17"/>
        <v>427.1669999999999</v>
      </c>
      <c r="U171" s="13"/>
      <c r="V171" s="13"/>
    </row>
    <row r="172" spans="1:22" ht="30.75" customHeight="1" hidden="1">
      <c r="A172" s="14"/>
      <c r="B172" s="476" t="s">
        <v>52</v>
      </c>
      <c r="C172" s="476"/>
      <c r="D172" s="476"/>
      <c r="E172" s="139"/>
      <c r="F172" s="8"/>
      <c r="G172" s="15">
        <v>8</v>
      </c>
      <c r="H172" s="15">
        <f>G172*J179</f>
        <v>292.08</v>
      </c>
      <c r="I172" s="15"/>
      <c r="J172" s="15">
        <v>8</v>
      </c>
      <c r="K172" s="15">
        <f>J172*J179</f>
        <v>292.08</v>
      </c>
      <c r="L172" s="15"/>
      <c r="M172" s="15">
        <v>8</v>
      </c>
      <c r="N172" s="15">
        <f>M172*J179</f>
        <v>292.08</v>
      </c>
      <c r="O172" s="15"/>
      <c r="P172" s="15">
        <v>8</v>
      </c>
      <c r="Q172" s="15">
        <f>P172*J179</f>
        <v>292.08</v>
      </c>
      <c r="R172" s="15">
        <f t="shared" si="17"/>
        <v>32</v>
      </c>
      <c r="S172" s="15">
        <f t="shared" si="17"/>
        <v>1168.32</v>
      </c>
      <c r="U172" s="13"/>
      <c r="V172" s="13"/>
    </row>
    <row r="173" spans="1:22" ht="30.75" customHeight="1" hidden="1">
      <c r="A173" s="14">
        <v>6</v>
      </c>
      <c r="B173" s="458" t="s">
        <v>53</v>
      </c>
      <c r="C173" s="459"/>
      <c r="D173" s="460"/>
      <c r="E173" s="133"/>
      <c r="F173" s="8"/>
      <c r="G173" s="9">
        <f>G174+G175</f>
        <v>428.14000000000004</v>
      </c>
      <c r="H173" s="9">
        <f>H174+H175</f>
        <v>12604.4416</v>
      </c>
      <c r="I173" s="9"/>
      <c r="J173" s="9">
        <f>J174+J175</f>
        <v>444.5</v>
      </c>
      <c r="K173" s="9">
        <f>K174+K175</f>
        <v>13086.08</v>
      </c>
      <c r="L173" s="9"/>
      <c r="M173" s="9">
        <f>M174+M175</f>
        <v>216.12</v>
      </c>
      <c r="N173" s="9">
        <f>N174+N175</f>
        <v>6362.5728</v>
      </c>
      <c r="O173" s="9"/>
      <c r="P173" s="9">
        <f>P174+P175</f>
        <v>423.71000000000004</v>
      </c>
      <c r="Q173" s="9">
        <f>Q174+Q175</f>
        <v>12474.022400000002</v>
      </c>
      <c r="R173" s="9">
        <f>R174+R175</f>
        <v>1512.47</v>
      </c>
      <c r="S173" s="9">
        <f>S174+S175</f>
        <v>44527.1168</v>
      </c>
      <c r="U173" s="13"/>
      <c r="V173" s="13"/>
    </row>
    <row r="174" spans="1:22" ht="30.75" customHeight="1" hidden="1">
      <c r="A174" s="8"/>
      <c r="B174" s="461" t="s">
        <v>54</v>
      </c>
      <c r="C174" s="462"/>
      <c r="D174" s="463"/>
      <c r="E174" s="134"/>
      <c r="F174" s="8"/>
      <c r="G174" s="15">
        <v>27.6</v>
      </c>
      <c r="H174" s="15">
        <f>G174*J178</f>
        <v>812.5440000000001</v>
      </c>
      <c r="I174" s="15"/>
      <c r="J174" s="15">
        <v>44.5</v>
      </c>
      <c r="K174" s="15">
        <f>J174*J178</f>
        <v>1310.0800000000002</v>
      </c>
      <c r="L174" s="15"/>
      <c r="M174" s="15">
        <v>74.6</v>
      </c>
      <c r="N174" s="15">
        <f>M174*J178</f>
        <v>2196.2239999999997</v>
      </c>
      <c r="O174" s="15"/>
      <c r="P174" s="15">
        <v>23.1</v>
      </c>
      <c r="Q174" s="15">
        <f>P174*J178</f>
        <v>680.0640000000001</v>
      </c>
      <c r="R174" s="15">
        <f>G174+J174+M174+P174</f>
        <v>169.79999999999998</v>
      </c>
      <c r="S174" s="15">
        <f>H174+K174+N174+Q174</f>
        <v>4998.912</v>
      </c>
      <c r="U174" s="13"/>
      <c r="V174" s="13"/>
    </row>
    <row r="175" spans="1:22" ht="30.75" customHeight="1" hidden="1">
      <c r="A175" s="8"/>
      <c r="B175" s="461" t="s">
        <v>55</v>
      </c>
      <c r="C175" s="462"/>
      <c r="D175" s="463"/>
      <c r="E175" s="134"/>
      <c r="F175" s="8"/>
      <c r="G175" s="15">
        <v>400.54</v>
      </c>
      <c r="H175" s="15">
        <f>G175*J178</f>
        <v>11791.8976</v>
      </c>
      <c r="I175" s="15"/>
      <c r="J175" s="15">
        <v>400</v>
      </c>
      <c r="K175" s="15">
        <f>J175*J178</f>
        <v>11776</v>
      </c>
      <c r="L175" s="15"/>
      <c r="M175" s="15">
        <v>141.52</v>
      </c>
      <c r="N175" s="15">
        <f>M175*J178</f>
        <v>4166.348800000001</v>
      </c>
      <c r="O175" s="15"/>
      <c r="P175" s="15">
        <v>400.61</v>
      </c>
      <c r="Q175" s="15">
        <f>P175*J178</f>
        <v>11793.958400000001</v>
      </c>
      <c r="R175" s="15">
        <f>G175+J175+M175+P175</f>
        <v>1342.67</v>
      </c>
      <c r="S175" s="15">
        <f>H175+K175+N175+Q175</f>
        <v>39528.2048</v>
      </c>
      <c r="U175" s="13"/>
      <c r="V175" s="13"/>
    </row>
    <row r="176" spans="1:23" ht="35.25" hidden="1">
      <c r="A176" s="53"/>
      <c r="B176" s="464" t="s">
        <v>19</v>
      </c>
      <c r="C176" s="465"/>
      <c r="D176" s="466"/>
      <c r="E176" s="135"/>
      <c r="F176" s="14" t="e">
        <f>F155+#REF!+#REF!+F157+F158+F159+#REF!+F160+F161+F162+F163+F164+#REF!</f>
        <v>#REF!</v>
      </c>
      <c r="G176" s="9">
        <f>G155+G156+G163+G164+G166+G173</f>
        <v>4846.45</v>
      </c>
      <c r="H176" s="9">
        <f>H155+H156+H163+H164+H166+H173</f>
        <v>153847.25999999998</v>
      </c>
      <c r="I176" s="9" t="e">
        <f>I155+I157+I158+I159+#REF!+I160+I161+I162+I163+I164</f>
        <v>#REF!</v>
      </c>
      <c r="J176" s="9">
        <f>J155+J156+J163+J164+J166+J173</f>
        <v>4540.66</v>
      </c>
      <c r="K176" s="9">
        <f>K155+K156+K163+K164+K166+K173</f>
        <v>145395.55539999998</v>
      </c>
      <c r="L176" s="9" t="e">
        <f>L155+L157+L158+L159+#REF!+L160+L161+L162+L163+L164</f>
        <v>#REF!</v>
      </c>
      <c r="M176" s="9">
        <f>M155+M156+M163+M164+M166+M173</f>
        <v>4474.3099999999995</v>
      </c>
      <c r="N176" s="9">
        <f>N155+N156+N163+N164+N166+N173</f>
        <v>143180.62140000003</v>
      </c>
      <c r="O176" s="9" t="e">
        <f>O155+O157+O158+O159+#REF!+O160+O161+O162+O163+O164</f>
        <v>#REF!</v>
      </c>
      <c r="P176" s="9">
        <f>P155+P156+P163+P164+P166+P173</f>
        <v>4729.720000000001</v>
      </c>
      <c r="Q176" s="9">
        <f>Q155+Q156+Q163+Q164+Q166+Q173</f>
        <v>151036.4238</v>
      </c>
      <c r="R176" s="9">
        <f>R155+R156+R163+R164+R166+R173</f>
        <v>18591.140000000003</v>
      </c>
      <c r="S176" s="9">
        <f>S155+S156+S163+S164+S166+S173</f>
        <v>593459.8605999999</v>
      </c>
      <c r="U176" s="12"/>
      <c r="V176" s="12"/>
      <c r="W176" s="12"/>
    </row>
    <row r="177" spans="1:23" ht="35.25" hidden="1">
      <c r="A177" s="53"/>
      <c r="B177" s="478" t="s">
        <v>17</v>
      </c>
      <c r="C177" s="478"/>
      <c r="D177" s="478"/>
      <c r="E177" s="141"/>
      <c r="F177" s="449" t="s">
        <v>60</v>
      </c>
      <c r="G177" s="449"/>
      <c r="H177" s="449"/>
      <c r="I177" s="449"/>
      <c r="J177" s="449"/>
      <c r="K177" s="449"/>
      <c r="L177" s="449"/>
      <c r="M177" s="449"/>
      <c r="N177" s="449"/>
      <c r="O177" s="449"/>
      <c r="P177" s="449"/>
      <c r="Q177" s="449"/>
      <c r="R177" s="449"/>
      <c r="S177" s="449"/>
      <c r="U177" s="12"/>
      <c r="V177" s="12"/>
      <c r="W177" s="12"/>
    </row>
    <row r="178" spans="1:23" ht="25.5" customHeight="1" hidden="1">
      <c r="A178" s="46"/>
      <c r="B178" s="46"/>
      <c r="C178" s="46"/>
      <c r="D178" s="42"/>
      <c r="E178" s="42"/>
      <c r="F178" s="42"/>
      <c r="G178" s="6"/>
      <c r="H178" s="2" t="s">
        <v>12</v>
      </c>
      <c r="I178" s="2"/>
      <c r="J178" s="2">
        <v>29.44</v>
      </c>
      <c r="K178" s="1"/>
      <c r="L178" s="42"/>
      <c r="M178" s="42"/>
      <c r="N178" s="42"/>
      <c r="O178" s="42"/>
      <c r="P178" s="42"/>
      <c r="Q178" s="42"/>
      <c r="R178" s="42"/>
      <c r="S178" s="50"/>
      <c r="U178" s="12"/>
      <c r="V178" s="12"/>
      <c r="W178" s="12"/>
    </row>
    <row r="179" spans="1:23" ht="33" customHeight="1" hidden="1">
      <c r="A179" s="46"/>
      <c r="B179" s="46"/>
      <c r="C179" s="46"/>
      <c r="D179" s="42"/>
      <c r="E179" s="42"/>
      <c r="F179" s="42"/>
      <c r="G179" s="6"/>
      <c r="H179" s="2" t="s">
        <v>13</v>
      </c>
      <c r="I179" s="2"/>
      <c r="J179" s="2">
        <v>36.51</v>
      </c>
      <c r="K179" s="1"/>
      <c r="L179" s="42"/>
      <c r="M179" s="42"/>
      <c r="N179" s="42"/>
      <c r="O179" s="42"/>
      <c r="P179" s="42"/>
      <c r="Q179" s="44"/>
      <c r="R179" s="44"/>
      <c r="S179" s="50"/>
      <c r="U179" s="12"/>
      <c r="V179" s="12"/>
      <c r="W179" s="12"/>
    </row>
    <row r="180" spans="1:23" ht="34.5" customHeight="1" hidden="1">
      <c r="A180" s="529" t="s">
        <v>63</v>
      </c>
      <c r="B180" s="529"/>
      <c r="C180" s="529"/>
      <c r="D180" s="529"/>
      <c r="E180" s="529"/>
      <c r="F180" s="529"/>
      <c r="G180" s="529"/>
      <c r="H180" s="529"/>
      <c r="I180" s="529"/>
      <c r="J180" s="529"/>
      <c r="K180" s="529"/>
      <c r="L180" s="529"/>
      <c r="M180" s="529"/>
      <c r="N180" s="529"/>
      <c r="O180" s="529"/>
      <c r="P180" s="529"/>
      <c r="Q180" s="529"/>
      <c r="R180" s="529"/>
      <c r="S180" s="529"/>
      <c r="U180" s="12"/>
      <c r="V180" s="12"/>
      <c r="W180" s="12"/>
    </row>
    <row r="181" spans="1:23" ht="35.25" hidden="1">
      <c r="A181" s="449" t="s">
        <v>15</v>
      </c>
      <c r="B181" s="450" t="s">
        <v>0</v>
      </c>
      <c r="C181" s="451"/>
      <c r="D181" s="452"/>
      <c r="E181" s="128"/>
      <c r="F181" s="377" t="s">
        <v>1</v>
      </c>
      <c r="G181" s="377"/>
      <c r="H181" s="377"/>
      <c r="I181" s="377" t="s">
        <v>3</v>
      </c>
      <c r="J181" s="377"/>
      <c r="K181" s="377"/>
      <c r="L181" s="377" t="s">
        <v>4</v>
      </c>
      <c r="M181" s="377"/>
      <c r="N181" s="377"/>
      <c r="O181" s="377" t="s">
        <v>6</v>
      </c>
      <c r="P181" s="377"/>
      <c r="Q181" s="377"/>
      <c r="R181" s="377" t="s">
        <v>7</v>
      </c>
      <c r="S181" s="377"/>
      <c r="U181" s="12"/>
      <c r="V181" s="12"/>
      <c r="W181" s="12"/>
    </row>
    <row r="182" spans="1:23" ht="35.25" hidden="1">
      <c r="A182" s="449"/>
      <c r="B182" s="453"/>
      <c r="C182" s="454"/>
      <c r="D182" s="455"/>
      <c r="E182" s="129"/>
      <c r="F182" s="125" t="s">
        <v>10</v>
      </c>
      <c r="G182" s="125" t="s">
        <v>10</v>
      </c>
      <c r="H182" s="125" t="s">
        <v>5</v>
      </c>
      <c r="I182" s="125" t="s">
        <v>10</v>
      </c>
      <c r="J182" s="125" t="s">
        <v>10</v>
      </c>
      <c r="K182" s="125" t="s">
        <v>5</v>
      </c>
      <c r="L182" s="125" t="s">
        <v>10</v>
      </c>
      <c r="M182" s="125" t="s">
        <v>10</v>
      </c>
      <c r="N182" s="125" t="s">
        <v>5</v>
      </c>
      <c r="O182" s="125" t="s">
        <v>10</v>
      </c>
      <c r="P182" s="125" t="s">
        <v>10</v>
      </c>
      <c r="Q182" s="125" t="s">
        <v>5</v>
      </c>
      <c r="R182" s="125" t="s">
        <v>10</v>
      </c>
      <c r="S182" s="125" t="s">
        <v>5</v>
      </c>
      <c r="U182" s="12"/>
      <c r="V182" s="12"/>
      <c r="W182" s="12"/>
    </row>
    <row r="183" spans="1:23" ht="25.5" customHeight="1" hidden="1">
      <c r="A183" s="14">
        <v>1</v>
      </c>
      <c r="B183" s="458" t="s">
        <v>33</v>
      </c>
      <c r="C183" s="459"/>
      <c r="D183" s="460"/>
      <c r="E183" s="133"/>
      <c r="F183" s="8">
        <v>17.5</v>
      </c>
      <c r="G183" s="9">
        <v>12.3</v>
      </c>
      <c r="H183" s="9">
        <f>G183*J206</f>
        <v>457.068</v>
      </c>
      <c r="I183" s="9">
        <v>17.5</v>
      </c>
      <c r="J183" s="9">
        <v>8.3</v>
      </c>
      <c r="K183" s="9">
        <f>J183*J206</f>
        <v>308.428</v>
      </c>
      <c r="L183" s="9">
        <v>17.5</v>
      </c>
      <c r="M183" s="9">
        <v>5.4</v>
      </c>
      <c r="N183" s="9">
        <f>M183*K206</f>
        <v>207.9</v>
      </c>
      <c r="O183" s="9">
        <v>17.5</v>
      </c>
      <c r="P183" s="9">
        <v>11.3</v>
      </c>
      <c r="Q183" s="9">
        <f>P183*K206</f>
        <v>435.05</v>
      </c>
      <c r="R183" s="9">
        <f>G183+J183+M183+P183</f>
        <v>37.3</v>
      </c>
      <c r="S183" s="9">
        <f>H183+K183+N183+Q183</f>
        <v>1408.446</v>
      </c>
      <c r="T183" s="67" t="s">
        <v>21</v>
      </c>
      <c r="U183" s="11">
        <f>41.08*P183</f>
        <v>464.204</v>
      </c>
      <c r="V183" s="11">
        <f>H183+K183+N183+Q183</f>
        <v>1408.446</v>
      </c>
      <c r="W183" s="12">
        <f aca="true" t="shared" si="18" ref="W183:W192">G183+J183+M183+P183</f>
        <v>37.3</v>
      </c>
    </row>
    <row r="184" spans="1:23" ht="25.5" customHeight="1" hidden="1">
      <c r="A184" s="14">
        <v>2</v>
      </c>
      <c r="B184" s="458" t="s">
        <v>41</v>
      </c>
      <c r="C184" s="459"/>
      <c r="D184" s="460"/>
      <c r="E184" s="133"/>
      <c r="F184" s="8"/>
      <c r="G184" s="9">
        <f>G185+G186+G187+G188+G189+G190</f>
        <v>5188.679999999999</v>
      </c>
      <c r="H184" s="9">
        <f>H185+H186+H188+H189+H190+H187</f>
        <v>136057.8288</v>
      </c>
      <c r="I184" s="9"/>
      <c r="J184" s="9">
        <f>J185+J186+J187+J188+J189+J190</f>
        <v>4597.45</v>
      </c>
      <c r="K184" s="9">
        <f>K185+K186+K187+K188+K189+K190</f>
        <v>119534.57199999999</v>
      </c>
      <c r="L184" s="9"/>
      <c r="M184" s="9">
        <f>M185+M186+M187+M188+M189+M190</f>
        <v>4948.61</v>
      </c>
      <c r="N184" s="9">
        <f>N185+N186+N187+N188+N189+N190</f>
        <v>134143.28500000003</v>
      </c>
      <c r="O184" s="9"/>
      <c r="P184" s="9">
        <f>P185+P186+P187+P188+P189+P190</f>
        <v>4697.63</v>
      </c>
      <c r="Q184" s="9">
        <f>Q185+Q186+Q187+Q188+Q189+Q190</f>
        <v>125820.235</v>
      </c>
      <c r="R184" s="9">
        <f>R185+R186+R188+R189+R190+R187</f>
        <v>19432.370000000003</v>
      </c>
      <c r="S184" s="9">
        <f>S185+S186+S187+S188+S189+S190</f>
        <v>515555.92079999996</v>
      </c>
      <c r="U184" s="11"/>
      <c r="V184" s="11"/>
      <c r="W184" s="12"/>
    </row>
    <row r="185" spans="1:23" ht="32.25" customHeight="1" hidden="1">
      <c r="A185" s="8"/>
      <c r="B185" s="461" t="s">
        <v>34</v>
      </c>
      <c r="C185" s="462"/>
      <c r="D185" s="463"/>
      <c r="E185" s="134"/>
      <c r="F185" s="8">
        <v>2715</v>
      </c>
      <c r="G185" s="15">
        <v>748.28</v>
      </c>
      <c r="H185" s="15">
        <f>G185*J206</f>
        <v>27806.084799999997</v>
      </c>
      <c r="I185" s="15">
        <v>2715</v>
      </c>
      <c r="J185" s="15">
        <v>409.15</v>
      </c>
      <c r="K185" s="15">
        <f>J185*J206</f>
        <v>15204.013999999997</v>
      </c>
      <c r="L185" s="15">
        <v>2715</v>
      </c>
      <c r="M185" s="15">
        <v>662.91</v>
      </c>
      <c r="N185" s="15">
        <f>M185*K206</f>
        <v>25522.035</v>
      </c>
      <c r="O185" s="15">
        <v>2715</v>
      </c>
      <c r="P185" s="15">
        <v>464.93</v>
      </c>
      <c r="Q185" s="15">
        <f>P185*K206</f>
        <v>17899.805</v>
      </c>
      <c r="R185" s="15">
        <f aca="true" t="shared" si="19" ref="R185:S191">G185+J185+M185+P185</f>
        <v>2285.2699999999995</v>
      </c>
      <c r="S185" s="15">
        <f t="shared" si="19"/>
        <v>86431.9388</v>
      </c>
      <c r="T185" s="67" t="s">
        <v>21</v>
      </c>
      <c r="U185" s="11">
        <f aca="true" t="shared" si="20" ref="U185:U192">41.08*P185</f>
        <v>19099.324399999998</v>
      </c>
      <c r="V185" s="11">
        <f aca="true" t="shared" si="21" ref="V185:V192">H185+K185+N185+Q185</f>
        <v>86431.9388</v>
      </c>
      <c r="W185" s="12">
        <f t="shared" si="18"/>
        <v>2285.2699999999995</v>
      </c>
    </row>
    <row r="186" spans="1:23" ht="33.75" customHeight="1" hidden="1">
      <c r="A186" s="8"/>
      <c r="B186" s="473" t="s">
        <v>35</v>
      </c>
      <c r="C186" s="474"/>
      <c r="D186" s="475"/>
      <c r="E186" s="138"/>
      <c r="F186" s="8">
        <v>816</v>
      </c>
      <c r="G186" s="15">
        <v>660</v>
      </c>
      <c r="H186" s="15">
        <f>G186*J206</f>
        <v>24525.6</v>
      </c>
      <c r="I186" s="15">
        <v>816</v>
      </c>
      <c r="J186" s="15">
        <v>660</v>
      </c>
      <c r="K186" s="15">
        <f>J186*J206</f>
        <v>24525.6</v>
      </c>
      <c r="L186" s="15">
        <v>816</v>
      </c>
      <c r="M186" s="15">
        <v>660</v>
      </c>
      <c r="N186" s="15">
        <f>M186*K206</f>
        <v>25410</v>
      </c>
      <c r="O186" s="15">
        <v>816</v>
      </c>
      <c r="P186" s="15">
        <v>660</v>
      </c>
      <c r="Q186" s="15">
        <f>P186*K206</f>
        <v>25410</v>
      </c>
      <c r="R186" s="15">
        <f t="shared" si="19"/>
        <v>2640</v>
      </c>
      <c r="S186" s="15">
        <f t="shared" si="19"/>
        <v>99871.2</v>
      </c>
      <c r="T186" s="67" t="s">
        <v>21</v>
      </c>
      <c r="U186" s="11">
        <f t="shared" si="20"/>
        <v>27112.8</v>
      </c>
      <c r="V186" s="11">
        <f t="shared" si="21"/>
        <v>99871.2</v>
      </c>
      <c r="W186" s="12">
        <f t="shared" si="18"/>
        <v>2640</v>
      </c>
    </row>
    <row r="187" spans="1:23" ht="34.5" customHeight="1" hidden="1">
      <c r="A187" s="8"/>
      <c r="B187" s="461" t="s">
        <v>36</v>
      </c>
      <c r="C187" s="462"/>
      <c r="D187" s="463"/>
      <c r="E187" s="134"/>
      <c r="F187" s="8">
        <v>910.2</v>
      </c>
      <c r="G187" s="15">
        <v>774</v>
      </c>
      <c r="H187" s="15">
        <f>G187*J207</f>
        <v>8196.66</v>
      </c>
      <c r="I187" s="15">
        <v>1072.5</v>
      </c>
      <c r="J187" s="15">
        <v>912</v>
      </c>
      <c r="K187" s="15">
        <f>J187*J207</f>
        <v>9658.08</v>
      </c>
      <c r="L187" s="15">
        <v>905.1</v>
      </c>
      <c r="M187" s="15">
        <v>769</v>
      </c>
      <c r="N187" s="15">
        <f>M187*K207</f>
        <v>8143.71</v>
      </c>
      <c r="O187" s="15">
        <v>1121.6</v>
      </c>
      <c r="P187" s="15">
        <v>940</v>
      </c>
      <c r="Q187" s="15">
        <f>P187*K207</f>
        <v>9954.6</v>
      </c>
      <c r="R187" s="15">
        <f t="shared" si="19"/>
        <v>3395</v>
      </c>
      <c r="S187" s="15">
        <f t="shared" si="19"/>
        <v>35953.049999999996</v>
      </c>
      <c r="T187" s="67" t="s">
        <v>21</v>
      </c>
      <c r="U187" s="11">
        <f>11.81*P187</f>
        <v>11101.4</v>
      </c>
      <c r="V187" s="11">
        <f t="shared" si="21"/>
        <v>35953.049999999996</v>
      </c>
      <c r="W187" s="12">
        <f t="shared" si="18"/>
        <v>3395</v>
      </c>
    </row>
    <row r="188" spans="1:23" ht="28.5" customHeight="1" hidden="1">
      <c r="A188" s="8"/>
      <c r="B188" s="476" t="s">
        <v>37</v>
      </c>
      <c r="C188" s="476"/>
      <c r="D188" s="476"/>
      <c r="E188" s="139"/>
      <c r="F188" s="8">
        <v>1845</v>
      </c>
      <c r="G188" s="15">
        <v>1362</v>
      </c>
      <c r="H188" s="15">
        <f>G188*J207</f>
        <v>14423.58</v>
      </c>
      <c r="I188" s="15">
        <v>1803</v>
      </c>
      <c r="J188" s="15">
        <v>1019</v>
      </c>
      <c r="K188" s="15">
        <f>J188*J207</f>
        <v>10791.21</v>
      </c>
      <c r="L188" s="15">
        <v>1803</v>
      </c>
      <c r="M188" s="15">
        <v>1251</v>
      </c>
      <c r="N188" s="15">
        <f>M188*K207</f>
        <v>13248.09</v>
      </c>
      <c r="O188" s="15">
        <v>1813.3</v>
      </c>
      <c r="P188" s="15">
        <v>1032</v>
      </c>
      <c r="Q188" s="15">
        <f>P188*K207</f>
        <v>10928.88</v>
      </c>
      <c r="R188" s="15">
        <f t="shared" si="19"/>
        <v>4664</v>
      </c>
      <c r="S188" s="15">
        <f t="shared" si="19"/>
        <v>49391.76</v>
      </c>
      <c r="T188" s="67" t="s">
        <v>21</v>
      </c>
      <c r="U188" s="11">
        <f t="shared" si="20"/>
        <v>42394.56</v>
      </c>
      <c r="V188" s="11">
        <f t="shared" si="21"/>
        <v>49391.76</v>
      </c>
      <c r="W188" s="12">
        <f t="shared" si="18"/>
        <v>4664</v>
      </c>
    </row>
    <row r="189" spans="1:23" ht="33" customHeight="1" hidden="1">
      <c r="A189" s="8"/>
      <c r="B189" s="476" t="s">
        <v>38</v>
      </c>
      <c r="C189" s="476"/>
      <c r="D189" s="476"/>
      <c r="E189" s="139"/>
      <c r="F189" s="8">
        <v>74.5</v>
      </c>
      <c r="G189" s="15">
        <v>1568</v>
      </c>
      <c r="H189" s="15">
        <f>G189*J206</f>
        <v>58266.88</v>
      </c>
      <c r="I189" s="15">
        <v>72.8</v>
      </c>
      <c r="J189" s="15">
        <v>1533</v>
      </c>
      <c r="K189" s="15">
        <f>J189*J206</f>
        <v>56966.27999999999</v>
      </c>
      <c r="L189" s="15">
        <v>72.9</v>
      </c>
      <c r="M189" s="15">
        <v>1533</v>
      </c>
      <c r="N189" s="15">
        <f>M189*K206</f>
        <v>59020.5</v>
      </c>
      <c r="O189" s="15">
        <v>72.9</v>
      </c>
      <c r="P189" s="15">
        <v>1541</v>
      </c>
      <c r="Q189" s="15">
        <f>P189*K206</f>
        <v>59328.5</v>
      </c>
      <c r="R189" s="15">
        <f t="shared" si="19"/>
        <v>6175</v>
      </c>
      <c r="S189" s="15">
        <f t="shared" si="19"/>
        <v>233582.15999999997</v>
      </c>
      <c r="T189" s="67" t="s">
        <v>21</v>
      </c>
      <c r="U189" s="11">
        <f t="shared" si="20"/>
        <v>63304.28</v>
      </c>
      <c r="V189" s="11">
        <f t="shared" si="21"/>
        <v>233582.15999999997</v>
      </c>
      <c r="W189" s="12">
        <f t="shared" si="18"/>
        <v>6175</v>
      </c>
    </row>
    <row r="190" spans="1:23" ht="44.25" customHeight="1" hidden="1">
      <c r="A190" s="8"/>
      <c r="B190" s="476" t="s">
        <v>39</v>
      </c>
      <c r="C190" s="476"/>
      <c r="D190" s="476"/>
      <c r="E190" s="139"/>
      <c r="F190" s="8">
        <v>88.6</v>
      </c>
      <c r="G190" s="15">
        <v>76.4</v>
      </c>
      <c r="H190" s="15">
        <f>G190*J206</f>
        <v>2839.024</v>
      </c>
      <c r="I190" s="15">
        <v>88.5</v>
      </c>
      <c r="J190" s="15">
        <v>64.3</v>
      </c>
      <c r="K190" s="15">
        <f>J190*J206</f>
        <v>2389.3879999999995</v>
      </c>
      <c r="L190" s="15">
        <v>88.5</v>
      </c>
      <c r="M190" s="15">
        <v>72.7</v>
      </c>
      <c r="N190" s="15">
        <f>M190*K206</f>
        <v>2798.9500000000003</v>
      </c>
      <c r="O190" s="15">
        <v>88.5</v>
      </c>
      <c r="P190" s="15">
        <v>59.7</v>
      </c>
      <c r="Q190" s="15">
        <f>P190*K206</f>
        <v>2298.4500000000003</v>
      </c>
      <c r="R190" s="15">
        <f>G190+J190+M190+P190</f>
        <v>273.09999999999997</v>
      </c>
      <c r="S190" s="15">
        <f t="shared" si="19"/>
        <v>10325.812</v>
      </c>
      <c r="T190" s="67" t="s">
        <v>21</v>
      </c>
      <c r="U190" s="11">
        <f t="shared" si="20"/>
        <v>2452.476</v>
      </c>
      <c r="V190" s="11">
        <f t="shared" si="21"/>
        <v>10325.812</v>
      </c>
      <c r="W190" s="12">
        <f t="shared" si="18"/>
        <v>273.09999999999997</v>
      </c>
    </row>
    <row r="191" spans="1:23" ht="51.75" customHeight="1" hidden="1">
      <c r="A191" s="14">
        <v>3</v>
      </c>
      <c r="B191" s="458" t="s">
        <v>42</v>
      </c>
      <c r="C191" s="459"/>
      <c r="D191" s="460"/>
      <c r="E191" s="133"/>
      <c r="F191" s="8">
        <v>118.05</v>
      </c>
      <c r="G191" s="9">
        <v>263</v>
      </c>
      <c r="H191" s="9">
        <f>G191*J206</f>
        <v>9773.08</v>
      </c>
      <c r="I191" s="9">
        <v>118.05</v>
      </c>
      <c r="J191" s="9">
        <v>252</v>
      </c>
      <c r="K191" s="9">
        <f>J191*J206</f>
        <v>9364.32</v>
      </c>
      <c r="L191" s="9">
        <v>118.05</v>
      </c>
      <c r="M191" s="9">
        <v>248</v>
      </c>
      <c r="N191" s="9">
        <f>M191*K206</f>
        <v>9548</v>
      </c>
      <c r="O191" s="9">
        <v>118.05</v>
      </c>
      <c r="P191" s="9">
        <v>268</v>
      </c>
      <c r="Q191" s="9">
        <f>P191*K206</f>
        <v>10318</v>
      </c>
      <c r="R191" s="9">
        <f t="shared" si="19"/>
        <v>1031</v>
      </c>
      <c r="S191" s="9">
        <f t="shared" si="19"/>
        <v>39003.4</v>
      </c>
      <c r="T191" s="67" t="s">
        <v>21</v>
      </c>
      <c r="U191" s="11">
        <f t="shared" si="20"/>
        <v>11009.439999999999</v>
      </c>
      <c r="V191" s="11">
        <f t="shared" si="21"/>
        <v>39003.4</v>
      </c>
      <c r="W191" s="12">
        <f t="shared" si="18"/>
        <v>1031</v>
      </c>
    </row>
    <row r="192" spans="1:23" ht="33.75" customHeight="1" hidden="1">
      <c r="A192" s="14">
        <v>4</v>
      </c>
      <c r="B192" s="458" t="s">
        <v>43</v>
      </c>
      <c r="C192" s="459"/>
      <c r="D192" s="460"/>
      <c r="E192" s="133"/>
      <c r="F192" s="8">
        <v>180</v>
      </c>
      <c r="G192" s="9">
        <f>G193</f>
        <v>23.4</v>
      </c>
      <c r="H192" s="9">
        <f>H193</f>
        <v>869.5439999999999</v>
      </c>
      <c r="I192" s="9"/>
      <c r="J192" s="9">
        <f>J193</f>
        <v>23.4</v>
      </c>
      <c r="K192" s="9">
        <f>K193</f>
        <v>869.5439999999999</v>
      </c>
      <c r="L192" s="9"/>
      <c r="M192" s="9">
        <f>M193</f>
        <v>23.4</v>
      </c>
      <c r="N192" s="9">
        <f>N193</f>
        <v>900.9</v>
      </c>
      <c r="O192" s="9"/>
      <c r="P192" s="9">
        <f>P193</f>
        <v>23.1</v>
      </c>
      <c r="Q192" s="9">
        <f>Q193</f>
        <v>889.35</v>
      </c>
      <c r="R192" s="9">
        <f>R193</f>
        <v>93.29999999999998</v>
      </c>
      <c r="S192" s="9">
        <f>S193</f>
        <v>3529.3379999999997</v>
      </c>
      <c r="T192" s="67" t="s">
        <v>21</v>
      </c>
      <c r="U192" s="11">
        <f t="shared" si="20"/>
        <v>948.948</v>
      </c>
      <c r="V192" s="11">
        <f t="shared" si="21"/>
        <v>3529.3379999999997</v>
      </c>
      <c r="W192" s="12">
        <f t="shared" si="18"/>
        <v>93.29999999999998</v>
      </c>
    </row>
    <row r="193" spans="1:23" ht="27.75" customHeight="1" hidden="1">
      <c r="A193" s="8"/>
      <c r="B193" s="461" t="s">
        <v>44</v>
      </c>
      <c r="C193" s="462"/>
      <c r="D193" s="463"/>
      <c r="E193" s="134"/>
      <c r="F193" s="8"/>
      <c r="G193" s="15">
        <v>23.4</v>
      </c>
      <c r="H193" s="15">
        <f>G193*J206</f>
        <v>869.5439999999999</v>
      </c>
      <c r="I193" s="15"/>
      <c r="J193" s="15">
        <v>23.4</v>
      </c>
      <c r="K193" s="15">
        <f>J193*J206</f>
        <v>869.5439999999999</v>
      </c>
      <c r="L193" s="15"/>
      <c r="M193" s="15">
        <v>23.4</v>
      </c>
      <c r="N193" s="15">
        <f>M193*K206</f>
        <v>900.9</v>
      </c>
      <c r="O193" s="15"/>
      <c r="P193" s="15">
        <v>23.1</v>
      </c>
      <c r="Q193" s="15">
        <f>P193*K206</f>
        <v>889.35</v>
      </c>
      <c r="R193" s="15">
        <f>G193+J193+M193+P193</f>
        <v>93.29999999999998</v>
      </c>
      <c r="S193" s="15">
        <f>H193+K193+N193+Q193</f>
        <v>3529.3379999999997</v>
      </c>
      <c r="U193" s="11"/>
      <c r="V193" s="11"/>
      <c r="W193" s="12"/>
    </row>
    <row r="194" spans="1:23" ht="33.75" customHeight="1" hidden="1">
      <c r="A194" s="14">
        <v>5</v>
      </c>
      <c r="B194" s="458" t="s">
        <v>47</v>
      </c>
      <c r="C194" s="459"/>
      <c r="D194" s="460"/>
      <c r="E194" s="133"/>
      <c r="F194" s="8"/>
      <c r="G194" s="9">
        <f>G195+G196+G197+G198+G199+G200</f>
        <v>189.14000000000001</v>
      </c>
      <c r="H194" s="9">
        <f>H195+H196+H197+H198+H199+H200</f>
        <v>6316.366399999999</v>
      </c>
      <c r="I194" s="9"/>
      <c r="J194" s="9">
        <f>J195+J196+J197+J198+J199+J200</f>
        <v>169.2</v>
      </c>
      <c r="K194" s="9">
        <f>K195+K196+K198+K200+K197+K199</f>
        <v>5710.902999999999</v>
      </c>
      <c r="L194" s="9"/>
      <c r="M194" s="9">
        <f>M195+M196+M197+M198+M199+M200</f>
        <v>143.23000000000002</v>
      </c>
      <c r="N194" s="9">
        <f>N195+N196+N197+N198+N199+N200</f>
        <v>4908.708</v>
      </c>
      <c r="O194" s="9"/>
      <c r="P194" s="9">
        <f>P195+P196+P197+P198+P199+P200</f>
        <v>174.28</v>
      </c>
      <c r="Q194" s="9">
        <f>Q195+Q196+Q197+Q198+Q199+Q200</f>
        <v>5942.255</v>
      </c>
      <c r="R194" s="9">
        <f>R195+R196+R197+R198+R199+R200</f>
        <v>675.85</v>
      </c>
      <c r="S194" s="9">
        <f>S195+S196+S197+S198+S199+S200</f>
        <v>22878.2324</v>
      </c>
      <c r="U194" s="11"/>
      <c r="V194" s="11"/>
      <c r="W194" s="12"/>
    </row>
    <row r="195" spans="1:23" ht="33.75" customHeight="1" hidden="1">
      <c r="A195" s="14"/>
      <c r="B195" s="461" t="s">
        <v>48</v>
      </c>
      <c r="C195" s="462"/>
      <c r="D195" s="463"/>
      <c r="E195" s="134"/>
      <c r="F195" s="8"/>
      <c r="G195" s="15">
        <v>8.64</v>
      </c>
      <c r="H195" s="15">
        <f>G195*J206</f>
        <v>321.06239999999997</v>
      </c>
      <c r="I195" s="15"/>
      <c r="J195" s="15">
        <v>8</v>
      </c>
      <c r="K195" s="15">
        <f>J195*J206</f>
        <v>297.28</v>
      </c>
      <c r="L195" s="15"/>
      <c r="M195" s="15">
        <v>5.23</v>
      </c>
      <c r="N195" s="15">
        <f>M195*K206</f>
        <v>201.35500000000002</v>
      </c>
      <c r="O195" s="15"/>
      <c r="P195" s="15">
        <v>7.48</v>
      </c>
      <c r="Q195" s="15">
        <f>P195*K206</f>
        <v>287.98</v>
      </c>
      <c r="R195" s="15">
        <f aca="true" t="shared" si="22" ref="R195:S200">G195+J195+M195+P195</f>
        <v>29.35</v>
      </c>
      <c r="S195" s="15">
        <f t="shared" si="22"/>
        <v>1107.6774</v>
      </c>
      <c r="U195" s="11"/>
      <c r="V195" s="11"/>
      <c r="W195" s="12"/>
    </row>
    <row r="196" spans="1:23" ht="33.75" customHeight="1" hidden="1">
      <c r="A196" s="14"/>
      <c r="B196" s="461" t="s">
        <v>49</v>
      </c>
      <c r="C196" s="462"/>
      <c r="D196" s="463"/>
      <c r="E196" s="134"/>
      <c r="F196" s="8"/>
      <c r="G196" s="15">
        <v>53.5</v>
      </c>
      <c r="H196" s="15">
        <f>G196*J206</f>
        <v>1988.0599999999997</v>
      </c>
      <c r="I196" s="15"/>
      <c r="J196" s="15">
        <v>52.5</v>
      </c>
      <c r="K196" s="15">
        <f>J196*J206</f>
        <v>1950.8999999999999</v>
      </c>
      <c r="L196" s="15"/>
      <c r="M196" s="15">
        <v>42.5</v>
      </c>
      <c r="N196" s="15">
        <f>M196*K206</f>
        <v>1636.25</v>
      </c>
      <c r="O196" s="15"/>
      <c r="P196" s="15">
        <v>51.5</v>
      </c>
      <c r="Q196" s="15">
        <f>P196*K206</f>
        <v>1982.75</v>
      </c>
      <c r="R196" s="15">
        <f t="shared" si="22"/>
        <v>200</v>
      </c>
      <c r="S196" s="15">
        <f t="shared" si="22"/>
        <v>7557.959999999999</v>
      </c>
      <c r="U196" s="11"/>
      <c r="V196" s="11"/>
      <c r="W196" s="12"/>
    </row>
    <row r="197" spans="1:23" ht="33.75" customHeight="1" hidden="1">
      <c r="A197" s="14"/>
      <c r="B197" s="461" t="s">
        <v>50</v>
      </c>
      <c r="C197" s="462"/>
      <c r="D197" s="463"/>
      <c r="E197" s="134"/>
      <c r="F197" s="8"/>
      <c r="G197" s="15">
        <v>40</v>
      </c>
      <c r="H197" s="15">
        <f>G197*J206</f>
        <v>1486.3999999999999</v>
      </c>
      <c r="I197" s="15"/>
      <c r="J197" s="15">
        <v>40</v>
      </c>
      <c r="K197" s="15">
        <f>J197*J206</f>
        <v>1486.3999999999999</v>
      </c>
      <c r="L197" s="15"/>
      <c r="M197" s="15">
        <v>38.9</v>
      </c>
      <c r="N197" s="15">
        <f>M197*K206</f>
        <v>1497.6499999999999</v>
      </c>
      <c r="O197" s="15"/>
      <c r="P197" s="15">
        <v>39.5</v>
      </c>
      <c r="Q197" s="15">
        <f>P197*K206</f>
        <v>1520.75</v>
      </c>
      <c r="R197" s="15">
        <f t="shared" si="22"/>
        <v>158.4</v>
      </c>
      <c r="S197" s="15">
        <f t="shared" si="22"/>
        <v>5991.2</v>
      </c>
      <c r="U197" s="11"/>
      <c r="V197" s="11"/>
      <c r="W197" s="12"/>
    </row>
    <row r="198" spans="1:23" ht="33.75" customHeight="1" hidden="1">
      <c r="A198" s="14"/>
      <c r="B198" s="476" t="s">
        <v>40</v>
      </c>
      <c r="C198" s="476"/>
      <c r="D198" s="476"/>
      <c r="E198" s="139"/>
      <c r="F198" s="8"/>
      <c r="G198" s="15">
        <v>60.2</v>
      </c>
      <c r="H198" s="15">
        <f>G198*J206</f>
        <v>2237.0319999999997</v>
      </c>
      <c r="I198" s="15"/>
      <c r="J198" s="15">
        <v>47</v>
      </c>
      <c r="K198" s="15">
        <f>J198*J206</f>
        <v>1746.5199999999998</v>
      </c>
      <c r="L198" s="15"/>
      <c r="M198" s="15">
        <v>34.9</v>
      </c>
      <c r="N198" s="15">
        <f>M198*K206</f>
        <v>1343.6499999999999</v>
      </c>
      <c r="O198" s="15"/>
      <c r="P198" s="15">
        <v>48.3</v>
      </c>
      <c r="Q198" s="15">
        <f>P198*K206</f>
        <v>1859.55</v>
      </c>
      <c r="R198" s="15">
        <f t="shared" si="22"/>
        <v>190.39999999999998</v>
      </c>
      <c r="S198" s="15">
        <f t="shared" si="22"/>
        <v>7186.7519999999995</v>
      </c>
      <c r="U198" s="11"/>
      <c r="V198" s="11"/>
      <c r="W198" s="12"/>
    </row>
    <row r="199" spans="1:23" ht="33.75" customHeight="1" hidden="1">
      <c r="A199" s="14"/>
      <c r="B199" s="476" t="s">
        <v>51</v>
      </c>
      <c r="C199" s="476"/>
      <c r="D199" s="476"/>
      <c r="E199" s="139"/>
      <c r="F199" s="8"/>
      <c r="G199" s="15">
        <v>7.3</v>
      </c>
      <c r="H199" s="15">
        <f>G199*J207</f>
        <v>77.307</v>
      </c>
      <c r="I199" s="15"/>
      <c r="J199" s="15">
        <v>2.2</v>
      </c>
      <c r="K199" s="15">
        <f>J199*J207</f>
        <v>23.298000000000002</v>
      </c>
      <c r="L199" s="15"/>
      <c r="M199" s="15">
        <v>2.2</v>
      </c>
      <c r="N199" s="15">
        <f>M199*K207</f>
        <v>23.298000000000002</v>
      </c>
      <c r="O199" s="15"/>
      <c r="P199" s="15">
        <v>8</v>
      </c>
      <c r="Q199" s="15">
        <f>P199*K207</f>
        <v>84.72</v>
      </c>
      <c r="R199" s="15">
        <f t="shared" si="22"/>
        <v>19.7</v>
      </c>
      <c r="S199" s="15">
        <f t="shared" si="22"/>
        <v>208.623</v>
      </c>
      <c r="U199" s="11"/>
      <c r="V199" s="11"/>
      <c r="W199" s="12"/>
    </row>
    <row r="200" spans="1:23" ht="33.75" customHeight="1" hidden="1">
      <c r="A200" s="14"/>
      <c r="B200" s="476" t="s">
        <v>52</v>
      </c>
      <c r="C200" s="476"/>
      <c r="D200" s="476"/>
      <c r="E200" s="139"/>
      <c r="F200" s="8"/>
      <c r="G200" s="15">
        <v>19.5</v>
      </c>
      <c r="H200" s="15">
        <f>G200*J207</f>
        <v>206.505</v>
      </c>
      <c r="I200" s="15"/>
      <c r="J200" s="15">
        <v>19.5</v>
      </c>
      <c r="K200" s="15">
        <f>J200*J207</f>
        <v>206.505</v>
      </c>
      <c r="L200" s="15"/>
      <c r="M200" s="15">
        <v>19.5</v>
      </c>
      <c r="N200" s="15">
        <f>M200*K207</f>
        <v>206.505</v>
      </c>
      <c r="O200" s="15"/>
      <c r="P200" s="15">
        <v>19.5</v>
      </c>
      <c r="Q200" s="15">
        <f>P200*K207</f>
        <v>206.505</v>
      </c>
      <c r="R200" s="15">
        <f t="shared" si="22"/>
        <v>78</v>
      </c>
      <c r="S200" s="15">
        <f t="shared" si="22"/>
        <v>826.02</v>
      </c>
      <c r="U200" s="11"/>
      <c r="V200" s="11"/>
      <c r="W200" s="12"/>
    </row>
    <row r="201" spans="1:23" ht="33.75" customHeight="1" hidden="1">
      <c r="A201" s="14">
        <v>6</v>
      </c>
      <c r="B201" s="458" t="s">
        <v>53</v>
      </c>
      <c r="C201" s="459"/>
      <c r="D201" s="460"/>
      <c r="E201" s="133"/>
      <c r="F201" s="8"/>
      <c r="G201" s="9">
        <f>G202+G203</f>
        <v>463.75</v>
      </c>
      <c r="H201" s="9">
        <f>H202+H203</f>
        <v>17232.949999999997</v>
      </c>
      <c r="I201" s="9"/>
      <c r="J201" s="9">
        <f>J202+J203</f>
        <v>564.53</v>
      </c>
      <c r="K201" s="9">
        <f>K202+K203</f>
        <v>20977.934799999995</v>
      </c>
      <c r="L201" s="9"/>
      <c r="M201" s="9">
        <f>M202+M203</f>
        <v>284.18</v>
      </c>
      <c r="N201" s="9">
        <f>N202+N203</f>
        <v>10940.93</v>
      </c>
      <c r="O201" s="9"/>
      <c r="P201" s="9">
        <f>P202+P203</f>
        <v>550.62</v>
      </c>
      <c r="Q201" s="9">
        <f>Q202+Q203</f>
        <v>21198.87</v>
      </c>
      <c r="R201" s="9">
        <f>R202+R203</f>
        <v>1863.08</v>
      </c>
      <c r="S201" s="9">
        <f>S202+S203</f>
        <v>70350.6848</v>
      </c>
      <c r="U201" s="11"/>
      <c r="V201" s="11"/>
      <c r="W201" s="12"/>
    </row>
    <row r="202" spans="1:23" ht="33.75" customHeight="1" hidden="1">
      <c r="A202" s="8"/>
      <c r="B202" s="461" t="s">
        <v>54</v>
      </c>
      <c r="C202" s="462"/>
      <c r="D202" s="463"/>
      <c r="E202" s="134"/>
      <c r="F202" s="8"/>
      <c r="G202" s="15">
        <v>45.6</v>
      </c>
      <c r="H202" s="15">
        <f>G202*J206</f>
        <v>1694.4959999999999</v>
      </c>
      <c r="I202" s="15"/>
      <c r="J202" s="15">
        <v>64.5</v>
      </c>
      <c r="K202" s="15">
        <f>J202*J206</f>
        <v>2396.8199999999997</v>
      </c>
      <c r="L202" s="15"/>
      <c r="M202" s="15">
        <v>113.6</v>
      </c>
      <c r="N202" s="15">
        <f>M202*K206</f>
        <v>4373.599999999999</v>
      </c>
      <c r="O202" s="15"/>
      <c r="P202" s="15">
        <v>50.1</v>
      </c>
      <c r="Q202" s="15">
        <f>P202*K206</f>
        <v>1928.8500000000001</v>
      </c>
      <c r="R202" s="15">
        <f>G202+J202+M202+P202</f>
        <v>273.8</v>
      </c>
      <c r="S202" s="15">
        <f>H202+K202+N202+Q202</f>
        <v>10393.766</v>
      </c>
      <c r="U202" s="11"/>
      <c r="V202" s="11"/>
      <c r="W202" s="12"/>
    </row>
    <row r="203" spans="1:23" ht="33.75" customHeight="1" hidden="1">
      <c r="A203" s="8"/>
      <c r="B203" s="461" t="s">
        <v>55</v>
      </c>
      <c r="C203" s="462"/>
      <c r="D203" s="463"/>
      <c r="E203" s="134"/>
      <c r="F203" s="8"/>
      <c r="G203" s="15">
        <v>418.15</v>
      </c>
      <c r="H203" s="15">
        <f>G203*J206</f>
        <v>15538.453999999998</v>
      </c>
      <c r="I203" s="15"/>
      <c r="J203" s="15">
        <v>500.03</v>
      </c>
      <c r="K203" s="15">
        <f>J203*J206</f>
        <v>18581.114799999996</v>
      </c>
      <c r="L203" s="15"/>
      <c r="M203" s="15">
        <v>170.58</v>
      </c>
      <c r="N203" s="15">
        <f>M203*K206</f>
        <v>6567.330000000001</v>
      </c>
      <c r="O203" s="15"/>
      <c r="P203" s="15">
        <v>500.52</v>
      </c>
      <c r="Q203" s="15">
        <f>P203*K206</f>
        <v>19270.02</v>
      </c>
      <c r="R203" s="15">
        <f>G203+J203+M203+P203</f>
        <v>1589.28</v>
      </c>
      <c r="S203" s="15">
        <f>H203+K203+N203+Q203</f>
        <v>59956.9188</v>
      </c>
      <c r="U203" s="11"/>
      <c r="V203" s="11"/>
      <c r="W203" s="12"/>
    </row>
    <row r="204" spans="1:23" ht="35.25" hidden="1">
      <c r="A204" s="63"/>
      <c r="B204" s="477" t="s">
        <v>19</v>
      </c>
      <c r="C204" s="477"/>
      <c r="D204" s="477"/>
      <c r="E204" s="140"/>
      <c r="F204" s="14">
        <f>SUM(F183:F192)</f>
        <v>6764.85</v>
      </c>
      <c r="G204" s="9">
        <f>G183+G184+G191+G192+G194+G201</f>
        <v>6140.2699999999995</v>
      </c>
      <c r="H204" s="9">
        <f>H183+H184+H191+H192+H194+H201</f>
        <v>170706.83719999995</v>
      </c>
      <c r="I204" s="9">
        <f>SUM(I183:I192)</f>
        <v>6703.35</v>
      </c>
      <c r="J204" s="9">
        <f>J183+J184+J191+J192+J194+J201</f>
        <v>5614.879999999999</v>
      </c>
      <c r="K204" s="9">
        <f>K183+K184+K191+K192+K194+K201</f>
        <v>156765.70179999995</v>
      </c>
      <c r="L204" s="9">
        <f>SUM(L183:L192)</f>
        <v>6536.05</v>
      </c>
      <c r="M204" s="9">
        <f>M183+M184+M191+M192+M194+M201</f>
        <v>5652.82</v>
      </c>
      <c r="N204" s="9">
        <f>N183+N184+N191+N192+N194+N201</f>
        <v>160649.72300000003</v>
      </c>
      <c r="O204" s="9">
        <f>SUM(O183:O192)</f>
        <v>6762.85</v>
      </c>
      <c r="P204" s="9">
        <f>P183+P184+P191+P192+P194+P201</f>
        <v>5724.93</v>
      </c>
      <c r="Q204" s="9">
        <f>Q183+Q184+Q191+Q192+Q194+Q201</f>
        <v>164603.76</v>
      </c>
      <c r="R204" s="9">
        <f>R183+R184+R191+R192+R194+R201</f>
        <v>23132.9</v>
      </c>
      <c r="S204" s="9">
        <f>S183+S184+S191+S192+S194+S201</f>
        <v>652726.022</v>
      </c>
      <c r="U204" s="52"/>
      <c r="V204" s="52"/>
      <c r="W204" s="52"/>
    </row>
    <row r="205" spans="1:19" ht="35.25" hidden="1">
      <c r="A205" s="53"/>
      <c r="B205" s="491" t="s">
        <v>8</v>
      </c>
      <c r="C205" s="492"/>
      <c r="D205" s="493"/>
      <c r="E205" s="146"/>
      <c r="F205" s="377" t="s">
        <v>61</v>
      </c>
      <c r="G205" s="377"/>
      <c r="H205" s="377"/>
      <c r="I205" s="377"/>
      <c r="J205" s="377"/>
      <c r="K205" s="377"/>
      <c r="L205" s="377"/>
      <c r="M205" s="377"/>
      <c r="N205" s="377"/>
      <c r="O205" s="377"/>
      <c r="P205" s="377"/>
      <c r="Q205" s="377"/>
      <c r="R205" s="377"/>
      <c r="S205" s="377"/>
    </row>
    <row r="206" spans="1:19" ht="35.25" hidden="1">
      <c r="A206" s="46"/>
      <c r="B206" s="42"/>
      <c r="C206" s="42"/>
      <c r="D206" s="42"/>
      <c r="E206" s="42"/>
      <c r="F206" s="42"/>
      <c r="G206" s="42"/>
      <c r="H206" s="2" t="s">
        <v>12</v>
      </c>
      <c r="I206" s="2"/>
      <c r="J206" s="2">
        <v>37.16</v>
      </c>
      <c r="K206" s="2">
        <v>38.5</v>
      </c>
      <c r="L206" s="6"/>
      <c r="M206" s="6"/>
      <c r="N206" s="42"/>
      <c r="O206" s="42"/>
      <c r="P206" s="42"/>
      <c r="Q206" s="42"/>
      <c r="R206" s="42"/>
      <c r="S206" s="42"/>
    </row>
    <row r="207" spans="1:19" ht="35.25" hidden="1">
      <c r="A207" s="46"/>
      <c r="B207" s="42"/>
      <c r="C207" s="42"/>
      <c r="D207" s="42"/>
      <c r="E207" s="42"/>
      <c r="F207" s="42"/>
      <c r="G207" s="42"/>
      <c r="H207" s="2" t="s">
        <v>20</v>
      </c>
      <c r="I207" s="2"/>
      <c r="J207" s="2">
        <v>10.59</v>
      </c>
      <c r="K207" s="2">
        <v>10.59</v>
      </c>
      <c r="L207" s="6"/>
      <c r="M207" s="6"/>
      <c r="N207" s="42"/>
      <c r="O207" s="42"/>
      <c r="P207" s="42"/>
      <c r="Q207" s="42"/>
      <c r="R207" s="42"/>
      <c r="S207" s="42"/>
    </row>
    <row r="208" spans="1:19" ht="35.25">
      <c r="A208" s="46"/>
      <c r="B208" s="42"/>
      <c r="C208" s="42"/>
      <c r="D208" s="42"/>
      <c r="E208" s="42"/>
      <c r="F208" s="42"/>
      <c r="G208" s="42"/>
      <c r="H208" s="42"/>
      <c r="I208" s="17"/>
      <c r="J208" s="42"/>
      <c r="K208" s="42"/>
      <c r="L208" s="42"/>
      <c r="M208" s="42"/>
      <c r="N208" s="42"/>
      <c r="O208" s="42"/>
      <c r="P208" s="42"/>
      <c r="Q208" s="42"/>
      <c r="R208" s="42"/>
      <c r="S208" s="42"/>
    </row>
    <row r="209" spans="1:19" ht="35.25">
      <c r="A209" s="5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spans="1:19" ht="35.25">
      <c r="A210" s="6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spans="1:19" ht="35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35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35.25">
      <c r="A213" s="6"/>
      <c r="B213" s="6"/>
      <c r="C213" s="6"/>
      <c r="D213" s="6"/>
      <c r="E213" s="6"/>
      <c r="F213" s="53"/>
      <c r="L213" s="6"/>
      <c r="M213" s="6"/>
      <c r="N213" s="6"/>
      <c r="O213" s="6"/>
      <c r="P213" s="6"/>
      <c r="Q213" s="6"/>
      <c r="R213" s="6"/>
      <c r="S213" s="6"/>
    </row>
    <row r="214" ht="35.25">
      <c r="F214" s="54" t="s">
        <v>22</v>
      </c>
    </row>
    <row r="215" ht="35.25">
      <c r="F215" s="54" t="s">
        <v>23</v>
      </c>
    </row>
    <row r="216" ht="35.25">
      <c r="F216" s="54" t="s">
        <v>24</v>
      </c>
    </row>
    <row r="217" ht="35.25">
      <c r="F217" s="54" t="s">
        <v>25</v>
      </c>
    </row>
    <row r="218" ht="35.25">
      <c r="F218" s="54" t="s">
        <v>26</v>
      </c>
    </row>
    <row r="219" ht="35.25">
      <c r="F219" s="54" t="s">
        <v>27</v>
      </c>
    </row>
    <row r="220" ht="35.25">
      <c r="F220" s="54" t="s">
        <v>29</v>
      </c>
    </row>
    <row r="221" ht="35.25">
      <c r="F221" s="54" t="s">
        <v>30</v>
      </c>
    </row>
    <row r="222" ht="35.25">
      <c r="F222" s="54" t="s">
        <v>28</v>
      </c>
    </row>
  </sheetData>
  <sheetProtection/>
  <mergeCells count="218">
    <mergeCell ref="B117:D117"/>
    <mergeCell ref="B118:D118"/>
    <mergeCell ref="B111:D111"/>
    <mergeCell ref="B112:D112"/>
    <mergeCell ref="B113:D113"/>
    <mergeCell ref="B114:D114"/>
    <mergeCell ref="B115:D115"/>
    <mergeCell ref="B116:D116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O68:Q68"/>
    <mergeCell ref="R68:S68"/>
    <mergeCell ref="B70:D70"/>
    <mergeCell ref="B71:D71"/>
    <mergeCell ref="B72:D72"/>
    <mergeCell ref="B73:D73"/>
    <mergeCell ref="A68:A69"/>
    <mergeCell ref="B68:D69"/>
    <mergeCell ref="E68:E69"/>
    <mergeCell ref="F68:H68"/>
    <mergeCell ref="I68:K68"/>
    <mergeCell ref="L68:N68"/>
    <mergeCell ref="B62:D62"/>
    <mergeCell ref="B63:D63"/>
    <mergeCell ref="B64:D64"/>
    <mergeCell ref="F64:S64"/>
    <mergeCell ref="Q66:S66"/>
    <mergeCell ref="A67:S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O38:Q38"/>
    <mergeCell ref="R38:S38"/>
    <mergeCell ref="B40:D40"/>
    <mergeCell ref="B41:D41"/>
    <mergeCell ref="B42:D42"/>
    <mergeCell ref="B43:D43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R7:S7"/>
    <mergeCell ref="B9:D9"/>
    <mergeCell ref="B10:D10"/>
    <mergeCell ref="B11:D11"/>
    <mergeCell ref="B12:D12"/>
    <mergeCell ref="B13:D13"/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43:D143"/>
    <mergeCell ref="B144:D144"/>
    <mergeCell ref="F144:S144"/>
    <mergeCell ref="Q148:S148"/>
    <mergeCell ref="B131:D131"/>
    <mergeCell ref="B132:D132"/>
    <mergeCell ref="B133:D133"/>
    <mergeCell ref="B134:D134"/>
    <mergeCell ref="B137:D137"/>
    <mergeCell ref="B140:D140"/>
    <mergeCell ref="Q149:S149"/>
    <mergeCell ref="Q150:S150"/>
    <mergeCell ref="A152:S152"/>
    <mergeCell ref="A153:A154"/>
    <mergeCell ref="B153:D154"/>
    <mergeCell ref="F153:H153"/>
    <mergeCell ref="I153:K153"/>
    <mergeCell ref="L153:N153"/>
    <mergeCell ref="O153:Q153"/>
    <mergeCell ref="R153:S153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F177:S177"/>
    <mergeCell ref="A180:S180"/>
    <mergeCell ref="A181:A182"/>
    <mergeCell ref="B181:D182"/>
    <mergeCell ref="F181:H181"/>
    <mergeCell ref="I181:K181"/>
    <mergeCell ref="L181:N181"/>
    <mergeCell ref="O181:Q181"/>
    <mergeCell ref="R181:S181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F205:S205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1" r:id="rId1"/>
  <rowBreaks count="1" manualBreakCount="1">
    <brk id="102" max="18" man="1"/>
  </rowBreaks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view="pageBreakPreview" zoomScale="50" zoomScaleNormal="50" zoomScaleSheetLayoutView="50" zoomScalePageLayoutView="0" workbookViewId="0" topLeftCell="A58">
      <selection activeCell="G2" sqref="G2"/>
    </sheetView>
  </sheetViews>
  <sheetFormatPr defaultColWidth="9.140625" defaultRowHeight="12.75"/>
  <cols>
    <col min="1" max="1" width="9.00390625" style="10" customWidth="1"/>
    <col min="2" max="2" width="9.140625" style="10" customWidth="1"/>
    <col min="3" max="3" width="21.140625" style="10" customWidth="1"/>
    <col min="4" max="4" width="70.57421875" style="10" customWidth="1"/>
    <col min="5" max="5" width="14.421875" style="10" hidden="1" customWidth="1"/>
    <col min="6" max="6" width="24.7109375" style="10" customWidth="1"/>
    <col min="7" max="7" width="32.00390625" style="52" customWidth="1"/>
    <col min="8" max="8" width="9.8515625" style="10" hidden="1" customWidth="1"/>
    <col min="9" max="9" width="29.421875" style="10" customWidth="1"/>
    <col min="10" max="10" width="30.140625" style="52" customWidth="1"/>
    <col min="11" max="11" width="1.421875" style="10" hidden="1" customWidth="1"/>
    <col min="12" max="12" width="28.140625" style="10" customWidth="1"/>
    <col min="13" max="13" width="29.28125" style="52" customWidth="1"/>
    <col min="14" max="14" width="9.8515625" style="10" hidden="1" customWidth="1"/>
    <col min="15" max="15" width="27.00390625" style="10" customWidth="1"/>
    <col min="16" max="16" width="30.140625" style="52" customWidth="1"/>
    <col min="17" max="17" width="29.28125" style="10" customWidth="1"/>
    <col min="18" max="18" width="30.57421875" style="52" customWidth="1"/>
    <col min="19" max="19" width="18.00390625" style="10" customWidth="1"/>
    <col min="20" max="20" width="22.28125" style="10" bestFit="1" customWidth="1"/>
    <col min="21" max="21" width="12.8515625" style="10" customWidth="1"/>
    <col min="22" max="16384" width="9.140625" style="10" customWidth="1"/>
  </cols>
  <sheetData>
    <row r="1" spans="1:22" ht="30.75">
      <c r="A1" s="6"/>
      <c r="B1" s="6"/>
      <c r="C1" s="6"/>
      <c r="D1" s="6"/>
      <c r="E1" s="6"/>
      <c r="F1" s="6"/>
      <c r="G1" s="105"/>
      <c r="H1" s="6"/>
      <c r="I1" s="6"/>
      <c r="J1" s="105"/>
      <c r="K1" s="6"/>
      <c r="L1" s="6"/>
      <c r="M1" s="105"/>
      <c r="N1" s="126"/>
      <c r="O1" s="126"/>
      <c r="P1" s="156" t="s">
        <v>88</v>
      </c>
      <c r="Q1" s="157"/>
      <c r="R1" s="158"/>
      <c r="T1" s="12"/>
      <c r="U1" s="12"/>
      <c r="V1" s="12"/>
    </row>
    <row r="2" spans="1:22" ht="30.75">
      <c r="A2" s="6"/>
      <c r="B2" s="6"/>
      <c r="C2" s="6"/>
      <c r="D2" s="6"/>
      <c r="E2" s="6"/>
      <c r="F2" s="6"/>
      <c r="G2" s="105"/>
      <c r="H2" s="6"/>
      <c r="I2" s="6"/>
      <c r="J2" s="105"/>
      <c r="K2" s="6"/>
      <c r="L2" s="6"/>
      <c r="M2" s="105"/>
      <c r="N2" s="126"/>
      <c r="O2" s="126"/>
      <c r="P2" s="532" t="s">
        <v>31</v>
      </c>
      <c r="Q2" s="532"/>
      <c r="R2" s="532"/>
      <c r="T2" s="12"/>
      <c r="U2" s="12"/>
      <c r="V2" s="12"/>
    </row>
    <row r="3" spans="1:22" ht="30.75">
      <c r="A3" s="6"/>
      <c r="B3" s="6"/>
      <c r="C3" s="6"/>
      <c r="D3" s="6"/>
      <c r="E3" s="6"/>
      <c r="F3" s="6"/>
      <c r="G3" s="105"/>
      <c r="H3" s="6"/>
      <c r="I3" s="6"/>
      <c r="J3" s="105"/>
      <c r="K3" s="6"/>
      <c r="L3" s="6"/>
      <c r="M3" s="105"/>
      <c r="N3" s="126"/>
      <c r="O3" s="126"/>
      <c r="P3" s="532" t="s">
        <v>89</v>
      </c>
      <c r="Q3" s="532"/>
      <c r="R3" s="532"/>
      <c r="T3" s="12"/>
      <c r="U3" s="12"/>
      <c r="V3" s="12"/>
    </row>
    <row r="4" spans="1:22" ht="30.75">
      <c r="A4" s="6"/>
      <c r="B4" s="6"/>
      <c r="C4" s="6"/>
      <c r="D4" s="6"/>
      <c r="E4" s="6"/>
      <c r="F4" s="6"/>
      <c r="G4" s="105"/>
      <c r="H4" s="6"/>
      <c r="I4" s="6"/>
      <c r="J4" s="105"/>
      <c r="K4" s="6"/>
      <c r="L4" s="6"/>
      <c r="M4" s="105"/>
      <c r="N4" s="155"/>
      <c r="O4" s="155"/>
      <c r="P4" s="159" t="s">
        <v>90</v>
      </c>
      <c r="Q4" s="159"/>
      <c r="R4" s="159"/>
      <c r="T4" s="12"/>
      <c r="U4" s="12"/>
      <c r="V4" s="12"/>
    </row>
    <row r="5" spans="1:22" ht="30.75">
      <c r="A5" s="6"/>
      <c r="B5" s="6"/>
      <c r="C5" s="6"/>
      <c r="D5" s="6"/>
      <c r="E5" s="6"/>
      <c r="F5" s="6"/>
      <c r="G5" s="105"/>
      <c r="H5" s="6"/>
      <c r="I5" s="6"/>
      <c r="J5" s="105"/>
      <c r="K5" s="6"/>
      <c r="L5" s="6"/>
      <c r="M5" s="105"/>
      <c r="N5" s="126"/>
      <c r="O5" s="126"/>
      <c r="P5" s="532" t="s">
        <v>130</v>
      </c>
      <c r="Q5" s="532"/>
      <c r="R5" s="532"/>
      <c r="T5" s="12"/>
      <c r="U5" s="12"/>
      <c r="V5" s="12"/>
    </row>
    <row r="6" spans="1:22" ht="26.25">
      <c r="A6" s="6"/>
      <c r="B6" s="6"/>
      <c r="C6" s="6"/>
      <c r="D6" s="6"/>
      <c r="E6" s="6"/>
      <c r="F6" s="6"/>
      <c r="G6" s="105"/>
      <c r="H6" s="6"/>
      <c r="I6" s="6"/>
      <c r="J6" s="105"/>
      <c r="K6" s="6"/>
      <c r="L6" s="6"/>
      <c r="M6" s="105"/>
      <c r="N6" s="153"/>
      <c r="O6" s="153"/>
      <c r="P6" s="154"/>
      <c r="Q6" s="154"/>
      <c r="R6" s="154"/>
      <c r="T6" s="12"/>
      <c r="U6" s="12"/>
      <c r="V6" s="12"/>
    </row>
    <row r="7" spans="1:22" ht="60.75" customHeight="1">
      <c r="A7" s="530" t="s">
        <v>107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  <c r="T7" s="12"/>
      <c r="U7" s="12"/>
      <c r="V7" s="12"/>
    </row>
    <row r="8" spans="1:22" ht="33.75" customHeight="1">
      <c r="A8" s="429" t="s">
        <v>108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429"/>
      <c r="Q8" s="429"/>
      <c r="R8" s="429"/>
      <c r="T8" s="12"/>
      <c r="U8" s="12"/>
      <c r="V8" s="12"/>
    </row>
    <row r="9" spans="1:22" ht="30.75" customHeight="1">
      <c r="A9" s="456" t="s">
        <v>15</v>
      </c>
      <c r="B9" s="450" t="s">
        <v>0</v>
      </c>
      <c r="C9" s="451"/>
      <c r="D9" s="452"/>
      <c r="E9" s="396" t="s">
        <v>1</v>
      </c>
      <c r="F9" s="397"/>
      <c r="G9" s="398"/>
      <c r="H9" s="396" t="s">
        <v>3</v>
      </c>
      <c r="I9" s="397"/>
      <c r="J9" s="398"/>
      <c r="K9" s="396" t="s">
        <v>4</v>
      </c>
      <c r="L9" s="397"/>
      <c r="M9" s="398"/>
      <c r="N9" s="396" t="s">
        <v>6</v>
      </c>
      <c r="O9" s="397"/>
      <c r="P9" s="398"/>
      <c r="Q9" s="396" t="s">
        <v>7</v>
      </c>
      <c r="R9" s="398"/>
      <c r="U9" s="12"/>
      <c r="V9" s="12"/>
    </row>
    <row r="10" spans="1:22" ht="51">
      <c r="A10" s="457"/>
      <c r="B10" s="453"/>
      <c r="C10" s="454"/>
      <c r="D10" s="455"/>
      <c r="E10" s="130"/>
      <c r="F10" s="130" t="s">
        <v>2</v>
      </c>
      <c r="G10" s="106" t="s">
        <v>5</v>
      </c>
      <c r="H10" s="130"/>
      <c r="I10" s="124" t="s">
        <v>2</v>
      </c>
      <c r="J10" s="106" t="s">
        <v>5</v>
      </c>
      <c r="K10" s="130"/>
      <c r="L10" s="130" t="s">
        <v>2</v>
      </c>
      <c r="M10" s="106" t="s">
        <v>5</v>
      </c>
      <c r="N10" s="130" t="s">
        <v>2</v>
      </c>
      <c r="O10" s="130" t="s">
        <v>2</v>
      </c>
      <c r="P10" s="106" t="s">
        <v>5</v>
      </c>
      <c r="Q10" s="130" t="s">
        <v>2</v>
      </c>
      <c r="R10" s="106" t="s">
        <v>5</v>
      </c>
      <c r="U10" s="12"/>
      <c r="V10" s="12"/>
    </row>
    <row r="11" spans="1:22" s="97" customFormat="1" ht="30" customHeight="1">
      <c r="A11" s="100">
        <v>1</v>
      </c>
      <c r="B11" s="363" t="s">
        <v>33</v>
      </c>
      <c r="C11" s="524"/>
      <c r="D11" s="525"/>
      <c r="E11" s="91">
        <v>22.6</v>
      </c>
      <c r="F11" s="226">
        <v>7</v>
      </c>
      <c r="G11" s="227">
        <f>F11*F42</f>
        <v>45221.68</v>
      </c>
      <c r="H11" s="93">
        <v>7.9</v>
      </c>
      <c r="I11" s="228">
        <v>5</v>
      </c>
      <c r="J11" s="227">
        <f>I11*F42</f>
        <v>32301.199999999997</v>
      </c>
      <c r="K11" s="93">
        <v>2.9</v>
      </c>
      <c r="L11" s="228">
        <v>1</v>
      </c>
      <c r="M11" s="227">
        <f>L11*G42</f>
        <v>6796.17</v>
      </c>
      <c r="N11" s="93">
        <v>20.6</v>
      </c>
      <c r="O11" s="228">
        <v>17</v>
      </c>
      <c r="P11" s="227">
        <f>O11*G42</f>
        <v>115534.89</v>
      </c>
      <c r="Q11" s="93">
        <f aca="true" t="shared" si="0" ref="Q11:R19">F11+I11+L11+O11</f>
        <v>30</v>
      </c>
      <c r="R11" s="227">
        <f t="shared" si="0"/>
        <v>199853.94</v>
      </c>
      <c r="S11" s="94" t="s">
        <v>82</v>
      </c>
      <c r="T11" s="101"/>
      <c r="U11" s="96"/>
      <c r="V11" s="95"/>
    </row>
    <row r="12" spans="1:22" s="97" customFormat="1" ht="30" customHeight="1">
      <c r="A12" s="100">
        <v>2</v>
      </c>
      <c r="B12" s="363" t="s">
        <v>41</v>
      </c>
      <c r="C12" s="524"/>
      <c r="D12" s="525"/>
      <c r="E12" s="91"/>
      <c r="F12" s="226">
        <f>F13+F14+F15+F16+F17+F18</f>
        <v>2613.46</v>
      </c>
      <c r="G12" s="227">
        <f>F12*F42</f>
        <v>16883578.8304</v>
      </c>
      <c r="H12" s="93"/>
      <c r="I12" s="228">
        <f>I13+I14+I15+I16+I17+I18</f>
        <v>974.07</v>
      </c>
      <c r="J12" s="227">
        <f>J13+J14+J15+J16+J17+J18</f>
        <v>6292725.9768</v>
      </c>
      <c r="K12" s="93"/>
      <c r="L12" s="228">
        <f>L13+L14+L15+L16+L17+L18</f>
        <v>283.974</v>
      </c>
      <c r="M12" s="227">
        <f>M13+M14+M15+M16+M17+M18</f>
        <v>1929935.5795800001</v>
      </c>
      <c r="N12" s="93"/>
      <c r="O12" s="228">
        <f>O13+O14+O15+O16+O17+O18</f>
        <v>2193.691</v>
      </c>
      <c r="P12" s="227">
        <f>P13+P14+P15+P16+P17+P18</f>
        <v>14908696.96347</v>
      </c>
      <c r="Q12" s="93">
        <f>Q13+Q14+Q15+Q16+Q17+Q18</f>
        <v>6065.195000000001</v>
      </c>
      <c r="R12" s="227">
        <f>R13+R14+R15+R16+R17+R18</f>
        <v>40014937.350250006</v>
      </c>
      <c r="S12" s="94"/>
      <c r="T12" s="101"/>
      <c r="U12" s="96"/>
      <c r="V12" s="95"/>
    </row>
    <row r="13" spans="1:21" s="17" customFormat="1" ht="39.75" customHeight="1">
      <c r="A13" s="90"/>
      <c r="B13" s="360" t="s">
        <v>34</v>
      </c>
      <c r="C13" s="441"/>
      <c r="D13" s="442"/>
      <c r="E13" s="14">
        <v>968.6</v>
      </c>
      <c r="F13" s="229">
        <v>510</v>
      </c>
      <c r="G13" s="230">
        <f>F13*F42</f>
        <v>3294722.4</v>
      </c>
      <c r="H13" s="231">
        <v>347.1</v>
      </c>
      <c r="I13" s="232">
        <v>150</v>
      </c>
      <c r="J13" s="230">
        <f>I13*F42</f>
        <v>969036</v>
      </c>
      <c r="K13" s="231">
        <v>138.9</v>
      </c>
      <c r="L13" s="232">
        <v>50</v>
      </c>
      <c r="M13" s="230">
        <f>L13*G42</f>
        <v>339808.5</v>
      </c>
      <c r="N13" s="231">
        <v>879.1</v>
      </c>
      <c r="O13" s="232">
        <v>290</v>
      </c>
      <c r="P13" s="230">
        <f>O13*G42</f>
        <v>1970889.3</v>
      </c>
      <c r="Q13" s="231">
        <f t="shared" si="0"/>
        <v>1000</v>
      </c>
      <c r="R13" s="230">
        <f t="shared" si="0"/>
        <v>6574456.2</v>
      </c>
      <c r="S13" s="67" t="s">
        <v>82</v>
      </c>
      <c r="T13" s="16"/>
      <c r="U13" s="16"/>
    </row>
    <row r="14" spans="1:22" ht="37.5" customHeight="1">
      <c r="A14" s="7"/>
      <c r="B14" s="360" t="s">
        <v>35</v>
      </c>
      <c r="C14" s="441"/>
      <c r="D14" s="442"/>
      <c r="E14" s="14">
        <v>275.5</v>
      </c>
      <c r="F14" s="229">
        <v>260.8</v>
      </c>
      <c r="G14" s="233">
        <f>F14*F42</f>
        <v>1684830.592</v>
      </c>
      <c r="H14" s="231">
        <v>101.3</v>
      </c>
      <c r="I14" s="232">
        <v>82.4</v>
      </c>
      <c r="J14" s="230">
        <f>I14*F42</f>
        <v>532323.7760000001</v>
      </c>
      <c r="K14" s="231">
        <v>40.3</v>
      </c>
      <c r="L14" s="232">
        <v>24.8</v>
      </c>
      <c r="M14" s="230">
        <f>L14*G42</f>
        <v>168545.016</v>
      </c>
      <c r="N14" s="231">
        <v>245.5</v>
      </c>
      <c r="O14" s="232">
        <v>214.4</v>
      </c>
      <c r="P14" s="230">
        <f>O14*G42</f>
        <v>1457098.848</v>
      </c>
      <c r="Q14" s="231">
        <f t="shared" si="0"/>
        <v>582.4000000000001</v>
      </c>
      <c r="R14" s="230">
        <f t="shared" si="0"/>
        <v>3842798.232</v>
      </c>
      <c r="S14" s="67"/>
      <c r="T14" s="13"/>
      <c r="U14" s="11"/>
      <c r="V14" s="12"/>
    </row>
    <row r="15" spans="1:22" ht="33.75" customHeight="1">
      <c r="A15" s="7"/>
      <c r="B15" s="360" t="s">
        <v>36</v>
      </c>
      <c r="C15" s="441"/>
      <c r="D15" s="442"/>
      <c r="E15" s="14">
        <v>1020.1</v>
      </c>
      <c r="F15" s="229">
        <v>874.5</v>
      </c>
      <c r="G15" s="230">
        <f>F15*F42</f>
        <v>5649479.88</v>
      </c>
      <c r="H15" s="231">
        <v>343</v>
      </c>
      <c r="I15" s="232">
        <v>313.8</v>
      </c>
      <c r="J15" s="230">
        <f>I15*F42</f>
        <v>2027223.312</v>
      </c>
      <c r="K15" s="231">
        <v>122.2</v>
      </c>
      <c r="L15" s="232">
        <v>95.1</v>
      </c>
      <c r="M15" s="230">
        <f>L15*G42</f>
        <v>646315.767</v>
      </c>
      <c r="N15" s="231">
        <v>920.9</v>
      </c>
      <c r="O15" s="232">
        <v>816.6</v>
      </c>
      <c r="P15" s="230">
        <f>O15*G42</f>
        <v>5549752.422</v>
      </c>
      <c r="Q15" s="231">
        <f t="shared" si="0"/>
        <v>2100</v>
      </c>
      <c r="R15" s="230">
        <f t="shared" si="0"/>
        <v>13872771.381000001</v>
      </c>
      <c r="S15" s="67" t="s">
        <v>82</v>
      </c>
      <c r="T15" s="13"/>
      <c r="U15" s="11"/>
      <c r="V15" s="12"/>
    </row>
    <row r="16" spans="1:22" ht="35.25" customHeight="1">
      <c r="A16" s="18"/>
      <c r="B16" s="360" t="s">
        <v>37</v>
      </c>
      <c r="C16" s="441"/>
      <c r="D16" s="442"/>
      <c r="E16" s="8">
        <v>186.3</v>
      </c>
      <c r="F16" s="229">
        <v>215.9</v>
      </c>
      <c r="G16" s="230">
        <f>F16*F42</f>
        <v>1394765.8159999999</v>
      </c>
      <c r="H16" s="231">
        <v>55.3</v>
      </c>
      <c r="I16" s="232">
        <v>74.5</v>
      </c>
      <c r="J16" s="230">
        <f>I16*F42</f>
        <v>481287.88</v>
      </c>
      <c r="K16" s="231">
        <v>2.8</v>
      </c>
      <c r="L16" s="232">
        <v>24.7</v>
      </c>
      <c r="M16" s="230">
        <f>L16*G42</f>
        <v>167865.399</v>
      </c>
      <c r="N16" s="231">
        <v>158.5</v>
      </c>
      <c r="O16" s="232">
        <v>181.1</v>
      </c>
      <c r="P16" s="230">
        <f>O16*G42</f>
        <v>1230786.3869999999</v>
      </c>
      <c r="Q16" s="231">
        <f t="shared" si="0"/>
        <v>496.19999999999993</v>
      </c>
      <c r="R16" s="230">
        <f t="shared" si="0"/>
        <v>3274705.482</v>
      </c>
      <c r="S16" s="67"/>
      <c r="T16" s="13"/>
      <c r="U16" s="11"/>
      <c r="V16" s="12"/>
    </row>
    <row r="17" spans="1:22" ht="30" customHeight="1">
      <c r="A17" s="18"/>
      <c r="B17" s="360" t="s">
        <v>38</v>
      </c>
      <c r="C17" s="441"/>
      <c r="D17" s="442"/>
      <c r="E17" s="8">
        <v>619</v>
      </c>
      <c r="F17" s="229">
        <v>550.4</v>
      </c>
      <c r="G17" s="230">
        <f>F17*F42</f>
        <v>3555716.096</v>
      </c>
      <c r="H17" s="231">
        <v>532.4</v>
      </c>
      <c r="I17" s="232">
        <v>193.1</v>
      </c>
      <c r="J17" s="230">
        <f>I17*F42</f>
        <v>1247472.3439999998</v>
      </c>
      <c r="K17" s="231">
        <v>142.3</v>
      </c>
      <c r="L17" s="232">
        <v>65</v>
      </c>
      <c r="M17" s="230">
        <f>L17*G42</f>
        <v>441751.05</v>
      </c>
      <c r="N17" s="231">
        <v>646.5</v>
      </c>
      <c r="O17" s="232">
        <v>463.1</v>
      </c>
      <c r="P17" s="230">
        <f>O17*G42</f>
        <v>3147306.327</v>
      </c>
      <c r="Q17" s="231">
        <f t="shared" si="0"/>
        <v>1271.6</v>
      </c>
      <c r="R17" s="230">
        <f t="shared" si="0"/>
        <v>8392245.817</v>
      </c>
      <c r="S17" s="67"/>
      <c r="T17" s="13"/>
      <c r="U17" s="11"/>
      <c r="V17" s="12"/>
    </row>
    <row r="18" spans="1:22" ht="52.5" customHeight="1">
      <c r="A18" s="18"/>
      <c r="B18" s="360" t="s">
        <v>39</v>
      </c>
      <c r="C18" s="441"/>
      <c r="D18" s="442"/>
      <c r="E18" s="8">
        <v>277.52</v>
      </c>
      <c r="F18" s="234">
        <v>201.86</v>
      </c>
      <c r="G18" s="230">
        <f>F18*F42</f>
        <v>1304064.0464</v>
      </c>
      <c r="H18" s="231">
        <v>129</v>
      </c>
      <c r="I18" s="235">
        <v>160.27</v>
      </c>
      <c r="J18" s="230">
        <f>I18*F42</f>
        <v>1035382.6648</v>
      </c>
      <c r="K18" s="231">
        <v>7.2</v>
      </c>
      <c r="L18" s="236">
        <v>24.374</v>
      </c>
      <c r="M18" s="230">
        <f>L18*G42</f>
        <v>165649.84758</v>
      </c>
      <c r="N18" s="231">
        <v>182.6</v>
      </c>
      <c r="O18" s="236">
        <v>228.491</v>
      </c>
      <c r="P18" s="230">
        <f>O18*G42</f>
        <v>1552863.67947</v>
      </c>
      <c r="Q18" s="231">
        <f t="shared" si="0"/>
        <v>614.995</v>
      </c>
      <c r="R18" s="230">
        <f t="shared" si="0"/>
        <v>4057960.2382500004</v>
      </c>
      <c r="S18" s="68" t="s">
        <v>82</v>
      </c>
      <c r="T18" s="13"/>
      <c r="U18" s="11"/>
      <c r="V18" s="12"/>
    </row>
    <row r="19" spans="1:22" s="97" customFormat="1" ht="30.75" customHeight="1">
      <c r="A19" s="100">
        <v>3</v>
      </c>
      <c r="B19" s="363" t="s">
        <v>42</v>
      </c>
      <c r="C19" s="524"/>
      <c r="D19" s="525"/>
      <c r="E19" s="98"/>
      <c r="F19" s="237">
        <v>276.948</v>
      </c>
      <c r="G19" s="227">
        <f>F19*F42</f>
        <v>1789150.5475199998</v>
      </c>
      <c r="H19" s="93"/>
      <c r="I19" s="238">
        <v>118.148</v>
      </c>
      <c r="J19" s="227">
        <f>I19*F42</f>
        <v>763264.4355199999</v>
      </c>
      <c r="K19" s="93"/>
      <c r="L19" s="238">
        <v>67.148</v>
      </c>
      <c r="M19" s="227">
        <f>L19*G42</f>
        <v>456349.22316</v>
      </c>
      <c r="N19" s="93"/>
      <c r="O19" s="238">
        <v>246.348</v>
      </c>
      <c r="P19" s="227">
        <f>O19*G42</f>
        <v>1674222.8871600002</v>
      </c>
      <c r="Q19" s="239">
        <f t="shared" si="0"/>
        <v>708.5920000000001</v>
      </c>
      <c r="R19" s="227">
        <f t="shared" si="0"/>
        <v>4682987.09336</v>
      </c>
      <c r="S19" s="94"/>
      <c r="T19" s="101"/>
      <c r="U19" s="96"/>
      <c r="V19" s="95"/>
    </row>
    <row r="20" spans="1:22" s="97" customFormat="1" ht="39" customHeight="1">
      <c r="A20" s="100">
        <v>4</v>
      </c>
      <c r="B20" s="363" t="s">
        <v>43</v>
      </c>
      <c r="C20" s="524"/>
      <c r="D20" s="525"/>
      <c r="E20" s="98"/>
      <c r="F20" s="226">
        <f>F21+F22+F23</f>
        <v>38.5</v>
      </c>
      <c r="G20" s="227">
        <f>F20*F42</f>
        <v>248719.24</v>
      </c>
      <c r="H20" s="93"/>
      <c r="I20" s="228">
        <f>I21+I22+I23</f>
        <v>12.6</v>
      </c>
      <c r="J20" s="227">
        <f>J21+J22+J23</f>
        <v>81399.02399999999</v>
      </c>
      <c r="K20" s="93"/>
      <c r="L20" s="228">
        <f>L21+L22+L23</f>
        <v>4</v>
      </c>
      <c r="M20" s="227">
        <f>M21+M22+M23</f>
        <v>27184.68</v>
      </c>
      <c r="N20" s="93"/>
      <c r="O20" s="228">
        <f>O21+O22+O23</f>
        <v>32</v>
      </c>
      <c r="P20" s="227">
        <f>P21+P22+P23</f>
        <v>217477.44</v>
      </c>
      <c r="Q20" s="93">
        <f>Q21+Q22+Q23</f>
        <v>87.1</v>
      </c>
      <c r="R20" s="227">
        <f>R21+R22+R23</f>
        <v>574780.384</v>
      </c>
      <c r="S20" s="94"/>
      <c r="T20" s="96"/>
      <c r="U20" s="96"/>
      <c r="V20" s="95"/>
    </row>
    <row r="21" spans="1:22" ht="39.75" customHeight="1">
      <c r="A21" s="18"/>
      <c r="B21" s="360" t="s">
        <v>44</v>
      </c>
      <c r="C21" s="441"/>
      <c r="D21" s="442"/>
      <c r="E21" s="8"/>
      <c r="F21" s="229">
        <v>38.5</v>
      </c>
      <c r="G21" s="230">
        <f>F21*F42</f>
        <v>248719.24</v>
      </c>
      <c r="H21" s="231"/>
      <c r="I21" s="232">
        <v>12.6</v>
      </c>
      <c r="J21" s="230">
        <f>I21*F42</f>
        <v>81399.02399999999</v>
      </c>
      <c r="K21" s="231"/>
      <c r="L21" s="232">
        <v>4</v>
      </c>
      <c r="M21" s="230">
        <f>L21*G42</f>
        <v>27184.68</v>
      </c>
      <c r="N21" s="231"/>
      <c r="O21" s="232">
        <v>32</v>
      </c>
      <c r="P21" s="230">
        <f>O21*G42</f>
        <v>217477.44</v>
      </c>
      <c r="Q21" s="231">
        <f aca="true" t="shared" si="1" ref="Q21:R23">F21+I21+L21+O21</f>
        <v>87.1</v>
      </c>
      <c r="R21" s="230">
        <f t="shared" si="1"/>
        <v>574780.384</v>
      </c>
      <c r="S21" s="67" t="s">
        <v>83</v>
      </c>
      <c r="T21" s="11"/>
      <c r="U21" s="11"/>
      <c r="V21" s="12"/>
    </row>
    <row r="22" spans="1:22" ht="1.5" customHeight="1" hidden="1">
      <c r="A22" s="18"/>
      <c r="B22" s="360" t="s">
        <v>45</v>
      </c>
      <c r="C22" s="441"/>
      <c r="D22" s="442"/>
      <c r="E22" s="8"/>
      <c r="F22" s="229"/>
      <c r="G22" s="230">
        <f>F22*F42</f>
        <v>0</v>
      </c>
      <c r="H22" s="231"/>
      <c r="I22" s="232"/>
      <c r="J22" s="230">
        <f>I22*F42</f>
        <v>0</v>
      </c>
      <c r="K22" s="231"/>
      <c r="L22" s="232"/>
      <c r="M22" s="230">
        <f>L22*G42</f>
        <v>0</v>
      </c>
      <c r="N22" s="231"/>
      <c r="O22" s="232"/>
      <c r="P22" s="230">
        <f>O22*G42</f>
        <v>0</v>
      </c>
      <c r="Q22" s="231">
        <f t="shared" si="1"/>
        <v>0</v>
      </c>
      <c r="R22" s="230">
        <f t="shared" si="1"/>
        <v>0</v>
      </c>
      <c r="S22" s="67"/>
      <c r="T22" s="11"/>
      <c r="U22" s="11"/>
      <c r="V22" s="12"/>
    </row>
    <row r="23" spans="1:22" ht="38.25" customHeight="1" hidden="1">
      <c r="A23" s="18"/>
      <c r="B23" s="360" t="s">
        <v>46</v>
      </c>
      <c r="C23" s="441"/>
      <c r="D23" s="442"/>
      <c r="E23" s="8"/>
      <c r="F23" s="229"/>
      <c r="G23" s="230">
        <f>F23*F42</f>
        <v>0</v>
      </c>
      <c r="H23" s="231"/>
      <c r="I23" s="232"/>
      <c r="J23" s="230">
        <f>I23*F42</f>
        <v>0</v>
      </c>
      <c r="K23" s="231"/>
      <c r="L23" s="232"/>
      <c r="M23" s="230">
        <f>L23*G42</f>
        <v>0</v>
      </c>
      <c r="N23" s="231"/>
      <c r="O23" s="232"/>
      <c r="P23" s="230">
        <f>O23*G42</f>
        <v>0</v>
      </c>
      <c r="Q23" s="231">
        <f t="shared" si="1"/>
        <v>0</v>
      </c>
      <c r="R23" s="230">
        <f t="shared" si="1"/>
        <v>0</v>
      </c>
      <c r="S23" s="67"/>
      <c r="T23" s="11"/>
      <c r="U23" s="11"/>
      <c r="V23" s="12"/>
    </row>
    <row r="24" spans="1:22" s="97" customFormat="1" ht="56.25" customHeight="1">
      <c r="A24" s="100">
        <v>5</v>
      </c>
      <c r="B24" s="363" t="s">
        <v>47</v>
      </c>
      <c r="C24" s="524"/>
      <c r="D24" s="525"/>
      <c r="E24" s="98"/>
      <c r="F24" s="226">
        <f>F25+F26+F27+F28</f>
        <v>587.9200000000001</v>
      </c>
      <c r="G24" s="227">
        <f>F24*F42</f>
        <v>3798104.3008000003</v>
      </c>
      <c r="H24" s="93"/>
      <c r="I24" s="228">
        <f>I25+I26+I27+I28</f>
        <v>226.71999999999997</v>
      </c>
      <c r="J24" s="227">
        <f>J25+J26+J27+J28</f>
        <v>1464665.6128</v>
      </c>
      <c r="K24" s="93"/>
      <c r="L24" s="228">
        <f>L25+L26+L27+L28</f>
        <v>113.22</v>
      </c>
      <c r="M24" s="227">
        <f>M25+M26+M27+M28</f>
        <v>769462.3674000001</v>
      </c>
      <c r="N24" s="93"/>
      <c r="O24" s="228">
        <f>O25+O26+O27+O28</f>
        <v>440.49</v>
      </c>
      <c r="P24" s="227">
        <f>P25+P26+P27+P28</f>
        <v>2993644.9233000004</v>
      </c>
      <c r="Q24" s="93">
        <f>Q25+Q26+Q27+Q28</f>
        <v>1368.3500000000001</v>
      </c>
      <c r="R24" s="227">
        <f>R25+R26+R27+R28</f>
        <v>9025877.2043</v>
      </c>
      <c r="S24" s="94"/>
      <c r="T24" s="96"/>
      <c r="U24" s="96"/>
      <c r="V24" s="95"/>
    </row>
    <row r="25" spans="1:22" ht="42" customHeight="1">
      <c r="A25" s="18"/>
      <c r="B25" s="360" t="s">
        <v>48</v>
      </c>
      <c r="C25" s="441"/>
      <c r="D25" s="442"/>
      <c r="E25" s="8"/>
      <c r="F25" s="229">
        <v>12.43</v>
      </c>
      <c r="G25" s="230">
        <f>F25*F42</f>
        <v>80300.78319999999</v>
      </c>
      <c r="H25" s="231"/>
      <c r="I25" s="232">
        <v>12.43</v>
      </c>
      <c r="J25" s="230">
        <f>I25*F42</f>
        <v>80300.78319999999</v>
      </c>
      <c r="K25" s="231"/>
      <c r="L25" s="232">
        <v>12.43</v>
      </c>
      <c r="M25" s="230">
        <f>L25*G42</f>
        <v>84476.3931</v>
      </c>
      <c r="N25" s="231"/>
      <c r="O25" s="232">
        <v>12.43</v>
      </c>
      <c r="P25" s="230">
        <f>O25*G42</f>
        <v>84476.3931</v>
      </c>
      <c r="Q25" s="231">
        <f aca="true" t="shared" si="2" ref="Q25:R27">F25+I25+L25+O25</f>
        <v>49.72</v>
      </c>
      <c r="R25" s="230">
        <f t="shared" si="2"/>
        <v>329554.3526</v>
      </c>
      <c r="S25" s="67"/>
      <c r="T25" s="11"/>
      <c r="U25" s="11"/>
      <c r="V25" s="12"/>
    </row>
    <row r="26" spans="1:22" ht="36" customHeight="1">
      <c r="A26" s="18"/>
      <c r="B26" s="360" t="s">
        <v>49</v>
      </c>
      <c r="C26" s="441"/>
      <c r="D26" s="442"/>
      <c r="E26" s="8"/>
      <c r="F26" s="229">
        <v>380.5</v>
      </c>
      <c r="G26" s="230">
        <f>F26*F42</f>
        <v>2458121.32</v>
      </c>
      <c r="H26" s="231"/>
      <c r="I26" s="232">
        <v>95.29</v>
      </c>
      <c r="J26" s="230">
        <f>I26*F42</f>
        <v>615596.2696</v>
      </c>
      <c r="K26" s="231"/>
      <c r="L26" s="232">
        <v>7.8</v>
      </c>
      <c r="M26" s="230">
        <f>L26*G42</f>
        <v>53010.126</v>
      </c>
      <c r="N26" s="231"/>
      <c r="O26" s="232">
        <v>256.07</v>
      </c>
      <c r="P26" s="230">
        <f>O26*G42</f>
        <v>1740295.2519</v>
      </c>
      <c r="Q26" s="231">
        <f t="shared" si="2"/>
        <v>739.6600000000001</v>
      </c>
      <c r="R26" s="230">
        <f t="shared" si="2"/>
        <v>4867022.967499999</v>
      </c>
      <c r="S26" s="67"/>
      <c r="T26" s="11"/>
      <c r="U26" s="11"/>
      <c r="V26" s="12"/>
    </row>
    <row r="27" spans="1:22" ht="36.75" customHeight="1">
      <c r="A27" s="18"/>
      <c r="B27" s="360" t="s">
        <v>50</v>
      </c>
      <c r="C27" s="441"/>
      <c r="D27" s="442"/>
      <c r="E27" s="8"/>
      <c r="F27" s="229">
        <v>91.99</v>
      </c>
      <c r="G27" s="230">
        <f>F27*F42</f>
        <v>594277.4776</v>
      </c>
      <c r="H27" s="231"/>
      <c r="I27" s="232">
        <v>91.99</v>
      </c>
      <c r="J27" s="230">
        <f>I27*F42</f>
        <v>594277.4776</v>
      </c>
      <c r="K27" s="231"/>
      <c r="L27" s="232">
        <v>91.99</v>
      </c>
      <c r="M27" s="230">
        <f>L27*G42</f>
        <v>625179.6783</v>
      </c>
      <c r="N27" s="231"/>
      <c r="O27" s="232">
        <v>91.99</v>
      </c>
      <c r="P27" s="230">
        <f>O27*G42</f>
        <v>625179.6783</v>
      </c>
      <c r="Q27" s="231">
        <f t="shared" si="2"/>
        <v>367.96</v>
      </c>
      <c r="R27" s="230">
        <f t="shared" si="2"/>
        <v>2438914.3118000003</v>
      </c>
      <c r="S27" s="67"/>
      <c r="T27" s="11"/>
      <c r="U27" s="11"/>
      <c r="V27" s="12"/>
    </row>
    <row r="28" spans="1:22" ht="39" customHeight="1">
      <c r="A28" s="18"/>
      <c r="B28" s="360" t="s">
        <v>40</v>
      </c>
      <c r="C28" s="441"/>
      <c r="D28" s="442"/>
      <c r="E28" s="8">
        <v>112.1</v>
      </c>
      <c r="F28" s="229">
        <v>103</v>
      </c>
      <c r="G28" s="230">
        <f>F28*F42</f>
        <v>665404.72</v>
      </c>
      <c r="H28" s="231"/>
      <c r="I28" s="232">
        <v>27.01</v>
      </c>
      <c r="J28" s="230">
        <f>I28*F42</f>
        <v>174491.0824</v>
      </c>
      <c r="K28" s="231"/>
      <c r="L28" s="232">
        <v>1</v>
      </c>
      <c r="M28" s="230">
        <f>L28*G42</f>
        <v>6796.17</v>
      </c>
      <c r="N28" s="231"/>
      <c r="O28" s="232">
        <v>80</v>
      </c>
      <c r="P28" s="230">
        <f>O28*G42</f>
        <v>543693.6</v>
      </c>
      <c r="Q28" s="231">
        <f>F28+I28+L28+O28</f>
        <v>211.01</v>
      </c>
      <c r="R28" s="230">
        <f>G28+J28+M28+P28</f>
        <v>1390385.5724</v>
      </c>
      <c r="S28" s="67"/>
      <c r="T28" s="11"/>
      <c r="U28" s="11"/>
      <c r="V28" s="12"/>
    </row>
    <row r="29" spans="1:22" s="97" customFormat="1" ht="28.5" customHeight="1">
      <c r="A29" s="100">
        <v>6</v>
      </c>
      <c r="B29" s="363" t="s">
        <v>53</v>
      </c>
      <c r="C29" s="524"/>
      <c r="D29" s="525"/>
      <c r="E29" s="98"/>
      <c r="F29" s="226">
        <f>F30+F31+F32</f>
        <v>950.4</v>
      </c>
      <c r="G29" s="227">
        <f>SUM(G30+G31+G32)</f>
        <v>6139812.096</v>
      </c>
      <c r="H29" s="93"/>
      <c r="I29" s="228">
        <f>I30+I31+I32</f>
        <v>315.2</v>
      </c>
      <c r="J29" s="227">
        <f>J30+J31+J32</f>
        <v>2036267.6479999998</v>
      </c>
      <c r="K29" s="93"/>
      <c r="L29" s="228">
        <f>L30+L31+L32</f>
        <v>96.6</v>
      </c>
      <c r="M29" s="227">
        <f>M30+M31+M32</f>
        <v>656510.022</v>
      </c>
      <c r="N29" s="93"/>
      <c r="O29" s="228">
        <f>O30+O31+O32</f>
        <v>805.8</v>
      </c>
      <c r="P29" s="227">
        <f>P30+P31+P32</f>
        <v>5476353.785999999</v>
      </c>
      <c r="Q29" s="93">
        <f>Q30+Q31+Q32</f>
        <v>2168</v>
      </c>
      <c r="R29" s="227">
        <f>R30+R31+R32</f>
        <v>14308943.552</v>
      </c>
      <c r="S29" s="94"/>
      <c r="T29" s="96"/>
      <c r="U29" s="96"/>
      <c r="V29" s="95"/>
    </row>
    <row r="30" spans="1:22" ht="39" customHeight="1">
      <c r="A30" s="18"/>
      <c r="B30" s="360" t="s">
        <v>73</v>
      </c>
      <c r="C30" s="441"/>
      <c r="D30" s="442"/>
      <c r="E30" s="8"/>
      <c r="F30" s="229">
        <v>15</v>
      </c>
      <c r="G30" s="230">
        <f>F30*F42</f>
        <v>96903.59999999999</v>
      </c>
      <c r="H30" s="231"/>
      <c r="I30" s="232">
        <v>6</v>
      </c>
      <c r="J30" s="230">
        <f>I30*F42</f>
        <v>38761.44</v>
      </c>
      <c r="K30" s="231"/>
      <c r="L30" s="232">
        <v>1</v>
      </c>
      <c r="M30" s="230">
        <f>L30*G42</f>
        <v>6796.17</v>
      </c>
      <c r="N30" s="231"/>
      <c r="O30" s="232">
        <v>28</v>
      </c>
      <c r="P30" s="230">
        <f>O30*G42</f>
        <v>190292.76</v>
      </c>
      <c r="Q30" s="231">
        <f aca="true" t="shared" si="3" ref="Q30:R38">F30+I30+L30+O30</f>
        <v>50</v>
      </c>
      <c r="R30" s="230">
        <f t="shared" si="3"/>
        <v>332753.97</v>
      </c>
      <c r="S30" s="67"/>
      <c r="T30" s="11"/>
      <c r="U30" s="11"/>
      <c r="V30" s="12"/>
    </row>
    <row r="31" spans="1:22" ht="36" customHeight="1">
      <c r="A31" s="18"/>
      <c r="B31" s="360" t="s">
        <v>55</v>
      </c>
      <c r="C31" s="441"/>
      <c r="D31" s="442"/>
      <c r="E31" s="8"/>
      <c r="F31" s="229">
        <v>144</v>
      </c>
      <c r="G31" s="230">
        <f>F31*F42</f>
        <v>930274.5599999999</v>
      </c>
      <c r="H31" s="231"/>
      <c r="I31" s="232">
        <v>65</v>
      </c>
      <c r="J31" s="230">
        <f>I31*F42</f>
        <v>419915.6</v>
      </c>
      <c r="K31" s="231"/>
      <c r="L31" s="232">
        <v>13</v>
      </c>
      <c r="M31" s="230">
        <f>L31*G42</f>
        <v>88350.21</v>
      </c>
      <c r="N31" s="231"/>
      <c r="O31" s="232">
        <v>97</v>
      </c>
      <c r="P31" s="230">
        <f>O31*G42</f>
        <v>659228.49</v>
      </c>
      <c r="Q31" s="231">
        <f t="shared" si="3"/>
        <v>319</v>
      </c>
      <c r="R31" s="230">
        <f t="shared" si="3"/>
        <v>2097768.86</v>
      </c>
      <c r="S31" s="67"/>
      <c r="T31" s="11"/>
      <c r="U31" s="11"/>
      <c r="V31" s="12"/>
    </row>
    <row r="32" spans="1:22" ht="34.5" customHeight="1">
      <c r="A32" s="18"/>
      <c r="B32" s="360" t="s">
        <v>91</v>
      </c>
      <c r="C32" s="441"/>
      <c r="D32" s="442"/>
      <c r="E32" s="8"/>
      <c r="F32" s="229">
        <v>791.4</v>
      </c>
      <c r="G32" s="230">
        <f>SUM(F32)*F42</f>
        <v>5112633.936</v>
      </c>
      <c r="H32" s="231"/>
      <c r="I32" s="232">
        <v>244.2</v>
      </c>
      <c r="J32" s="230">
        <f>SUM(I32)*F42</f>
        <v>1577590.6079999998</v>
      </c>
      <c r="K32" s="231"/>
      <c r="L32" s="232">
        <v>82.6</v>
      </c>
      <c r="M32" s="230">
        <f>SUM(L32)*G42</f>
        <v>561363.642</v>
      </c>
      <c r="N32" s="231"/>
      <c r="O32" s="232">
        <v>680.8</v>
      </c>
      <c r="P32" s="230">
        <f>SUM(O32)*G42</f>
        <v>4626832.535999999</v>
      </c>
      <c r="Q32" s="231">
        <f t="shared" si="3"/>
        <v>1798.9999999999998</v>
      </c>
      <c r="R32" s="230">
        <f>SUM(G32)+J32+M32+P32</f>
        <v>11878420.722</v>
      </c>
      <c r="S32" s="67"/>
      <c r="T32" s="11"/>
      <c r="U32" s="11"/>
      <c r="V32" s="12"/>
    </row>
    <row r="33" spans="1:22" s="97" customFormat="1" ht="34.5" customHeight="1">
      <c r="A33" s="100">
        <v>7</v>
      </c>
      <c r="B33" s="363" t="s">
        <v>56</v>
      </c>
      <c r="C33" s="524"/>
      <c r="D33" s="525"/>
      <c r="E33" s="98"/>
      <c r="F33" s="237">
        <f>SUM(F34:F35)</f>
        <v>345.44</v>
      </c>
      <c r="G33" s="227">
        <f aca="true" t="shared" si="4" ref="G33:R33">SUM(G34:G35)</f>
        <v>2231625.3055999996</v>
      </c>
      <c r="H33" s="93">
        <f t="shared" si="4"/>
        <v>0</v>
      </c>
      <c r="I33" s="240">
        <f t="shared" si="4"/>
        <v>166.814</v>
      </c>
      <c r="J33" s="227">
        <f t="shared" si="4"/>
        <v>1077658.4753599998</v>
      </c>
      <c r="K33" s="93">
        <f t="shared" si="4"/>
        <v>0</v>
      </c>
      <c r="L33" s="240">
        <f t="shared" si="4"/>
        <v>104.259</v>
      </c>
      <c r="M33" s="227">
        <f t="shared" si="4"/>
        <v>708561.8880299999</v>
      </c>
      <c r="N33" s="93">
        <f t="shared" si="4"/>
        <v>0</v>
      </c>
      <c r="O33" s="240">
        <f t="shared" si="4"/>
        <v>300.736</v>
      </c>
      <c r="P33" s="227">
        <f t="shared" si="4"/>
        <v>2043852.98112</v>
      </c>
      <c r="Q33" s="93">
        <f t="shared" si="4"/>
        <v>917.249</v>
      </c>
      <c r="R33" s="227">
        <f t="shared" si="4"/>
        <v>6061698.650109999</v>
      </c>
      <c r="S33" s="94"/>
      <c r="T33" s="96"/>
      <c r="U33" s="96"/>
      <c r="V33" s="95"/>
    </row>
    <row r="34" spans="1:22" s="97" customFormat="1" ht="34.5" customHeight="1">
      <c r="A34" s="18"/>
      <c r="B34" s="360" t="s">
        <v>100</v>
      </c>
      <c r="C34" s="361"/>
      <c r="D34" s="362"/>
      <c r="E34" s="8"/>
      <c r="F34" s="303">
        <v>339.755</v>
      </c>
      <c r="G34" s="230">
        <f>SUM(F34)*F42</f>
        <v>2194898.8411999997</v>
      </c>
      <c r="H34" s="231"/>
      <c r="I34" s="256">
        <v>161.129</v>
      </c>
      <c r="J34" s="230">
        <f>SUM(I34)*F42</f>
        <v>1040932.0109599999</v>
      </c>
      <c r="K34" s="231"/>
      <c r="L34" s="256">
        <v>98.574</v>
      </c>
      <c r="M34" s="230">
        <f>SUM(L34)*G42</f>
        <v>669925.66158</v>
      </c>
      <c r="N34" s="231"/>
      <c r="O34" s="256">
        <v>295.051</v>
      </c>
      <c r="P34" s="230">
        <f>SUM(O34)*G42</f>
        <v>2005216.75467</v>
      </c>
      <c r="Q34" s="231">
        <f t="shared" si="3"/>
        <v>894.509</v>
      </c>
      <c r="R34" s="230">
        <f t="shared" si="3"/>
        <v>5910973.268409999</v>
      </c>
      <c r="S34" s="94"/>
      <c r="T34" s="96"/>
      <c r="U34" s="96"/>
      <c r="V34" s="95"/>
    </row>
    <row r="35" spans="1:22" s="97" customFormat="1" ht="34.5" customHeight="1">
      <c r="A35" s="18"/>
      <c r="B35" s="360" t="s">
        <v>111</v>
      </c>
      <c r="C35" s="361"/>
      <c r="D35" s="362"/>
      <c r="E35" s="8"/>
      <c r="F35" s="303">
        <v>5.685</v>
      </c>
      <c r="G35" s="230">
        <f>SUM(F35)*F42</f>
        <v>36726.4644</v>
      </c>
      <c r="H35" s="231"/>
      <c r="I35" s="256">
        <v>5.685</v>
      </c>
      <c r="J35" s="230">
        <f>SUM(I35)*F42</f>
        <v>36726.4644</v>
      </c>
      <c r="K35" s="231"/>
      <c r="L35" s="256">
        <v>5.685</v>
      </c>
      <c r="M35" s="230">
        <f>SUM(L35)*G42</f>
        <v>38636.226449999995</v>
      </c>
      <c r="N35" s="231"/>
      <c r="O35" s="256">
        <v>5.685</v>
      </c>
      <c r="P35" s="230">
        <f>SUM(O35)*G42</f>
        <v>38636.226449999995</v>
      </c>
      <c r="Q35" s="231">
        <f t="shared" si="3"/>
        <v>22.74</v>
      </c>
      <c r="R35" s="230">
        <f t="shared" si="3"/>
        <v>150725.38169999997</v>
      </c>
      <c r="S35" s="94"/>
      <c r="T35" s="96"/>
      <c r="U35" s="96"/>
      <c r="V35" s="95"/>
    </row>
    <row r="36" spans="1:22" s="97" customFormat="1" ht="34.5" customHeight="1">
      <c r="A36" s="34">
        <v>8</v>
      </c>
      <c r="B36" s="371" t="s">
        <v>96</v>
      </c>
      <c r="C36" s="372"/>
      <c r="D36" s="373"/>
      <c r="E36" s="98"/>
      <c r="F36" s="237">
        <f>SUM(F37:F38)</f>
        <v>98.8</v>
      </c>
      <c r="G36" s="227">
        <f aca="true" t="shared" si="5" ref="G36:P36">SUM(G37:G38)</f>
        <v>638271.712</v>
      </c>
      <c r="H36" s="93">
        <f t="shared" si="5"/>
        <v>0</v>
      </c>
      <c r="I36" s="240">
        <f t="shared" si="5"/>
        <v>28.6</v>
      </c>
      <c r="J36" s="227">
        <f t="shared" si="5"/>
        <v>184762.864</v>
      </c>
      <c r="K36" s="93">
        <f t="shared" si="5"/>
        <v>0</v>
      </c>
      <c r="L36" s="240">
        <f t="shared" si="5"/>
        <v>8.299999999999999</v>
      </c>
      <c r="M36" s="227">
        <f t="shared" si="5"/>
        <v>56408.211</v>
      </c>
      <c r="N36" s="93">
        <f t="shared" si="5"/>
        <v>0</v>
      </c>
      <c r="O36" s="240">
        <f t="shared" si="5"/>
        <v>83.39999999999999</v>
      </c>
      <c r="P36" s="227">
        <f t="shared" si="5"/>
        <v>566800.578</v>
      </c>
      <c r="Q36" s="93">
        <f t="shared" si="3"/>
        <v>219.10000000000002</v>
      </c>
      <c r="R36" s="227">
        <f t="shared" si="3"/>
        <v>1446243.3650000002</v>
      </c>
      <c r="S36" s="94"/>
      <c r="T36" s="96"/>
      <c r="U36" s="96"/>
      <c r="V36" s="95"/>
    </row>
    <row r="37" spans="1:22" s="97" customFormat="1" ht="34.5" customHeight="1">
      <c r="A37" s="34"/>
      <c r="B37" s="360" t="s">
        <v>97</v>
      </c>
      <c r="C37" s="441"/>
      <c r="D37" s="442"/>
      <c r="E37" s="98"/>
      <c r="F37" s="263">
        <v>3.6</v>
      </c>
      <c r="G37" s="251">
        <f>SUM(F37)*F42</f>
        <v>23256.864</v>
      </c>
      <c r="H37" s="252"/>
      <c r="I37" s="260">
        <v>1.3</v>
      </c>
      <c r="J37" s="251">
        <f>SUM(I37)*F42</f>
        <v>8398.312</v>
      </c>
      <c r="K37" s="252"/>
      <c r="L37" s="260">
        <v>0.28</v>
      </c>
      <c r="M37" s="251">
        <f>SUM(L37)*G42</f>
        <v>1902.9276000000002</v>
      </c>
      <c r="N37" s="252"/>
      <c r="O37" s="260">
        <v>3.1</v>
      </c>
      <c r="P37" s="251">
        <f>SUM(O37)*G42</f>
        <v>21068.127</v>
      </c>
      <c r="Q37" s="252">
        <f t="shared" si="3"/>
        <v>8.280000000000001</v>
      </c>
      <c r="R37" s="251">
        <f>SUM(G37)+J37+M37+P37</f>
        <v>54626.2306</v>
      </c>
      <c r="S37" s="94"/>
      <c r="T37" s="96"/>
      <c r="U37" s="96"/>
      <c r="V37" s="95"/>
    </row>
    <row r="38" spans="1:22" s="97" customFormat="1" ht="34.5" customHeight="1">
      <c r="A38" s="34"/>
      <c r="B38" s="360" t="s">
        <v>98</v>
      </c>
      <c r="C38" s="441"/>
      <c r="D38" s="442"/>
      <c r="E38" s="98"/>
      <c r="F38" s="263">
        <v>95.2</v>
      </c>
      <c r="G38" s="251">
        <f>SUM(F38)*F42</f>
        <v>615014.848</v>
      </c>
      <c r="H38" s="252"/>
      <c r="I38" s="260">
        <v>27.3</v>
      </c>
      <c r="J38" s="251">
        <f>SUM(I38)*F42</f>
        <v>176364.552</v>
      </c>
      <c r="K38" s="252"/>
      <c r="L38" s="260">
        <v>8.02</v>
      </c>
      <c r="M38" s="251">
        <f>SUM(L38)*G42</f>
        <v>54505.2834</v>
      </c>
      <c r="N38" s="252"/>
      <c r="O38" s="260">
        <v>80.3</v>
      </c>
      <c r="P38" s="251">
        <f>SUM(O38)*G42</f>
        <v>545732.451</v>
      </c>
      <c r="Q38" s="252">
        <f t="shared" si="3"/>
        <v>210.82</v>
      </c>
      <c r="R38" s="251">
        <f>SUM(G38)+J38+M38+P38</f>
        <v>1391617.1343999999</v>
      </c>
      <c r="S38" s="94"/>
      <c r="T38" s="96"/>
      <c r="U38" s="96"/>
      <c r="V38" s="95"/>
    </row>
    <row r="39" spans="1:22" ht="36.75" customHeight="1">
      <c r="A39" s="18"/>
      <c r="B39" s="526" t="s">
        <v>19</v>
      </c>
      <c r="C39" s="527"/>
      <c r="D39" s="528"/>
      <c r="E39" s="14" t="e">
        <f>E11+#REF!+#REF!+E13+E14+E15+E16+E17+E18+E28+#REF!+#REF!+#REF!</f>
        <v>#REF!</v>
      </c>
      <c r="F39" s="241">
        <f aca="true" t="shared" si="6" ref="F39:Q39">F11+F12+F19+F20+F24+F29+F33+F36</f>
        <v>4918.468</v>
      </c>
      <c r="G39" s="242">
        <f t="shared" si="6"/>
        <v>31774483.71232</v>
      </c>
      <c r="H39" s="59">
        <f t="shared" si="6"/>
        <v>7.9</v>
      </c>
      <c r="I39" s="241">
        <f t="shared" si="6"/>
        <v>1847.152</v>
      </c>
      <c r="J39" s="242">
        <f t="shared" si="6"/>
        <v>11933045.236480001</v>
      </c>
      <c r="K39" s="59">
        <f t="shared" si="6"/>
        <v>2.9</v>
      </c>
      <c r="L39" s="241">
        <f t="shared" si="6"/>
        <v>678.501</v>
      </c>
      <c r="M39" s="242">
        <f t="shared" si="6"/>
        <v>4611208.141170001</v>
      </c>
      <c r="N39" s="59">
        <f t="shared" si="6"/>
        <v>20.6</v>
      </c>
      <c r="O39" s="241">
        <f t="shared" si="6"/>
        <v>4119.464999999999</v>
      </c>
      <c r="P39" s="242">
        <f t="shared" si="6"/>
        <v>27996584.449050006</v>
      </c>
      <c r="Q39" s="59">
        <f t="shared" si="6"/>
        <v>11563.586000000001</v>
      </c>
      <c r="R39" s="242">
        <f>R11+R12+R19+R20+R24+R29+R33+R36</f>
        <v>76315321.53901999</v>
      </c>
      <c r="S39" s="69"/>
      <c r="T39" s="19"/>
      <c r="U39" s="12"/>
      <c r="V39" s="12"/>
    </row>
    <row r="40" spans="1:22" ht="33" customHeight="1">
      <c r="A40" s="20"/>
      <c r="B40" s="521" t="s">
        <v>8</v>
      </c>
      <c r="C40" s="522"/>
      <c r="D40" s="523"/>
      <c r="E40" s="396" t="s">
        <v>109</v>
      </c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8"/>
      <c r="T40" s="12"/>
      <c r="U40" s="12"/>
      <c r="V40" s="12"/>
    </row>
    <row r="41" spans="1:18" s="12" customFormat="1" ht="15.75" customHeight="1">
      <c r="A41" s="166"/>
      <c r="B41" s="167"/>
      <c r="C41" s="167"/>
      <c r="D41" s="216"/>
      <c r="E41" s="194"/>
      <c r="F41" s="194"/>
      <c r="G41" s="194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</row>
    <row r="42" spans="1:18" s="12" customFormat="1" ht="28.5" customHeight="1">
      <c r="A42" s="168"/>
      <c r="B42" s="4"/>
      <c r="C42" s="4"/>
      <c r="D42" s="217"/>
      <c r="E42" s="179" t="s">
        <v>11</v>
      </c>
      <c r="F42" s="178">
        <v>6460.24</v>
      </c>
      <c r="G42" s="179">
        <v>6796.17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22" ht="31.5" customHeight="1">
      <c r="A43" s="405" t="s">
        <v>110</v>
      </c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5"/>
      <c r="N43" s="405"/>
      <c r="O43" s="405"/>
      <c r="P43" s="405"/>
      <c r="Q43" s="405"/>
      <c r="R43" s="405"/>
      <c r="T43" s="12"/>
      <c r="U43" s="12"/>
      <c r="V43" s="12"/>
    </row>
    <row r="44" spans="1:22" ht="27.75" customHeight="1">
      <c r="A44" s="449" t="s">
        <v>15</v>
      </c>
      <c r="B44" s="450" t="s">
        <v>0</v>
      </c>
      <c r="C44" s="451"/>
      <c r="D44" s="452"/>
      <c r="E44" s="377" t="s">
        <v>1</v>
      </c>
      <c r="F44" s="377"/>
      <c r="G44" s="377"/>
      <c r="H44" s="377" t="s">
        <v>3</v>
      </c>
      <c r="I44" s="377"/>
      <c r="J44" s="377"/>
      <c r="K44" s="377" t="s">
        <v>4</v>
      </c>
      <c r="L44" s="377"/>
      <c r="M44" s="377"/>
      <c r="N44" s="377" t="s">
        <v>6</v>
      </c>
      <c r="O44" s="377"/>
      <c r="P44" s="377"/>
      <c r="Q44" s="377" t="s">
        <v>7</v>
      </c>
      <c r="R44" s="377"/>
      <c r="T44" s="12"/>
      <c r="U44" s="12"/>
      <c r="V44" s="12"/>
    </row>
    <row r="45" spans="1:22" ht="30" customHeight="1">
      <c r="A45" s="449"/>
      <c r="B45" s="453"/>
      <c r="C45" s="454"/>
      <c r="D45" s="455"/>
      <c r="E45" s="125"/>
      <c r="F45" s="125" t="s">
        <v>9</v>
      </c>
      <c r="G45" s="109" t="s">
        <v>5</v>
      </c>
      <c r="H45" s="125" t="s">
        <v>9</v>
      </c>
      <c r="I45" s="125" t="s">
        <v>9</v>
      </c>
      <c r="J45" s="109" t="s">
        <v>5</v>
      </c>
      <c r="K45" s="125" t="s">
        <v>9</v>
      </c>
      <c r="L45" s="125" t="s">
        <v>9</v>
      </c>
      <c r="M45" s="109" t="s">
        <v>5</v>
      </c>
      <c r="N45" s="125" t="s">
        <v>9</v>
      </c>
      <c r="O45" s="125" t="s">
        <v>9</v>
      </c>
      <c r="P45" s="109" t="s">
        <v>5</v>
      </c>
      <c r="Q45" s="125" t="s">
        <v>9</v>
      </c>
      <c r="R45" s="109" t="s">
        <v>5</v>
      </c>
      <c r="T45" s="12"/>
      <c r="U45" s="12"/>
      <c r="V45" s="12"/>
    </row>
    <row r="46" spans="1:22" s="97" customFormat="1" ht="30" customHeight="1">
      <c r="A46" s="102">
        <v>1</v>
      </c>
      <c r="B46" s="436" t="s">
        <v>33</v>
      </c>
      <c r="C46" s="437"/>
      <c r="D46" s="438"/>
      <c r="E46" s="103">
        <v>1800</v>
      </c>
      <c r="F46" s="243">
        <v>1750</v>
      </c>
      <c r="G46" s="227">
        <f>F46*F75</f>
        <v>10482.5</v>
      </c>
      <c r="H46" s="227">
        <v>1200</v>
      </c>
      <c r="I46" s="243">
        <v>1750</v>
      </c>
      <c r="J46" s="227">
        <f>I46*F75</f>
        <v>10482.5</v>
      </c>
      <c r="K46" s="227">
        <v>1500</v>
      </c>
      <c r="L46" s="243">
        <v>1750</v>
      </c>
      <c r="M46" s="227">
        <f>L46*G75</f>
        <v>11025</v>
      </c>
      <c r="N46" s="227">
        <v>1500</v>
      </c>
      <c r="O46" s="243">
        <v>1751.1</v>
      </c>
      <c r="P46" s="227">
        <f>O46*G75</f>
        <v>11031.929999999998</v>
      </c>
      <c r="Q46" s="227">
        <f>F46+I46+L46+O46</f>
        <v>7001.1</v>
      </c>
      <c r="R46" s="227">
        <f>G46+J46+M46+P46</f>
        <v>43021.93</v>
      </c>
      <c r="S46" s="94"/>
      <c r="T46" s="95"/>
      <c r="U46" s="96"/>
      <c r="V46" s="95"/>
    </row>
    <row r="47" spans="1:22" s="97" customFormat="1" ht="30" customHeight="1">
      <c r="A47" s="104">
        <v>2</v>
      </c>
      <c r="B47" s="371" t="s">
        <v>41</v>
      </c>
      <c r="C47" s="372"/>
      <c r="D47" s="373"/>
      <c r="E47" s="103"/>
      <c r="F47" s="243">
        <f>F48+F49+F50+F51+F52+F53</f>
        <v>133250</v>
      </c>
      <c r="G47" s="227">
        <f>G48+G49+G50+G51+G52+G53</f>
        <v>798167.5</v>
      </c>
      <c r="H47" s="227"/>
      <c r="I47" s="243">
        <f>I48+I49+I50+I51+I52+I53</f>
        <v>113820</v>
      </c>
      <c r="J47" s="227">
        <f>J48+J49+J50+J51+J52+J53</f>
        <v>681781.8</v>
      </c>
      <c r="K47" s="227"/>
      <c r="L47" s="243">
        <f>L48+L49+L50+L51+L52+L53</f>
        <v>113149</v>
      </c>
      <c r="M47" s="227">
        <f>M48+M49+M50+M51+M52+M53</f>
        <v>712838.7</v>
      </c>
      <c r="N47" s="227"/>
      <c r="O47" s="243">
        <f>O48+O49+O50+O51+O52+O53</f>
        <v>198010</v>
      </c>
      <c r="P47" s="227">
        <f>P48+P49+P50+P51+P52+P53</f>
        <v>1247463</v>
      </c>
      <c r="Q47" s="227">
        <f>Q48+Q49+Q50+Q51+Q52+Q53</f>
        <v>558229</v>
      </c>
      <c r="R47" s="227">
        <f>R48+R49+R50+R51+R52+R53</f>
        <v>3440251</v>
      </c>
      <c r="S47" s="94"/>
      <c r="T47" s="95"/>
      <c r="U47" s="96"/>
      <c r="V47" s="95"/>
    </row>
    <row r="48" spans="1:21" s="17" customFormat="1" ht="40.5" customHeight="1">
      <c r="A48" s="32"/>
      <c r="B48" s="374" t="s">
        <v>34</v>
      </c>
      <c r="C48" s="375"/>
      <c r="D48" s="376"/>
      <c r="E48" s="14">
        <v>53000</v>
      </c>
      <c r="F48" s="232">
        <v>40000</v>
      </c>
      <c r="G48" s="230">
        <f>F48*F75</f>
        <v>239600</v>
      </c>
      <c r="H48" s="231">
        <v>36000</v>
      </c>
      <c r="I48" s="232">
        <v>30000</v>
      </c>
      <c r="J48" s="230">
        <f>I48*F75</f>
        <v>179700</v>
      </c>
      <c r="K48" s="231">
        <v>24000</v>
      </c>
      <c r="L48" s="232">
        <v>26600</v>
      </c>
      <c r="M48" s="230">
        <f>L48*G75</f>
        <v>167580</v>
      </c>
      <c r="N48" s="231">
        <v>50000</v>
      </c>
      <c r="O48" s="232">
        <v>64000</v>
      </c>
      <c r="P48" s="230">
        <f>O48*G75</f>
        <v>403200</v>
      </c>
      <c r="Q48" s="231">
        <f aca="true" t="shared" si="7" ref="Q48:R54">F48+I48+L48+O48</f>
        <v>160600</v>
      </c>
      <c r="R48" s="230">
        <f t="shared" si="7"/>
        <v>990080</v>
      </c>
      <c r="S48" s="67" t="s">
        <v>82</v>
      </c>
      <c r="U48" s="16"/>
    </row>
    <row r="49" spans="1:22" ht="42.75" customHeight="1">
      <c r="A49" s="29"/>
      <c r="B49" s="399" t="s">
        <v>35</v>
      </c>
      <c r="C49" s="400"/>
      <c r="D49" s="401"/>
      <c r="E49" s="30">
        <v>27000</v>
      </c>
      <c r="F49" s="244">
        <v>23250</v>
      </c>
      <c r="G49" s="230">
        <f>F49*F75</f>
        <v>139267.5</v>
      </c>
      <c r="H49" s="230">
        <v>17000</v>
      </c>
      <c r="I49" s="244">
        <v>17820</v>
      </c>
      <c r="J49" s="230">
        <f>I49*F75</f>
        <v>106741.8</v>
      </c>
      <c r="K49" s="230">
        <v>19000</v>
      </c>
      <c r="L49" s="244">
        <v>18549</v>
      </c>
      <c r="M49" s="230">
        <f>L49*G75</f>
        <v>116858.7</v>
      </c>
      <c r="N49" s="230">
        <v>41000</v>
      </c>
      <c r="O49" s="244">
        <v>35010</v>
      </c>
      <c r="P49" s="230">
        <f>O49*G75</f>
        <v>220563</v>
      </c>
      <c r="Q49" s="230">
        <f t="shared" si="7"/>
        <v>94629</v>
      </c>
      <c r="R49" s="230">
        <f t="shared" si="7"/>
        <v>583431</v>
      </c>
      <c r="S49" s="67"/>
      <c r="T49" s="12"/>
      <c r="U49" s="11"/>
      <c r="V49" s="12"/>
    </row>
    <row r="50" spans="1:22" ht="41.25" customHeight="1">
      <c r="A50" s="32"/>
      <c r="B50" s="374" t="s">
        <v>36</v>
      </c>
      <c r="C50" s="375"/>
      <c r="D50" s="376"/>
      <c r="E50" s="14">
        <v>70000</v>
      </c>
      <c r="F50" s="232">
        <v>20000</v>
      </c>
      <c r="G50" s="230">
        <f>F50*F75</f>
        <v>119800</v>
      </c>
      <c r="H50" s="231">
        <v>55000</v>
      </c>
      <c r="I50" s="232">
        <v>20000</v>
      </c>
      <c r="J50" s="230">
        <f>I50*F75</f>
        <v>119800</v>
      </c>
      <c r="K50" s="231">
        <v>45000</v>
      </c>
      <c r="L50" s="232">
        <v>20000</v>
      </c>
      <c r="M50" s="230">
        <f>L50*G75</f>
        <v>126000</v>
      </c>
      <c r="N50" s="231">
        <v>70000</v>
      </c>
      <c r="O50" s="232">
        <v>30000</v>
      </c>
      <c r="P50" s="230">
        <f>O50*G75</f>
        <v>189000</v>
      </c>
      <c r="Q50" s="231">
        <f t="shared" si="7"/>
        <v>90000</v>
      </c>
      <c r="R50" s="230">
        <f t="shared" si="7"/>
        <v>554600</v>
      </c>
      <c r="S50" s="67" t="s">
        <v>82</v>
      </c>
      <c r="T50" s="12"/>
      <c r="U50" s="11"/>
      <c r="V50" s="12"/>
    </row>
    <row r="51" spans="1:22" ht="42.75" customHeight="1">
      <c r="A51" s="34"/>
      <c r="B51" s="370" t="s">
        <v>37</v>
      </c>
      <c r="C51" s="370"/>
      <c r="D51" s="370"/>
      <c r="E51" s="8">
        <v>17000</v>
      </c>
      <c r="F51" s="232">
        <v>20000</v>
      </c>
      <c r="G51" s="230">
        <f>F51*F75</f>
        <v>119800</v>
      </c>
      <c r="H51" s="231">
        <v>14000</v>
      </c>
      <c r="I51" s="232">
        <v>17000</v>
      </c>
      <c r="J51" s="230">
        <f>I51*F75</f>
        <v>101830</v>
      </c>
      <c r="K51" s="231">
        <v>13000</v>
      </c>
      <c r="L51" s="232">
        <v>16000</v>
      </c>
      <c r="M51" s="230">
        <f>L51*G75</f>
        <v>100800</v>
      </c>
      <c r="N51" s="231">
        <v>24000</v>
      </c>
      <c r="O51" s="232">
        <v>26000</v>
      </c>
      <c r="P51" s="230">
        <f>O51*G75</f>
        <v>163800</v>
      </c>
      <c r="Q51" s="231">
        <f t="shared" si="7"/>
        <v>79000</v>
      </c>
      <c r="R51" s="230">
        <f t="shared" si="7"/>
        <v>486230</v>
      </c>
      <c r="S51" s="67" t="s">
        <v>82</v>
      </c>
      <c r="T51" s="12"/>
      <c r="U51" s="11"/>
      <c r="V51" s="12"/>
    </row>
    <row r="52" spans="1:22" ht="41.25" customHeight="1">
      <c r="A52" s="34"/>
      <c r="B52" s="370" t="s">
        <v>38</v>
      </c>
      <c r="C52" s="370"/>
      <c r="D52" s="370"/>
      <c r="E52" s="8">
        <v>31000</v>
      </c>
      <c r="F52" s="232">
        <v>24000</v>
      </c>
      <c r="G52" s="230">
        <f>F52*F75</f>
        <v>143760</v>
      </c>
      <c r="H52" s="231">
        <v>27000</v>
      </c>
      <c r="I52" s="232">
        <v>23000</v>
      </c>
      <c r="J52" s="230">
        <f>I52*F75</f>
        <v>137770</v>
      </c>
      <c r="K52" s="231">
        <v>58000</v>
      </c>
      <c r="L52" s="232">
        <v>26000</v>
      </c>
      <c r="M52" s="230">
        <f>L52*G75</f>
        <v>163800</v>
      </c>
      <c r="N52" s="231">
        <v>44000</v>
      </c>
      <c r="O52" s="232">
        <v>37000</v>
      </c>
      <c r="P52" s="230">
        <f>O52*G75</f>
        <v>233100</v>
      </c>
      <c r="Q52" s="231">
        <f t="shared" si="7"/>
        <v>110000</v>
      </c>
      <c r="R52" s="230">
        <f t="shared" si="7"/>
        <v>678430</v>
      </c>
      <c r="S52" s="67" t="s">
        <v>82</v>
      </c>
      <c r="T52" s="12"/>
      <c r="U52" s="11"/>
      <c r="V52" s="12"/>
    </row>
    <row r="53" spans="1:22" ht="59.25" customHeight="1">
      <c r="A53" s="34"/>
      <c r="B53" s="370" t="s">
        <v>39</v>
      </c>
      <c r="C53" s="370"/>
      <c r="D53" s="370"/>
      <c r="E53" s="8">
        <v>8000</v>
      </c>
      <c r="F53" s="232">
        <v>6000</v>
      </c>
      <c r="G53" s="230">
        <f>F53*F75</f>
        <v>35940</v>
      </c>
      <c r="H53" s="231">
        <v>12000</v>
      </c>
      <c r="I53" s="232">
        <v>6000</v>
      </c>
      <c r="J53" s="230">
        <f>I53*F75</f>
        <v>35940</v>
      </c>
      <c r="K53" s="231">
        <v>9000</v>
      </c>
      <c r="L53" s="232">
        <v>6000</v>
      </c>
      <c r="M53" s="230">
        <f>L53*G75</f>
        <v>37800</v>
      </c>
      <c r="N53" s="231">
        <v>15000</v>
      </c>
      <c r="O53" s="232">
        <v>6000</v>
      </c>
      <c r="P53" s="230">
        <f>O53*G75</f>
        <v>37800</v>
      </c>
      <c r="Q53" s="231">
        <f t="shared" si="7"/>
        <v>24000</v>
      </c>
      <c r="R53" s="230">
        <f t="shared" si="7"/>
        <v>147480</v>
      </c>
      <c r="S53" s="67" t="s">
        <v>82</v>
      </c>
      <c r="T53" s="12"/>
      <c r="U53" s="11"/>
      <c r="V53" s="12"/>
    </row>
    <row r="54" spans="1:22" s="97" customFormat="1" ht="27" customHeight="1">
      <c r="A54" s="104">
        <v>3</v>
      </c>
      <c r="B54" s="371" t="s">
        <v>42</v>
      </c>
      <c r="C54" s="372"/>
      <c r="D54" s="373"/>
      <c r="E54" s="91">
        <v>9000</v>
      </c>
      <c r="F54" s="228">
        <v>32644</v>
      </c>
      <c r="G54" s="227">
        <f>F54*F75</f>
        <v>195537.56</v>
      </c>
      <c r="H54" s="93"/>
      <c r="I54" s="228">
        <v>22964</v>
      </c>
      <c r="J54" s="227">
        <f>I54*F75</f>
        <v>137554.36000000002</v>
      </c>
      <c r="K54" s="93"/>
      <c r="L54" s="228">
        <v>24392</v>
      </c>
      <c r="M54" s="227">
        <f>L54*G75</f>
        <v>153669.6</v>
      </c>
      <c r="N54" s="93"/>
      <c r="O54" s="228">
        <v>34672</v>
      </c>
      <c r="P54" s="227">
        <f>O54*G75</f>
        <v>218433.6</v>
      </c>
      <c r="Q54" s="93">
        <f t="shared" si="7"/>
        <v>114672</v>
      </c>
      <c r="R54" s="227">
        <f t="shared" si="7"/>
        <v>705195.12</v>
      </c>
      <c r="S54" s="94"/>
      <c r="T54" s="95"/>
      <c r="U54" s="96"/>
      <c r="V54" s="95"/>
    </row>
    <row r="55" spans="1:22" s="97" customFormat="1" ht="28.5" customHeight="1">
      <c r="A55" s="104">
        <v>4</v>
      </c>
      <c r="B55" s="371" t="s">
        <v>43</v>
      </c>
      <c r="C55" s="372"/>
      <c r="D55" s="373"/>
      <c r="E55" s="91">
        <v>20000</v>
      </c>
      <c r="F55" s="228">
        <f>F56+F57+F58</f>
        <v>48495.8</v>
      </c>
      <c r="G55" s="227">
        <f>G56+G57+G58</f>
        <v>290489.842</v>
      </c>
      <c r="H55" s="93"/>
      <c r="I55" s="228">
        <f>I56+I57+I58</f>
        <v>18430.3</v>
      </c>
      <c r="J55" s="227">
        <f>J56+J57+J58</f>
        <v>110397.49700000002</v>
      </c>
      <c r="K55" s="93"/>
      <c r="L55" s="228">
        <f>L56+L57+L58</f>
        <v>13436.5</v>
      </c>
      <c r="M55" s="227">
        <f>M56+M57+M58</f>
        <v>84649.95</v>
      </c>
      <c r="N55" s="93"/>
      <c r="O55" s="228">
        <f>O56+O57+O58</f>
        <v>58719.1</v>
      </c>
      <c r="P55" s="227">
        <f>P56+P57+P58</f>
        <v>369930.32999999996</v>
      </c>
      <c r="Q55" s="93">
        <f>Q56+Q57+Q58</f>
        <v>139081.7</v>
      </c>
      <c r="R55" s="227">
        <f>R56+R57+R58</f>
        <v>855467.619</v>
      </c>
      <c r="S55" s="94"/>
      <c r="T55" s="95"/>
      <c r="U55" s="96"/>
      <c r="V55" s="95"/>
    </row>
    <row r="56" spans="1:22" ht="40.5" customHeight="1">
      <c r="A56" s="34"/>
      <c r="B56" s="374" t="s">
        <v>44</v>
      </c>
      <c r="C56" s="375"/>
      <c r="D56" s="376"/>
      <c r="E56" s="8"/>
      <c r="F56" s="232">
        <v>5377.8</v>
      </c>
      <c r="G56" s="230">
        <f>F56*F75</f>
        <v>32213.022</v>
      </c>
      <c r="H56" s="231"/>
      <c r="I56" s="232">
        <v>4645.3</v>
      </c>
      <c r="J56" s="230">
        <f>I56*F75</f>
        <v>27825.347</v>
      </c>
      <c r="K56" s="231"/>
      <c r="L56" s="232">
        <v>4901.5</v>
      </c>
      <c r="M56" s="230">
        <f>L56*G75</f>
        <v>30879.45</v>
      </c>
      <c r="N56" s="231"/>
      <c r="O56" s="232">
        <v>5942.1</v>
      </c>
      <c r="P56" s="230">
        <f>O56*G75</f>
        <v>37435.23</v>
      </c>
      <c r="Q56" s="231">
        <f aca="true" t="shared" si="8" ref="Q56:R58">F56+I56+L56+O56</f>
        <v>20866.7</v>
      </c>
      <c r="R56" s="230">
        <f t="shared" si="8"/>
        <v>128353.049</v>
      </c>
      <c r="S56" s="67" t="s">
        <v>83</v>
      </c>
      <c r="T56" s="12"/>
      <c r="U56" s="11"/>
      <c r="V56" s="12"/>
    </row>
    <row r="57" spans="1:22" ht="39" customHeight="1">
      <c r="A57" s="34"/>
      <c r="B57" s="374" t="s">
        <v>58</v>
      </c>
      <c r="C57" s="375"/>
      <c r="D57" s="376"/>
      <c r="E57" s="8">
        <v>29400</v>
      </c>
      <c r="F57" s="232">
        <v>36914</v>
      </c>
      <c r="G57" s="230">
        <f>F57*F75</f>
        <v>221114.86000000002</v>
      </c>
      <c r="H57" s="231"/>
      <c r="I57" s="232">
        <v>11449</v>
      </c>
      <c r="J57" s="230">
        <f>I57*F75</f>
        <v>68579.51000000001</v>
      </c>
      <c r="K57" s="231"/>
      <c r="L57" s="232">
        <v>5138</v>
      </c>
      <c r="M57" s="230">
        <f>L57*G75</f>
        <v>32369.399999999998</v>
      </c>
      <c r="N57" s="231"/>
      <c r="O57" s="232">
        <v>46542</v>
      </c>
      <c r="P57" s="230">
        <f>O57*G75</f>
        <v>293214.6</v>
      </c>
      <c r="Q57" s="231">
        <f t="shared" si="8"/>
        <v>100043</v>
      </c>
      <c r="R57" s="230">
        <f t="shared" si="8"/>
        <v>615278.37</v>
      </c>
      <c r="S57" s="67"/>
      <c r="T57" s="12"/>
      <c r="U57" s="11"/>
      <c r="V57" s="12"/>
    </row>
    <row r="58" spans="1:22" ht="36" customHeight="1">
      <c r="A58" s="34"/>
      <c r="B58" s="374" t="s">
        <v>59</v>
      </c>
      <c r="C58" s="375"/>
      <c r="D58" s="376"/>
      <c r="E58" s="8"/>
      <c r="F58" s="232">
        <v>6204</v>
      </c>
      <c r="G58" s="230">
        <f>F58*F75</f>
        <v>37161.96</v>
      </c>
      <c r="H58" s="231"/>
      <c r="I58" s="232">
        <v>2336</v>
      </c>
      <c r="J58" s="230">
        <f>I58*F75</f>
        <v>13992.640000000001</v>
      </c>
      <c r="K58" s="231"/>
      <c r="L58" s="232">
        <v>3397</v>
      </c>
      <c r="M58" s="230">
        <f>L58*G75</f>
        <v>21401.1</v>
      </c>
      <c r="N58" s="231"/>
      <c r="O58" s="232">
        <v>6235</v>
      </c>
      <c r="P58" s="230">
        <f>O58*G75</f>
        <v>39280.5</v>
      </c>
      <c r="Q58" s="231">
        <f t="shared" si="8"/>
        <v>18172</v>
      </c>
      <c r="R58" s="230">
        <f t="shared" si="8"/>
        <v>111836.2</v>
      </c>
      <c r="S58" s="67"/>
      <c r="T58" s="12"/>
      <c r="U58" s="11"/>
      <c r="V58" s="12"/>
    </row>
    <row r="59" spans="1:22" s="97" customFormat="1" ht="27" customHeight="1">
      <c r="A59" s="104">
        <v>5</v>
      </c>
      <c r="B59" s="371" t="s">
        <v>47</v>
      </c>
      <c r="C59" s="372"/>
      <c r="D59" s="373"/>
      <c r="E59" s="98"/>
      <c r="F59" s="228">
        <f>F60+F61+F62+F63</f>
        <v>27639</v>
      </c>
      <c r="G59" s="227">
        <f>G60+G61+G62+G63</f>
        <v>165557.61000000002</v>
      </c>
      <c r="H59" s="93"/>
      <c r="I59" s="228">
        <f>I60+I61+I62+I63</f>
        <v>24645</v>
      </c>
      <c r="J59" s="227">
        <f>J60+J61+J62+J63</f>
        <v>147623.55000000002</v>
      </c>
      <c r="K59" s="93"/>
      <c r="L59" s="228">
        <f>L60+L61+L62+L63</f>
        <v>26938</v>
      </c>
      <c r="M59" s="227">
        <f>M60+M61+M62+M63</f>
        <v>169709.40000000002</v>
      </c>
      <c r="N59" s="93"/>
      <c r="O59" s="228">
        <f>O60+O61+O62+O63</f>
        <v>29247</v>
      </c>
      <c r="P59" s="227">
        <f>P60+P61+P62+P63</f>
        <v>184256.09999999998</v>
      </c>
      <c r="Q59" s="93">
        <f>Q60+Q61+Q62+Q63</f>
        <v>108469</v>
      </c>
      <c r="R59" s="227">
        <f>R60+R61+R62++R63</f>
        <v>667146.66</v>
      </c>
      <c r="S59" s="94"/>
      <c r="T59" s="95"/>
      <c r="U59" s="96"/>
      <c r="V59" s="95"/>
    </row>
    <row r="60" spans="1:22" ht="34.5" customHeight="1">
      <c r="A60" s="34"/>
      <c r="B60" s="374" t="s">
        <v>95</v>
      </c>
      <c r="C60" s="375"/>
      <c r="D60" s="376"/>
      <c r="E60" s="8"/>
      <c r="F60" s="232">
        <v>3193</v>
      </c>
      <c r="G60" s="245">
        <f>F60*F75</f>
        <v>19126.07</v>
      </c>
      <c r="H60" s="231"/>
      <c r="I60" s="232">
        <v>2815</v>
      </c>
      <c r="J60" s="230">
        <f>I60*F75</f>
        <v>16861.850000000002</v>
      </c>
      <c r="K60" s="231"/>
      <c r="L60" s="232">
        <v>2814</v>
      </c>
      <c r="M60" s="230">
        <f>L60*G75</f>
        <v>17728.2</v>
      </c>
      <c r="N60" s="231"/>
      <c r="O60" s="232">
        <v>2588</v>
      </c>
      <c r="P60" s="230">
        <f>O60*G75</f>
        <v>16304.4</v>
      </c>
      <c r="Q60" s="231">
        <f aca="true" t="shared" si="9" ref="Q60:R63">F60+I60+L60+O60</f>
        <v>11410</v>
      </c>
      <c r="R60" s="230">
        <f t="shared" si="9"/>
        <v>70020.51999999999</v>
      </c>
      <c r="S60" s="67"/>
      <c r="T60" s="12"/>
      <c r="U60" s="11"/>
      <c r="V60" s="12"/>
    </row>
    <row r="61" spans="1:22" ht="31.5" customHeight="1">
      <c r="A61" s="34"/>
      <c r="B61" s="374" t="s">
        <v>49</v>
      </c>
      <c r="C61" s="375"/>
      <c r="D61" s="376"/>
      <c r="E61" s="8"/>
      <c r="F61" s="232">
        <v>13050</v>
      </c>
      <c r="G61" s="230">
        <f>F61*F75</f>
        <v>78169.5</v>
      </c>
      <c r="H61" s="231"/>
      <c r="I61" s="232">
        <v>13050</v>
      </c>
      <c r="J61" s="230">
        <f>I61*F75</f>
        <v>78169.5</v>
      </c>
      <c r="K61" s="231"/>
      <c r="L61" s="232">
        <v>12950</v>
      </c>
      <c r="M61" s="230">
        <f>L61*G75</f>
        <v>81585</v>
      </c>
      <c r="N61" s="231"/>
      <c r="O61" s="232">
        <v>13682.38</v>
      </c>
      <c r="P61" s="230">
        <f>O61*G75</f>
        <v>86198.99399999999</v>
      </c>
      <c r="Q61" s="231">
        <f t="shared" si="9"/>
        <v>52732.38</v>
      </c>
      <c r="R61" s="230">
        <f t="shared" si="9"/>
        <v>324122.994</v>
      </c>
      <c r="S61" s="67"/>
      <c r="T61" s="12"/>
      <c r="U61" s="11"/>
      <c r="V61" s="12"/>
    </row>
    <row r="62" spans="1:22" ht="34.5" customHeight="1">
      <c r="A62" s="34"/>
      <c r="B62" s="374" t="s">
        <v>50</v>
      </c>
      <c r="C62" s="375"/>
      <c r="D62" s="376"/>
      <c r="E62" s="8"/>
      <c r="F62" s="232">
        <v>8118</v>
      </c>
      <c r="G62" s="230">
        <f>F62*F75</f>
        <v>48626.82</v>
      </c>
      <c r="H62" s="231"/>
      <c r="I62" s="232">
        <v>7069</v>
      </c>
      <c r="J62" s="230">
        <f>I62*F75</f>
        <v>42343.310000000005</v>
      </c>
      <c r="K62" s="231"/>
      <c r="L62" s="232">
        <v>8715</v>
      </c>
      <c r="M62" s="230">
        <f>L62*G75</f>
        <v>54904.5</v>
      </c>
      <c r="N62" s="231"/>
      <c r="O62" s="232">
        <v>9280.62</v>
      </c>
      <c r="P62" s="230">
        <f>O62*G75</f>
        <v>58467.906</v>
      </c>
      <c r="Q62" s="231">
        <f t="shared" si="9"/>
        <v>33182.62</v>
      </c>
      <c r="R62" s="230">
        <f t="shared" si="9"/>
        <v>204342.53600000002</v>
      </c>
      <c r="S62" s="67"/>
      <c r="T62" s="12"/>
      <c r="U62" s="11"/>
      <c r="V62" s="12"/>
    </row>
    <row r="63" spans="1:22" ht="33" customHeight="1">
      <c r="A63" s="34"/>
      <c r="B63" s="370" t="s">
        <v>40</v>
      </c>
      <c r="C63" s="370"/>
      <c r="D63" s="370"/>
      <c r="E63" s="8"/>
      <c r="F63" s="232">
        <v>3278</v>
      </c>
      <c r="G63" s="230">
        <f>F63*F75</f>
        <v>19635.22</v>
      </c>
      <c r="H63" s="231"/>
      <c r="I63" s="232">
        <v>1711</v>
      </c>
      <c r="J63" s="230">
        <f>I63*F75</f>
        <v>10248.890000000001</v>
      </c>
      <c r="K63" s="231"/>
      <c r="L63" s="232">
        <v>2459</v>
      </c>
      <c r="M63" s="230">
        <f>L63*G75</f>
        <v>15491.699999999999</v>
      </c>
      <c r="N63" s="231"/>
      <c r="O63" s="232">
        <v>3696</v>
      </c>
      <c r="P63" s="230">
        <f>O63*G75</f>
        <v>23284.8</v>
      </c>
      <c r="Q63" s="231">
        <f t="shared" si="9"/>
        <v>11144</v>
      </c>
      <c r="R63" s="230">
        <f t="shared" si="9"/>
        <v>68660.61</v>
      </c>
      <c r="S63" s="67"/>
      <c r="T63" s="12"/>
      <c r="U63" s="11"/>
      <c r="V63" s="12"/>
    </row>
    <row r="64" spans="1:22" s="97" customFormat="1" ht="27" customHeight="1">
      <c r="A64" s="104">
        <v>6</v>
      </c>
      <c r="B64" s="371" t="s">
        <v>53</v>
      </c>
      <c r="C64" s="372"/>
      <c r="D64" s="373"/>
      <c r="E64" s="98"/>
      <c r="F64" s="228">
        <f>F65+F66+F67</f>
        <v>216845.17</v>
      </c>
      <c r="G64" s="227">
        <f>G65+G66+G67</f>
        <v>1298902.5683000002</v>
      </c>
      <c r="H64" s="93"/>
      <c r="I64" s="228">
        <f>I65+I66+I67</f>
        <v>195445.17</v>
      </c>
      <c r="J64" s="227">
        <f>J65+J66+J67</f>
        <v>1170716.5683000002</v>
      </c>
      <c r="K64" s="93"/>
      <c r="L64" s="228">
        <f>L65+L66+L67</f>
        <v>189645.17</v>
      </c>
      <c r="M64" s="227">
        <f>M65+M66+M67</f>
        <v>1194764.571</v>
      </c>
      <c r="N64" s="93"/>
      <c r="O64" s="228">
        <f>O65+O66+O67</f>
        <v>204645.17</v>
      </c>
      <c r="P64" s="227">
        <f>P65+P66+P67</f>
        <v>1289264.571</v>
      </c>
      <c r="Q64" s="93">
        <f>Q65+Q66+Q67</f>
        <v>806580.68</v>
      </c>
      <c r="R64" s="227">
        <f>R65+R66+R67</f>
        <v>4557661.82</v>
      </c>
      <c r="S64" s="94"/>
      <c r="T64" s="95"/>
      <c r="U64" s="96"/>
      <c r="V64" s="95"/>
    </row>
    <row r="65" spans="1:22" ht="33" customHeight="1">
      <c r="A65" s="34"/>
      <c r="B65" s="374" t="s">
        <v>73</v>
      </c>
      <c r="C65" s="375"/>
      <c r="D65" s="376"/>
      <c r="E65" s="8"/>
      <c r="F65" s="232">
        <v>5200</v>
      </c>
      <c r="G65" s="230">
        <f>F65*F75</f>
        <v>31148</v>
      </c>
      <c r="H65" s="231"/>
      <c r="I65" s="232">
        <v>4800</v>
      </c>
      <c r="J65" s="230">
        <f>I65*F75</f>
        <v>28752</v>
      </c>
      <c r="K65" s="231"/>
      <c r="L65" s="232">
        <v>4000</v>
      </c>
      <c r="M65" s="230">
        <f>L65*G75</f>
        <v>25200</v>
      </c>
      <c r="N65" s="231"/>
      <c r="O65" s="232">
        <v>6000</v>
      </c>
      <c r="P65" s="230">
        <f>O65*G75</f>
        <v>37800</v>
      </c>
      <c r="Q65" s="231">
        <f>F65+I65+L65+O65</f>
        <v>20000</v>
      </c>
      <c r="R65" s="230">
        <f>G65+J65+M65+P65</f>
        <v>122900</v>
      </c>
      <c r="S65" s="67" t="s">
        <v>82</v>
      </c>
      <c r="T65" s="12"/>
      <c r="U65" s="11"/>
      <c r="V65" s="12"/>
    </row>
    <row r="66" spans="1:22" ht="27" customHeight="1">
      <c r="A66" s="34"/>
      <c r="B66" s="374" t="s">
        <v>55</v>
      </c>
      <c r="C66" s="375"/>
      <c r="D66" s="376"/>
      <c r="E66" s="8"/>
      <c r="F66" s="232">
        <v>30000</v>
      </c>
      <c r="G66" s="230">
        <f>F66*F75</f>
        <v>179700</v>
      </c>
      <c r="H66" s="231"/>
      <c r="I66" s="232">
        <v>9000</v>
      </c>
      <c r="J66" s="230">
        <f>I66*F75</f>
        <v>53910</v>
      </c>
      <c r="K66" s="231"/>
      <c r="L66" s="232">
        <v>4000</v>
      </c>
      <c r="M66" s="230">
        <f>L66*G75</f>
        <v>25200</v>
      </c>
      <c r="N66" s="231"/>
      <c r="O66" s="232">
        <v>17000</v>
      </c>
      <c r="P66" s="230">
        <f>O66*G75</f>
        <v>107100</v>
      </c>
      <c r="Q66" s="231">
        <f>F66+I66+L66+O66</f>
        <v>60000</v>
      </c>
      <c r="R66" s="230">
        <f>G66+J66+M66+P66</f>
        <v>365910</v>
      </c>
      <c r="S66" s="67" t="s">
        <v>82</v>
      </c>
      <c r="T66" s="12"/>
      <c r="U66" s="11"/>
      <c r="V66" s="12"/>
    </row>
    <row r="67" spans="1:22" ht="34.5" customHeight="1">
      <c r="A67" s="34"/>
      <c r="B67" s="360" t="s">
        <v>91</v>
      </c>
      <c r="C67" s="441"/>
      <c r="D67" s="442"/>
      <c r="E67" s="8"/>
      <c r="F67" s="232">
        <v>181645.17</v>
      </c>
      <c r="G67" s="230">
        <f>SUM(F67)*F75</f>
        <v>1088054.5683000002</v>
      </c>
      <c r="H67" s="231"/>
      <c r="I67" s="232">
        <v>181645.17</v>
      </c>
      <c r="J67" s="230">
        <f>SUM(I67)*F75</f>
        <v>1088054.5683000002</v>
      </c>
      <c r="K67" s="231"/>
      <c r="L67" s="232">
        <v>181645.17</v>
      </c>
      <c r="M67" s="230">
        <f>SUM(L67)*G75</f>
        <v>1144364.571</v>
      </c>
      <c r="N67" s="231"/>
      <c r="O67" s="232">
        <v>181645.17</v>
      </c>
      <c r="P67" s="230">
        <f>SUM(O67)*G75</f>
        <v>1144364.571</v>
      </c>
      <c r="Q67" s="231">
        <f>F67+I67+L67+O67</f>
        <v>726580.68</v>
      </c>
      <c r="R67" s="230">
        <v>4068851.82</v>
      </c>
      <c r="S67" s="67"/>
      <c r="T67" s="12"/>
      <c r="U67" s="11"/>
      <c r="V67" s="12"/>
    </row>
    <row r="68" spans="1:22" ht="34.5" customHeight="1">
      <c r="A68" s="104">
        <v>7</v>
      </c>
      <c r="B68" s="371" t="s">
        <v>96</v>
      </c>
      <c r="C68" s="372"/>
      <c r="D68" s="373"/>
      <c r="E68" s="8"/>
      <c r="F68" s="296">
        <f>SUM(F69:F70)</f>
        <v>5703</v>
      </c>
      <c r="G68" s="299">
        <f aca="true" t="shared" si="10" ref="G68:R68">SUM(G69:G70)</f>
        <v>34160.97</v>
      </c>
      <c r="H68" s="295">
        <f t="shared" si="10"/>
        <v>0</v>
      </c>
      <c r="I68" s="296">
        <f t="shared" si="10"/>
        <v>5447</v>
      </c>
      <c r="J68" s="299">
        <f t="shared" si="10"/>
        <v>32627.530000000002</v>
      </c>
      <c r="K68" s="295">
        <f t="shared" si="10"/>
        <v>0</v>
      </c>
      <c r="L68" s="296">
        <f t="shared" si="10"/>
        <v>6414</v>
      </c>
      <c r="M68" s="299">
        <f t="shared" si="10"/>
        <v>40408.2</v>
      </c>
      <c r="N68" s="295">
        <f t="shared" si="10"/>
        <v>0</v>
      </c>
      <c r="O68" s="296">
        <f t="shared" si="10"/>
        <v>5543</v>
      </c>
      <c r="P68" s="299">
        <f t="shared" si="10"/>
        <v>34920.9</v>
      </c>
      <c r="Q68" s="295">
        <f t="shared" si="10"/>
        <v>23107</v>
      </c>
      <c r="R68" s="299">
        <f t="shared" si="10"/>
        <v>142117.6</v>
      </c>
      <c r="S68" s="67"/>
      <c r="T68" s="12"/>
      <c r="U68" s="11"/>
      <c r="V68" s="12"/>
    </row>
    <row r="69" spans="1:22" ht="34.5" customHeight="1">
      <c r="A69" s="34"/>
      <c r="B69" s="360" t="s">
        <v>97</v>
      </c>
      <c r="C69" s="441"/>
      <c r="D69" s="442"/>
      <c r="E69" s="8"/>
      <c r="F69" s="232">
        <v>0</v>
      </c>
      <c r="G69" s="230">
        <f>SUM(F69)*F75</f>
        <v>0</v>
      </c>
      <c r="H69" s="231"/>
      <c r="I69" s="232">
        <v>0</v>
      </c>
      <c r="J69" s="230">
        <f>SUM(I69)*F75</f>
        <v>0</v>
      </c>
      <c r="K69" s="231"/>
      <c r="L69" s="232">
        <v>0</v>
      </c>
      <c r="M69" s="230">
        <f>SUM(L69)*G75</f>
        <v>0</v>
      </c>
      <c r="N69" s="231"/>
      <c r="O69" s="232">
        <v>0</v>
      </c>
      <c r="P69" s="230">
        <f>SUM(O69)*G75</f>
        <v>0</v>
      </c>
      <c r="Q69" s="231">
        <f>F69+I69+L69+O69</f>
        <v>0</v>
      </c>
      <c r="R69" s="230">
        <f>SUM(G69)+J69+M69+P69</f>
        <v>0</v>
      </c>
      <c r="S69" s="67"/>
      <c r="T69" s="12"/>
      <c r="U69" s="11"/>
      <c r="V69" s="12"/>
    </row>
    <row r="70" spans="1:22" ht="34.5" customHeight="1">
      <c r="A70" s="34"/>
      <c r="B70" s="360" t="s">
        <v>98</v>
      </c>
      <c r="C70" s="441"/>
      <c r="D70" s="442"/>
      <c r="E70" s="8"/>
      <c r="F70" s="232">
        <v>5703</v>
      </c>
      <c r="G70" s="230">
        <f>SUM(F70)*F75</f>
        <v>34160.97</v>
      </c>
      <c r="H70" s="231"/>
      <c r="I70" s="232">
        <v>5447</v>
      </c>
      <c r="J70" s="230">
        <f>SUM(I70)*F75</f>
        <v>32627.530000000002</v>
      </c>
      <c r="K70" s="231"/>
      <c r="L70" s="232">
        <v>6414</v>
      </c>
      <c r="M70" s="230">
        <f>SUM(L70)*G75</f>
        <v>40408.2</v>
      </c>
      <c r="N70" s="231"/>
      <c r="O70" s="232">
        <v>5543</v>
      </c>
      <c r="P70" s="230">
        <f>SUM(O70)*G75</f>
        <v>34920.9</v>
      </c>
      <c r="Q70" s="231">
        <f>F70+I70+L70+O70</f>
        <v>23107</v>
      </c>
      <c r="R70" s="230">
        <f>G70+J70+M70+P70</f>
        <v>142117.6</v>
      </c>
      <c r="S70" s="67"/>
      <c r="T70" s="12"/>
      <c r="U70" s="11"/>
      <c r="V70" s="12"/>
    </row>
    <row r="71" spans="1:22" ht="34.5" customHeight="1">
      <c r="A71" s="354">
        <v>8</v>
      </c>
      <c r="B71" s="363" t="s">
        <v>56</v>
      </c>
      <c r="C71" s="533"/>
      <c r="D71" s="534"/>
      <c r="E71" s="98"/>
      <c r="F71" s="355">
        <f>F72</f>
        <v>600</v>
      </c>
      <c r="G71" s="356">
        <f aca="true" t="shared" si="11" ref="G71:R71">G72</f>
        <v>3594</v>
      </c>
      <c r="H71" s="357">
        <f t="shared" si="11"/>
        <v>0</v>
      </c>
      <c r="I71" s="355">
        <f t="shared" si="11"/>
        <v>600</v>
      </c>
      <c r="J71" s="356">
        <f t="shared" si="11"/>
        <v>3594</v>
      </c>
      <c r="K71" s="357">
        <f t="shared" si="11"/>
        <v>0</v>
      </c>
      <c r="L71" s="355">
        <f t="shared" si="11"/>
        <v>600</v>
      </c>
      <c r="M71" s="356">
        <f t="shared" si="11"/>
        <v>3780</v>
      </c>
      <c r="N71" s="357">
        <f t="shared" si="11"/>
        <v>0</v>
      </c>
      <c r="O71" s="355">
        <f t="shared" si="11"/>
        <v>600</v>
      </c>
      <c r="P71" s="356">
        <f t="shared" si="11"/>
        <v>3780</v>
      </c>
      <c r="Q71" s="357">
        <f t="shared" si="11"/>
        <v>2400</v>
      </c>
      <c r="R71" s="356">
        <f t="shared" si="11"/>
        <v>14748</v>
      </c>
      <c r="S71" s="67"/>
      <c r="T71" s="12"/>
      <c r="U71" s="11"/>
      <c r="V71" s="12"/>
    </row>
    <row r="72" spans="1:22" ht="34.5" customHeight="1">
      <c r="A72" s="34"/>
      <c r="B72" s="360" t="s">
        <v>101</v>
      </c>
      <c r="C72" s="361"/>
      <c r="D72" s="362"/>
      <c r="E72" s="8"/>
      <c r="F72" s="232">
        <v>600</v>
      </c>
      <c r="G72" s="230">
        <f>SUM(F72)*F75</f>
        <v>3594</v>
      </c>
      <c r="H72" s="231"/>
      <c r="I72" s="232">
        <v>600</v>
      </c>
      <c r="J72" s="230">
        <f>SUM(I72)*F75</f>
        <v>3594</v>
      </c>
      <c r="K72" s="231"/>
      <c r="L72" s="232">
        <v>600</v>
      </c>
      <c r="M72" s="230">
        <f>SUM(L72)*G75</f>
        <v>3780</v>
      </c>
      <c r="N72" s="231"/>
      <c r="O72" s="232">
        <v>600</v>
      </c>
      <c r="P72" s="230">
        <f>SUM(O72)*G75</f>
        <v>3780</v>
      </c>
      <c r="Q72" s="231">
        <f>F72+I72+L72+O72</f>
        <v>2400</v>
      </c>
      <c r="R72" s="230">
        <f>G72+J72+M72+P72</f>
        <v>14748</v>
      </c>
      <c r="S72" s="67"/>
      <c r="T72" s="12"/>
      <c r="U72" s="11"/>
      <c r="V72" s="12"/>
    </row>
    <row r="73" spans="1:22" ht="36" customHeight="1">
      <c r="A73" s="34"/>
      <c r="B73" s="394" t="s">
        <v>19</v>
      </c>
      <c r="C73" s="394"/>
      <c r="D73" s="394"/>
      <c r="E73" s="14">
        <f>SUM(E46:E57)</f>
        <v>266200</v>
      </c>
      <c r="F73" s="241">
        <f>F46+F47+F54+F55+F59+F64+F68+F71</f>
        <v>466926.97</v>
      </c>
      <c r="G73" s="242">
        <f aca="true" t="shared" si="12" ref="G73:R73">G46+G47+G54+G55+G59+G64+G68+G71</f>
        <v>2796892.5503000007</v>
      </c>
      <c r="H73" s="59">
        <f t="shared" si="12"/>
        <v>1200</v>
      </c>
      <c r="I73" s="241">
        <f t="shared" si="12"/>
        <v>383101.47</v>
      </c>
      <c r="J73" s="242">
        <f t="shared" si="12"/>
        <v>2294777.8052999997</v>
      </c>
      <c r="K73" s="59">
        <f t="shared" si="12"/>
        <v>1500</v>
      </c>
      <c r="L73" s="241">
        <f t="shared" si="12"/>
        <v>376324.67000000004</v>
      </c>
      <c r="M73" s="242">
        <f t="shared" si="12"/>
        <v>2370845.421</v>
      </c>
      <c r="N73" s="59">
        <f t="shared" si="12"/>
        <v>1500</v>
      </c>
      <c r="O73" s="241">
        <f t="shared" si="12"/>
        <v>533187.37</v>
      </c>
      <c r="P73" s="242">
        <f t="shared" si="12"/>
        <v>3359080.431</v>
      </c>
      <c r="Q73" s="59">
        <f t="shared" si="12"/>
        <v>1759540.48</v>
      </c>
      <c r="R73" s="242">
        <f t="shared" si="12"/>
        <v>10425609.749</v>
      </c>
      <c r="S73" s="69"/>
      <c r="T73" s="36"/>
      <c r="U73" s="12"/>
      <c r="V73" s="12"/>
    </row>
    <row r="74" spans="1:22" ht="50.25" customHeight="1">
      <c r="A74" s="37"/>
      <c r="B74" s="439" t="s">
        <v>8</v>
      </c>
      <c r="C74" s="439"/>
      <c r="D74" s="439"/>
      <c r="E74" s="396" t="s">
        <v>126</v>
      </c>
      <c r="F74" s="397"/>
      <c r="G74" s="397"/>
      <c r="H74" s="397"/>
      <c r="I74" s="397"/>
      <c r="J74" s="397"/>
      <c r="K74" s="397"/>
      <c r="L74" s="397"/>
      <c r="M74" s="397"/>
      <c r="N74" s="397"/>
      <c r="O74" s="397"/>
      <c r="P74" s="397"/>
      <c r="Q74" s="397"/>
      <c r="R74" s="398"/>
      <c r="T74" s="12"/>
      <c r="U74" s="12"/>
      <c r="V74" s="12"/>
    </row>
    <row r="75" spans="1:18" s="12" customFormat="1" ht="32.25" customHeight="1">
      <c r="A75" s="5"/>
      <c r="B75" s="5"/>
      <c r="C75" s="5"/>
      <c r="D75" s="5"/>
      <c r="E75" s="5"/>
      <c r="F75" s="181">
        <v>5.99</v>
      </c>
      <c r="G75" s="181">
        <v>6.3</v>
      </c>
      <c r="H75" s="181"/>
      <c r="I75" s="181"/>
      <c r="J75" s="5"/>
      <c r="K75" s="5"/>
      <c r="L75" s="5"/>
      <c r="M75" s="5"/>
      <c r="N75" s="5"/>
      <c r="O75" s="5"/>
      <c r="P75" s="38"/>
      <c r="Q75" s="38"/>
      <c r="R75" s="5"/>
    </row>
    <row r="76" spans="1:18" s="12" customFormat="1" ht="21" customHeight="1">
      <c r="A76" s="152"/>
      <c r="B76" s="150"/>
      <c r="C76" s="150"/>
      <c r="D76" s="150"/>
      <c r="E76" s="5" t="s">
        <v>13</v>
      </c>
      <c r="F76" s="181"/>
      <c r="G76" s="184"/>
      <c r="H76" s="184"/>
      <c r="I76" s="184"/>
      <c r="J76" s="39"/>
      <c r="K76" s="39"/>
      <c r="L76" s="39"/>
      <c r="M76" s="39"/>
      <c r="N76" s="39"/>
      <c r="O76" s="39"/>
      <c r="P76" s="39"/>
      <c r="Q76" s="39"/>
      <c r="R76" s="39"/>
    </row>
    <row r="77" spans="1:22" ht="2.25" customHeight="1">
      <c r="A77" s="40"/>
      <c r="B77" s="41"/>
      <c r="C77" s="41"/>
      <c r="D77" s="41"/>
      <c r="E77" s="42"/>
      <c r="F77" s="6"/>
      <c r="G77" s="105"/>
      <c r="H77" s="6"/>
      <c r="I77" s="6"/>
      <c r="J77" s="110"/>
      <c r="K77" s="43"/>
      <c r="L77" s="43"/>
      <c r="M77" s="110"/>
      <c r="N77" s="43"/>
      <c r="O77" s="43"/>
      <c r="P77" s="112"/>
      <c r="Q77" s="44"/>
      <c r="R77" s="113"/>
      <c r="T77" s="12"/>
      <c r="U77" s="12"/>
      <c r="V77" s="12"/>
    </row>
    <row r="78" spans="1:22" ht="14.25" customHeight="1">
      <c r="A78" s="40"/>
      <c r="B78" s="45"/>
      <c r="C78" s="45"/>
      <c r="D78" s="45"/>
      <c r="E78" s="46"/>
      <c r="F78" s="5"/>
      <c r="G78" s="105"/>
      <c r="H78" s="5"/>
      <c r="I78" s="5"/>
      <c r="J78" s="110"/>
      <c r="K78" s="47"/>
      <c r="L78" s="47"/>
      <c r="M78" s="110"/>
      <c r="N78" s="48"/>
      <c r="O78" s="48"/>
      <c r="P78" s="395"/>
      <c r="Q78" s="395"/>
      <c r="R78" s="395"/>
      <c r="T78" s="12"/>
      <c r="U78" s="12"/>
      <c r="V78" s="12"/>
    </row>
    <row r="79" spans="1:22" ht="9.75" customHeight="1">
      <c r="A79" s="40"/>
      <c r="B79" s="45"/>
      <c r="C79" s="45"/>
      <c r="D79" s="45"/>
      <c r="E79" s="46"/>
      <c r="F79" s="5"/>
      <c r="G79" s="105"/>
      <c r="H79" s="5"/>
      <c r="I79" s="5"/>
      <c r="J79" s="110"/>
      <c r="K79" s="47"/>
      <c r="L79" s="47"/>
      <c r="M79" s="110"/>
      <c r="N79" s="48"/>
      <c r="O79" s="48"/>
      <c r="P79" s="395"/>
      <c r="Q79" s="395"/>
      <c r="R79" s="395"/>
      <c r="T79" s="12"/>
      <c r="U79" s="12"/>
      <c r="V79" s="12"/>
    </row>
    <row r="80" spans="1:22" ht="13.5" customHeight="1" hidden="1">
      <c r="A80" s="40"/>
      <c r="B80" s="45"/>
      <c r="C80" s="45"/>
      <c r="D80" s="45"/>
      <c r="E80" s="46"/>
      <c r="F80" s="5"/>
      <c r="G80" s="105"/>
      <c r="H80" s="5"/>
      <c r="I80" s="5"/>
      <c r="J80" s="110"/>
      <c r="K80" s="47"/>
      <c r="L80" s="47"/>
      <c r="M80" s="110"/>
      <c r="N80" s="48"/>
      <c r="O80" s="48"/>
      <c r="P80" s="395"/>
      <c r="Q80" s="395"/>
      <c r="R80" s="395"/>
      <c r="T80" s="12"/>
      <c r="U80" s="12"/>
      <c r="V80" s="12"/>
    </row>
    <row r="81" spans="1:22" ht="15.75" customHeight="1" hidden="1">
      <c r="A81" s="40"/>
      <c r="B81" s="45"/>
      <c r="C81" s="45"/>
      <c r="D81" s="45"/>
      <c r="E81" s="46"/>
      <c r="F81" s="5"/>
      <c r="G81" s="105"/>
      <c r="H81" s="5"/>
      <c r="I81" s="5"/>
      <c r="J81" s="110"/>
      <c r="K81" s="47"/>
      <c r="L81" s="47"/>
      <c r="M81" s="110"/>
      <c r="N81" s="48"/>
      <c r="O81" s="48"/>
      <c r="P81" s="110"/>
      <c r="Q81" s="48"/>
      <c r="R81" s="110"/>
      <c r="T81" s="12"/>
      <c r="U81" s="12"/>
      <c r="V81" s="12"/>
    </row>
    <row r="82" spans="1:22" ht="26.25" customHeight="1">
      <c r="A82" s="446" t="s">
        <v>114</v>
      </c>
      <c r="B82" s="446"/>
      <c r="C82" s="446"/>
      <c r="D82" s="446"/>
      <c r="E82" s="446"/>
      <c r="F82" s="446"/>
      <c r="G82" s="446"/>
      <c r="H82" s="446"/>
      <c r="I82" s="446"/>
      <c r="J82" s="446"/>
      <c r="K82" s="446"/>
      <c r="L82" s="446"/>
      <c r="M82" s="446"/>
      <c r="N82" s="446"/>
      <c r="O82" s="446"/>
      <c r="P82" s="446"/>
      <c r="Q82" s="446"/>
      <c r="R82" s="446"/>
      <c r="T82" s="12"/>
      <c r="U82" s="12"/>
      <c r="V82" s="12"/>
    </row>
    <row r="83" spans="1:18" ht="25.5">
      <c r="A83" s="381" t="s">
        <v>15</v>
      </c>
      <c r="B83" s="382" t="s">
        <v>0</v>
      </c>
      <c r="C83" s="383"/>
      <c r="D83" s="384"/>
      <c r="E83" s="377" t="s">
        <v>1</v>
      </c>
      <c r="F83" s="377"/>
      <c r="G83" s="377"/>
      <c r="H83" s="377" t="s">
        <v>3</v>
      </c>
      <c r="I83" s="377"/>
      <c r="J83" s="377"/>
      <c r="K83" s="377" t="s">
        <v>4</v>
      </c>
      <c r="L83" s="377"/>
      <c r="M83" s="377"/>
      <c r="N83" s="377" t="s">
        <v>6</v>
      </c>
      <c r="O83" s="377"/>
      <c r="P83" s="377"/>
      <c r="Q83" s="377" t="s">
        <v>7</v>
      </c>
      <c r="R83" s="377"/>
    </row>
    <row r="84" spans="1:18" ht="25.5">
      <c r="A84" s="381"/>
      <c r="B84" s="385"/>
      <c r="C84" s="386"/>
      <c r="D84" s="387"/>
      <c r="F84" s="125" t="s">
        <v>10</v>
      </c>
      <c r="G84" s="109" t="s">
        <v>5</v>
      </c>
      <c r="H84" s="125" t="s">
        <v>10</v>
      </c>
      <c r="I84" s="125" t="s">
        <v>10</v>
      </c>
      <c r="J84" s="109" t="s">
        <v>5</v>
      </c>
      <c r="K84" s="125" t="s">
        <v>10</v>
      </c>
      <c r="L84" s="125" t="s">
        <v>10</v>
      </c>
      <c r="M84" s="109" t="s">
        <v>5</v>
      </c>
      <c r="N84" s="125" t="s">
        <v>10</v>
      </c>
      <c r="O84" s="125" t="s">
        <v>10</v>
      </c>
      <c r="P84" s="109" t="s">
        <v>5</v>
      </c>
      <c r="Q84" s="125" t="s">
        <v>10</v>
      </c>
      <c r="R84" s="109" t="s">
        <v>5</v>
      </c>
    </row>
    <row r="85" spans="1:21" s="97" customFormat="1" ht="32.25" customHeight="1">
      <c r="A85" s="104">
        <v>1</v>
      </c>
      <c r="B85" s="371" t="s">
        <v>33</v>
      </c>
      <c r="C85" s="372"/>
      <c r="D85" s="373"/>
      <c r="E85" s="91">
        <v>14.8</v>
      </c>
      <c r="F85" s="228">
        <v>3.3</v>
      </c>
      <c r="G85" s="227">
        <f>F85*F112</f>
        <v>112.23299999999999</v>
      </c>
      <c r="H85" s="93">
        <v>14.8</v>
      </c>
      <c r="I85" s="228">
        <v>3.3</v>
      </c>
      <c r="J85" s="227">
        <f>I85*F112</f>
        <v>112.23299999999999</v>
      </c>
      <c r="K85" s="93">
        <v>15</v>
      </c>
      <c r="L85" s="228">
        <v>3.4</v>
      </c>
      <c r="M85" s="227">
        <f>L85*G112</f>
        <v>121.652</v>
      </c>
      <c r="N85" s="93">
        <v>15</v>
      </c>
      <c r="O85" s="228">
        <v>3.3</v>
      </c>
      <c r="P85" s="246">
        <f>O85*G112</f>
        <v>118.074</v>
      </c>
      <c r="Q85" s="247">
        <f>F85+I85+L85+O85</f>
        <v>13.3</v>
      </c>
      <c r="R85" s="246">
        <f>G85+J85+M85+P85</f>
        <v>464.192</v>
      </c>
      <c r="S85" s="94" t="s">
        <v>21</v>
      </c>
      <c r="T85" s="101"/>
      <c r="U85" s="101"/>
    </row>
    <row r="86" spans="1:21" s="97" customFormat="1" ht="32.25" customHeight="1">
      <c r="A86" s="104">
        <v>2</v>
      </c>
      <c r="B86" s="371" t="s">
        <v>41</v>
      </c>
      <c r="C86" s="372"/>
      <c r="D86" s="373"/>
      <c r="E86" s="98"/>
      <c r="F86" s="228">
        <f>F87+F88+F89+F90+F91+F92</f>
        <v>1459</v>
      </c>
      <c r="G86" s="227">
        <f>G87+G88+G89+G90+G91+G92</f>
        <v>59965.59</v>
      </c>
      <c r="H86" s="93"/>
      <c r="I86" s="228">
        <f>I87+I88+I89+I90+I91+I92</f>
        <v>1734.4</v>
      </c>
      <c r="J86" s="227">
        <f>J87+J88+J89+J90+J91+J92</f>
        <v>74297.544</v>
      </c>
      <c r="K86" s="93"/>
      <c r="L86" s="228">
        <f>L87+L88+L89+L90+L91+L92</f>
        <v>1872.8</v>
      </c>
      <c r="M86" s="227">
        <f>M87+M88+M89+M90+M91+M92</f>
        <v>87245.584</v>
      </c>
      <c r="N86" s="93"/>
      <c r="O86" s="228">
        <f>O87+O88+O89+O90+O91+O92</f>
        <v>1893.8</v>
      </c>
      <c r="P86" s="246">
        <f>P87+P88+P89+P90+P91+P92</f>
        <v>85820.964</v>
      </c>
      <c r="Q86" s="247">
        <f>Q87+Q88+Q89+Q90+Q91+Q92</f>
        <v>6960</v>
      </c>
      <c r="R86" s="246">
        <f>R87+R88+R89+R90+R91+R92</f>
        <v>307329.682</v>
      </c>
      <c r="S86" s="94"/>
      <c r="T86" s="101"/>
      <c r="U86" s="101"/>
    </row>
    <row r="87" spans="1:21" s="17" customFormat="1" ht="37.5" customHeight="1">
      <c r="A87" s="32"/>
      <c r="B87" s="374" t="s">
        <v>34</v>
      </c>
      <c r="C87" s="375"/>
      <c r="D87" s="376"/>
      <c r="E87" s="8">
        <v>3068.8</v>
      </c>
      <c r="F87" s="232">
        <v>350</v>
      </c>
      <c r="G87" s="230">
        <f>F87*F112</f>
        <v>11903.5</v>
      </c>
      <c r="H87" s="231">
        <v>2511</v>
      </c>
      <c r="I87" s="232">
        <v>268</v>
      </c>
      <c r="J87" s="230">
        <f>I87*F112</f>
        <v>9114.68</v>
      </c>
      <c r="K87" s="231">
        <v>2511</v>
      </c>
      <c r="L87" s="232">
        <v>340</v>
      </c>
      <c r="M87" s="230">
        <f>L87*G112</f>
        <v>12165.2</v>
      </c>
      <c r="N87" s="231">
        <v>2511</v>
      </c>
      <c r="O87" s="232">
        <v>342</v>
      </c>
      <c r="P87" s="248">
        <f>O87*G112</f>
        <v>12236.76</v>
      </c>
      <c r="Q87" s="249">
        <f aca="true" t="shared" si="13" ref="Q87:R94">F87+I87+L87+O87</f>
        <v>1300</v>
      </c>
      <c r="R87" s="248">
        <f t="shared" si="13"/>
        <v>45420.14000000001</v>
      </c>
      <c r="S87" s="67" t="s">
        <v>82</v>
      </c>
      <c r="T87" s="16"/>
      <c r="U87" s="16"/>
    </row>
    <row r="88" spans="1:21" ht="39.75" customHeight="1">
      <c r="A88" s="29"/>
      <c r="B88" s="374" t="s">
        <v>35</v>
      </c>
      <c r="C88" s="375"/>
      <c r="D88" s="376"/>
      <c r="E88" s="49">
        <v>609</v>
      </c>
      <c r="F88" s="232">
        <v>170</v>
      </c>
      <c r="G88" s="230">
        <f>F88*F112</f>
        <v>5781.7</v>
      </c>
      <c r="H88" s="231">
        <v>609</v>
      </c>
      <c r="I88" s="232">
        <v>150</v>
      </c>
      <c r="J88" s="230">
        <f>I88*F112</f>
        <v>5101.5</v>
      </c>
      <c r="K88" s="231">
        <v>609</v>
      </c>
      <c r="L88" s="232">
        <v>170</v>
      </c>
      <c r="M88" s="230">
        <f>L88*G112</f>
        <v>6082.6</v>
      </c>
      <c r="N88" s="231">
        <v>609</v>
      </c>
      <c r="O88" s="232">
        <v>150</v>
      </c>
      <c r="P88" s="248">
        <f>O88*G112</f>
        <v>5367</v>
      </c>
      <c r="Q88" s="249">
        <f t="shared" si="13"/>
        <v>640</v>
      </c>
      <c r="R88" s="248">
        <f t="shared" si="13"/>
        <v>22332.800000000003</v>
      </c>
      <c r="S88" s="67" t="s">
        <v>82</v>
      </c>
      <c r="T88" s="13"/>
      <c r="U88" s="13"/>
    </row>
    <row r="89" spans="1:21" ht="36.75" customHeight="1">
      <c r="A89" s="32"/>
      <c r="B89" s="374" t="s">
        <v>36</v>
      </c>
      <c r="C89" s="375"/>
      <c r="D89" s="376"/>
      <c r="E89" s="8">
        <v>725.1</v>
      </c>
      <c r="F89" s="232">
        <v>350</v>
      </c>
      <c r="G89" s="230">
        <f>F89*F113</f>
        <v>19145</v>
      </c>
      <c r="H89" s="231">
        <v>885.2</v>
      </c>
      <c r="I89" s="232">
        <v>300</v>
      </c>
      <c r="J89" s="230">
        <f>I89*F113</f>
        <v>16410</v>
      </c>
      <c r="K89" s="231">
        <v>727.3</v>
      </c>
      <c r="L89" s="232">
        <v>200</v>
      </c>
      <c r="M89" s="230">
        <f>L89*G113</f>
        <v>11508</v>
      </c>
      <c r="N89" s="231">
        <v>892.61</v>
      </c>
      <c r="O89" s="232">
        <v>350</v>
      </c>
      <c r="P89" s="248">
        <f>O89*G113</f>
        <v>20139</v>
      </c>
      <c r="Q89" s="249">
        <f t="shared" si="13"/>
        <v>1200</v>
      </c>
      <c r="R89" s="248">
        <f t="shared" si="13"/>
        <v>67202</v>
      </c>
      <c r="S89" s="67" t="s">
        <v>82</v>
      </c>
      <c r="T89" s="13"/>
      <c r="U89" s="13"/>
    </row>
    <row r="90" spans="1:21" ht="30.75" customHeight="1">
      <c r="A90" s="32"/>
      <c r="B90" s="370" t="s">
        <v>37</v>
      </c>
      <c r="C90" s="370"/>
      <c r="D90" s="370"/>
      <c r="E90" s="8">
        <v>1639</v>
      </c>
      <c r="F90" s="232">
        <v>150</v>
      </c>
      <c r="G90" s="230">
        <f>F90*F113</f>
        <v>8205</v>
      </c>
      <c r="H90" s="231">
        <v>1584</v>
      </c>
      <c r="I90" s="232">
        <v>440</v>
      </c>
      <c r="J90" s="230">
        <f>I90*F113</f>
        <v>24068</v>
      </c>
      <c r="K90" s="231">
        <v>1344</v>
      </c>
      <c r="L90" s="232">
        <v>730</v>
      </c>
      <c r="M90" s="230">
        <f>L90*G113</f>
        <v>42004.2</v>
      </c>
      <c r="N90" s="231">
        <v>1639</v>
      </c>
      <c r="O90" s="232">
        <v>480</v>
      </c>
      <c r="P90" s="248">
        <f>O90*G113</f>
        <v>27619.2</v>
      </c>
      <c r="Q90" s="249">
        <f t="shared" si="13"/>
        <v>1800</v>
      </c>
      <c r="R90" s="248">
        <f t="shared" si="13"/>
        <v>101896.4</v>
      </c>
      <c r="S90" s="67" t="s">
        <v>82</v>
      </c>
      <c r="T90" s="13"/>
      <c r="U90" s="13"/>
    </row>
    <row r="91" spans="1:21" s="120" customFormat="1" ht="33" customHeight="1">
      <c r="A91" s="121"/>
      <c r="B91" s="440" t="s">
        <v>38</v>
      </c>
      <c r="C91" s="440"/>
      <c r="D91" s="440"/>
      <c r="E91" s="116">
        <v>53.7</v>
      </c>
      <c r="F91" s="250">
        <v>400</v>
      </c>
      <c r="G91" s="251">
        <f>F91*F112</f>
        <v>13604</v>
      </c>
      <c r="H91" s="252">
        <v>43.6</v>
      </c>
      <c r="I91" s="250">
        <v>550</v>
      </c>
      <c r="J91" s="251">
        <f>I91*F112</f>
        <v>18705.5</v>
      </c>
      <c r="K91" s="252">
        <v>43.8</v>
      </c>
      <c r="L91" s="250">
        <v>350</v>
      </c>
      <c r="M91" s="251">
        <f>L91*G112</f>
        <v>12523</v>
      </c>
      <c r="N91" s="252">
        <v>43.8</v>
      </c>
      <c r="O91" s="250">
        <v>550</v>
      </c>
      <c r="P91" s="253">
        <f>O91*G112</f>
        <v>19679</v>
      </c>
      <c r="Q91" s="254">
        <f t="shared" si="13"/>
        <v>1850</v>
      </c>
      <c r="R91" s="253">
        <f t="shared" si="13"/>
        <v>64511.5</v>
      </c>
      <c r="S91" s="117" t="s">
        <v>82</v>
      </c>
      <c r="T91" s="122"/>
      <c r="U91" s="122"/>
    </row>
    <row r="92" spans="1:21" s="120" customFormat="1" ht="54.75" customHeight="1">
      <c r="A92" s="121"/>
      <c r="B92" s="440" t="s">
        <v>39</v>
      </c>
      <c r="C92" s="440"/>
      <c r="D92" s="440"/>
      <c r="E92" s="116">
        <v>51</v>
      </c>
      <c r="F92" s="250">
        <v>39</v>
      </c>
      <c r="G92" s="251">
        <f>F92*F112</f>
        <v>1326.3899999999999</v>
      </c>
      <c r="H92" s="252">
        <v>48</v>
      </c>
      <c r="I92" s="250">
        <v>26.4</v>
      </c>
      <c r="J92" s="251">
        <f>I92*F112</f>
        <v>897.8639999999999</v>
      </c>
      <c r="K92" s="252">
        <v>48</v>
      </c>
      <c r="L92" s="250">
        <v>82.8</v>
      </c>
      <c r="M92" s="251">
        <f>L92*G112</f>
        <v>2962.584</v>
      </c>
      <c r="N92" s="252">
        <v>51</v>
      </c>
      <c r="O92" s="250">
        <v>21.8</v>
      </c>
      <c r="P92" s="253">
        <f>O92*G112</f>
        <v>780.004</v>
      </c>
      <c r="Q92" s="254">
        <f t="shared" si="13"/>
        <v>170</v>
      </c>
      <c r="R92" s="253">
        <f t="shared" si="13"/>
        <v>5966.842</v>
      </c>
      <c r="S92" s="117" t="s">
        <v>82</v>
      </c>
      <c r="T92" s="122"/>
      <c r="U92" s="122"/>
    </row>
    <row r="93" spans="1:21" s="97" customFormat="1" ht="55.5" customHeight="1">
      <c r="A93" s="104">
        <v>3</v>
      </c>
      <c r="B93" s="371" t="s">
        <v>42</v>
      </c>
      <c r="C93" s="372"/>
      <c r="D93" s="373"/>
      <c r="E93" s="98">
        <v>76.86</v>
      </c>
      <c r="F93" s="240">
        <f>F94+F95</f>
        <v>129.745</v>
      </c>
      <c r="G93" s="227">
        <f>G94+G95</f>
        <v>4614.2515</v>
      </c>
      <c r="H93" s="93">
        <v>76.86</v>
      </c>
      <c r="I93" s="240">
        <f>I94+I95</f>
        <v>129.745</v>
      </c>
      <c r="J93" s="227">
        <f>J94+J95</f>
        <v>4614.2515</v>
      </c>
      <c r="K93" s="93">
        <v>76.86</v>
      </c>
      <c r="L93" s="240">
        <f>L94+L95</f>
        <v>129.738</v>
      </c>
      <c r="M93" s="227">
        <f>M94+M95</f>
        <v>4853.9245200000005</v>
      </c>
      <c r="N93" s="93">
        <v>76.86</v>
      </c>
      <c r="O93" s="240">
        <f>O94+O95</f>
        <v>129.738</v>
      </c>
      <c r="P93" s="246">
        <f>P94+P95</f>
        <v>4853.9245200000005</v>
      </c>
      <c r="Q93" s="255">
        <f t="shared" si="13"/>
        <v>518.966</v>
      </c>
      <c r="R93" s="246">
        <f>R94+R95</f>
        <v>18936.352039999998</v>
      </c>
      <c r="S93" s="94" t="s">
        <v>21</v>
      </c>
      <c r="T93" s="101"/>
      <c r="U93" s="101"/>
    </row>
    <row r="94" spans="1:21" ht="33" customHeight="1">
      <c r="A94" s="32"/>
      <c r="B94" s="391" t="s">
        <v>76</v>
      </c>
      <c r="C94" s="392"/>
      <c r="D94" s="393"/>
      <c r="E94" s="8"/>
      <c r="F94" s="232">
        <v>120</v>
      </c>
      <c r="G94" s="230">
        <f>F94*F112</f>
        <v>4081.2</v>
      </c>
      <c r="H94" s="231"/>
      <c r="I94" s="232">
        <v>120</v>
      </c>
      <c r="J94" s="230">
        <f>I94*F112</f>
        <v>4081.2</v>
      </c>
      <c r="K94" s="231"/>
      <c r="L94" s="232">
        <v>120</v>
      </c>
      <c r="M94" s="230">
        <f>L94*G112</f>
        <v>4293.6</v>
      </c>
      <c r="N94" s="231"/>
      <c r="O94" s="232">
        <v>120</v>
      </c>
      <c r="P94" s="248">
        <f>O94*G112</f>
        <v>4293.6</v>
      </c>
      <c r="Q94" s="249">
        <f t="shared" si="13"/>
        <v>480</v>
      </c>
      <c r="R94" s="248">
        <f>G94+J94+M94+P94</f>
        <v>16749.6</v>
      </c>
      <c r="S94" s="67"/>
      <c r="T94" s="13"/>
      <c r="U94" s="13"/>
    </row>
    <row r="95" spans="1:21" ht="38.25" customHeight="1">
      <c r="A95" s="32"/>
      <c r="B95" s="391" t="s">
        <v>77</v>
      </c>
      <c r="C95" s="392"/>
      <c r="D95" s="393"/>
      <c r="E95" s="8"/>
      <c r="F95" s="256">
        <v>9.745</v>
      </c>
      <c r="G95" s="230">
        <f>F95*F113</f>
        <v>533.0515</v>
      </c>
      <c r="H95" s="59"/>
      <c r="I95" s="256">
        <v>9.745</v>
      </c>
      <c r="J95" s="230">
        <f>I95*F113</f>
        <v>533.0515</v>
      </c>
      <c r="K95" s="59"/>
      <c r="L95" s="256">
        <v>9.738</v>
      </c>
      <c r="M95" s="230">
        <f>L95*G113</f>
        <v>560.32452</v>
      </c>
      <c r="N95" s="59"/>
      <c r="O95" s="256">
        <v>9.738</v>
      </c>
      <c r="P95" s="248">
        <f>O95*G113</f>
        <v>560.32452</v>
      </c>
      <c r="Q95" s="249">
        <f>F95+I95+L95+O95</f>
        <v>38.965999999999994</v>
      </c>
      <c r="R95" s="248">
        <f>G95+J95+M95+P95</f>
        <v>2186.7520400000003</v>
      </c>
      <c r="S95" s="67"/>
      <c r="T95" s="13"/>
      <c r="U95" s="13"/>
    </row>
    <row r="96" spans="1:21" s="97" customFormat="1" ht="30.75" customHeight="1">
      <c r="A96" s="104">
        <v>4</v>
      </c>
      <c r="B96" s="371" t="s">
        <v>43</v>
      </c>
      <c r="C96" s="372"/>
      <c r="D96" s="373"/>
      <c r="E96" s="98">
        <v>172</v>
      </c>
      <c r="F96" s="228">
        <f>F97</f>
        <v>23.4</v>
      </c>
      <c r="G96" s="227">
        <f>G97</f>
        <v>795.834</v>
      </c>
      <c r="H96" s="93"/>
      <c r="I96" s="228">
        <f>I97</f>
        <v>23.4</v>
      </c>
      <c r="J96" s="227">
        <f>J97</f>
        <v>795.834</v>
      </c>
      <c r="K96" s="93"/>
      <c r="L96" s="228">
        <f>L97</f>
        <v>23.7</v>
      </c>
      <c r="M96" s="227">
        <f>M97</f>
        <v>847.986</v>
      </c>
      <c r="N96" s="93"/>
      <c r="O96" s="228">
        <f>O97</f>
        <v>23.1</v>
      </c>
      <c r="P96" s="246">
        <f>P97</f>
        <v>826.518</v>
      </c>
      <c r="Q96" s="247">
        <f>Q97</f>
        <v>93.6</v>
      </c>
      <c r="R96" s="246">
        <f>R97</f>
        <v>3266.172</v>
      </c>
      <c r="S96" s="94" t="s">
        <v>21</v>
      </c>
      <c r="T96" s="101"/>
      <c r="U96" s="101"/>
    </row>
    <row r="97" spans="1:21" ht="35.25" customHeight="1">
      <c r="A97" s="32"/>
      <c r="B97" s="374" t="s">
        <v>44</v>
      </c>
      <c r="C97" s="375"/>
      <c r="D97" s="376"/>
      <c r="E97" s="8"/>
      <c r="F97" s="232">
        <v>23.4</v>
      </c>
      <c r="G97" s="230">
        <f>F97*F112</f>
        <v>795.834</v>
      </c>
      <c r="H97" s="231"/>
      <c r="I97" s="232">
        <v>23.4</v>
      </c>
      <c r="J97" s="230">
        <f>I97*F112</f>
        <v>795.834</v>
      </c>
      <c r="K97" s="231"/>
      <c r="L97" s="232">
        <v>23.7</v>
      </c>
      <c r="M97" s="230">
        <f>L97*G112</f>
        <v>847.986</v>
      </c>
      <c r="N97" s="231"/>
      <c r="O97" s="232">
        <v>23.1</v>
      </c>
      <c r="P97" s="248">
        <f>O97*G112</f>
        <v>826.518</v>
      </c>
      <c r="Q97" s="249">
        <f>F97+I97+L97+O97</f>
        <v>93.6</v>
      </c>
      <c r="R97" s="248">
        <f>G97+J97+M97+P97</f>
        <v>3266.172</v>
      </c>
      <c r="S97" s="67"/>
      <c r="T97" s="13"/>
      <c r="U97" s="13"/>
    </row>
    <row r="98" spans="1:21" s="97" customFormat="1" ht="30.75" customHeight="1">
      <c r="A98" s="104">
        <v>5</v>
      </c>
      <c r="B98" s="371" t="s">
        <v>47</v>
      </c>
      <c r="C98" s="372"/>
      <c r="D98" s="373"/>
      <c r="E98" s="98"/>
      <c r="F98" s="228">
        <f>F99+F100+F101+F102</f>
        <v>132.91</v>
      </c>
      <c r="G98" s="227">
        <f>G99+G100+G101+G102</f>
        <v>4780.9631</v>
      </c>
      <c r="H98" s="93"/>
      <c r="I98" s="228">
        <f>I99+I100+I101+I102</f>
        <v>93.46000000000001</v>
      </c>
      <c r="J98" s="227">
        <f>J99+J100+J101+J102</f>
        <v>3375.1295999999998</v>
      </c>
      <c r="K98" s="93"/>
      <c r="L98" s="228">
        <f>L99+L100+L101+L102</f>
        <v>106.78999999999999</v>
      </c>
      <c r="M98" s="227">
        <f>M99+M100+M101+M102</f>
        <v>4484.626200000001</v>
      </c>
      <c r="N98" s="93"/>
      <c r="O98" s="228">
        <f>O99+O100+O101+O102</f>
        <v>245.81</v>
      </c>
      <c r="P98" s="246">
        <f>P99+P100+P101+P102</f>
        <v>9058.377799999998</v>
      </c>
      <c r="Q98" s="247">
        <f>Q99+Q100+Q101+Q102</f>
        <v>578.97</v>
      </c>
      <c r="R98" s="246">
        <f>R99+R100+R101+R102</f>
        <v>21699.096700000002</v>
      </c>
      <c r="S98" s="94"/>
      <c r="T98" s="101"/>
      <c r="U98" s="101"/>
    </row>
    <row r="99" spans="1:21" ht="42.75" customHeight="1">
      <c r="A99" s="32"/>
      <c r="B99" s="374" t="s">
        <v>48</v>
      </c>
      <c r="C99" s="375"/>
      <c r="D99" s="376"/>
      <c r="E99" s="8"/>
      <c r="F99" s="232">
        <v>7.71</v>
      </c>
      <c r="G99" s="230">
        <f>F99*F112</f>
        <v>262.21709999999996</v>
      </c>
      <c r="H99" s="231"/>
      <c r="I99" s="232">
        <v>6.36</v>
      </c>
      <c r="J99" s="230">
        <f>I99*F112</f>
        <v>216.3036</v>
      </c>
      <c r="K99" s="231"/>
      <c r="L99" s="232">
        <v>3.69</v>
      </c>
      <c r="M99" s="230">
        <f>L99*G112</f>
        <v>132.0282</v>
      </c>
      <c r="N99" s="231"/>
      <c r="O99" s="232">
        <v>32.91</v>
      </c>
      <c r="P99" s="248">
        <f>O99*G112</f>
        <v>1177.5197999999998</v>
      </c>
      <c r="Q99" s="249">
        <f aca="true" t="shared" si="14" ref="Q99:R102">F99+I99+L99+O99</f>
        <v>50.67</v>
      </c>
      <c r="R99" s="248">
        <f t="shared" si="14"/>
        <v>1788.0686999999998</v>
      </c>
      <c r="S99" s="67"/>
      <c r="T99" s="13"/>
      <c r="U99" s="13"/>
    </row>
    <row r="100" spans="1:21" ht="36.75" customHeight="1">
      <c r="A100" s="32"/>
      <c r="B100" s="374" t="s">
        <v>49</v>
      </c>
      <c r="C100" s="375"/>
      <c r="D100" s="376"/>
      <c r="E100" s="8"/>
      <c r="F100" s="232">
        <v>48</v>
      </c>
      <c r="G100" s="230">
        <f>40*F112+8*F113</f>
        <v>1798</v>
      </c>
      <c r="H100" s="231"/>
      <c r="I100" s="232">
        <v>48</v>
      </c>
      <c r="J100" s="230">
        <f>40*F112+8*F113</f>
        <v>1798</v>
      </c>
      <c r="K100" s="231"/>
      <c r="L100" s="232">
        <v>69</v>
      </c>
      <c r="M100" s="230">
        <f>40*G112+29*G113</f>
        <v>3099.86</v>
      </c>
      <c r="N100" s="231"/>
      <c r="O100" s="232">
        <v>48</v>
      </c>
      <c r="P100" s="248">
        <f>40*G112+8*G113</f>
        <v>1891.52</v>
      </c>
      <c r="Q100" s="249">
        <f t="shared" si="14"/>
        <v>213</v>
      </c>
      <c r="R100" s="248">
        <f t="shared" si="14"/>
        <v>8587.380000000001</v>
      </c>
      <c r="S100" s="67"/>
      <c r="T100" s="13"/>
      <c r="U100" s="13"/>
    </row>
    <row r="101" spans="1:21" ht="35.25" customHeight="1">
      <c r="A101" s="32"/>
      <c r="B101" s="374" t="s">
        <v>50</v>
      </c>
      <c r="C101" s="375"/>
      <c r="D101" s="376"/>
      <c r="E101" s="8"/>
      <c r="F101" s="232">
        <v>32.2</v>
      </c>
      <c r="G101" s="230">
        <f>27.6*F112+4.6*F113</f>
        <v>1190.296</v>
      </c>
      <c r="H101" s="231"/>
      <c r="I101" s="232">
        <v>29.1</v>
      </c>
      <c r="J101" s="230">
        <f>27.6*F112+1.5*F113</f>
        <v>1020.7260000000001</v>
      </c>
      <c r="K101" s="231"/>
      <c r="L101" s="232">
        <v>29.1</v>
      </c>
      <c r="M101" s="230">
        <f>27.6*G112+1.5*G113</f>
        <v>1073.8380000000002</v>
      </c>
      <c r="N101" s="231"/>
      <c r="O101" s="232">
        <v>31.7</v>
      </c>
      <c r="P101" s="248">
        <f>27.6*G112+4.1*G113</f>
        <v>1223.442</v>
      </c>
      <c r="Q101" s="249">
        <f t="shared" si="14"/>
        <v>122.10000000000001</v>
      </c>
      <c r="R101" s="248">
        <f t="shared" si="14"/>
        <v>4508.302</v>
      </c>
      <c r="S101" s="67"/>
      <c r="T101" s="13"/>
      <c r="U101" s="13"/>
    </row>
    <row r="102" spans="1:21" ht="45.75" customHeight="1">
      <c r="A102" s="32"/>
      <c r="B102" s="370" t="s">
        <v>40</v>
      </c>
      <c r="C102" s="370"/>
      <c r="D102" s="370"/>
      <c r="E102" s="8"/>
      <c r="F102" s="232">
        <v>45</v>
      </c>
      <c r="G102" s="230">
        <f>F102*F112</f>
        <v>1530.4499999999998</v>
      </c>
      <c r="H102" s="231"/>
      <c r="I102" s="232">
        <v>10</v>
      </c>
      <c r="J102" s="230">
        <f>I102*F112</f>
        <v>340.09999999999997</v>
      </c>
      <c r="K102" s="231"/>
      <c r="L102" s="232">
        <v>5</v>
      </c>
      <c r="M102" s="230">
        <f>L102*G112</f>
        <v>178.9</v>
      </c>
      <c r="N102" s="231"/>
      <c r="O102" s="232">
        <v>133.2</v>
      </c>
      <c r="P102" s="248">
        <f>O102*G112</f>
        <v>4765.896</v>
      </c>
      <c r="Q102" s="249">
        <f t="shared" si="14"/>
        <v>193.2</v>
      </c>
      <c r="R102" s="248">
        <f t="shared" si="14"/>
        <v>6815.346</v>
      </c>
      <c r="S102" s="67" t="s">
        <v>83</v>
      </c>
      <c r="T102" s="13"/>
      <c r="U102" s="13"/>
    </row>
    <row r="103" spans="1:21" s="97" customFormat="1" ht="30.75" customHeight="1">
      <c r="A103" s="104">
        <v>6</v>
      </c>
      <c r="B103" s="371" t="s">
        <v>53</v>
      </c>
      <c r="C103" s="372"/>
      <c r="D103" s="373"/>
      <c r="E103" s="98"/>
      <c r="F103" s="228">
        <f>F104+F105+F106</f>
        <v>2682</v>
      </c>
      <c r="G103" s="227">
        <f>G104+G105+G106</f>
        <v>91214.81999999999</v>
      </c>
      <c r="H103" s="93"/>
      <c r="I103" s="228">
        <f>I104+I105+I106</f>
        <v>2575</v>
      </c>
      <c r="J103" s="227">
        <f>J104+J105+J106</f>
        <v>87575.75</v>
      </c>
      <c r="K103" s="93"/>
      <c r="L103" s="228">
        <f>L104+L105+L106</f>
        <v>2376</v>
      </c>
      <c r="M103" s="227">
        <f>M104+M105+M106</f>
        <v>85013.28</v>
      </c>
      <c r="N103" s="93"/>
      <c r="O103" s="228">
        <f>O104+O105+O106</f>
        <v>2710</v>
      </c>
      <c r="P103" s="246">
        <f>P104+P105+P106</f>
        <v>96963.79999999999</v>
      </c>
      <c r="Q103" s="247">
        <f>Q104+Q105+Q106</f>
        <v>10343</v>
      </c>
      <c r="R103" s="246">
        <f>R104+R105+R106</f>
        <v>360767.65</v>
      </c>
      <c r="S103" s="94"/>
      <c r="T103" s="101"/>
      <c r="U103" s="101"/>
    </row>
    <row r="104" spans="1:21" ht="38.25" customHeight="1">
      <c r="A104" s="34"/>
      <c r="B104" s="374" t="s">
        <v>73</v>
      </c>
      <c r="C104" s="375"/>
      <c r="D104" s="376"/>
      <c r="E104" s="8"/>
      <c r="F104" s="232">
        <v>192</v>
      </c>
      <c r="G104" s="230">
        <f>F104*F112</f>
        <v>6529.92</v>
      </c>
      <c r="H104" s="231"/>
      <c r="I104" s="232">
        <v>185</v>
      </c>
      <c r="J104" s="230">
        <f>I104*F112</f>
        <v>6291.849999999999</v>
      </c>
      <c r="K104" s="231"/>
      <c r="L104" s="232">
        <v>86</v>
      </c>
      <c r="M104" s="230">
        <f>L104*G112</f>
        <v>3077.08</v>
      </c>
      <c r="N104" s="231"/>
      <c r="O104" s="232">
        <v>220</v>
      </c>
      <c r="P104" s="248">
        <f>O104*G112</f>
        <v>7871.6</v>
      </c>
      <c r="Q104" s="249">
        <f>F104+I104+L104+O104</f>
        <v>683</v>
      </c>
      <c r="R104" s="248">
        <f>G104+J104+M104+P104</f>
        <v>23770.45</v>
      </c>
      <c r="S104" s="67"/>
      <c r="T104" s="13"/>
      <c r="U104" s="13"/>
    </row>
    <row r="105" spans="1:21" ht="42.75" customHeight="1">
      <c r="A105" s="34"/>
      <c r="B105" s="374" t="s">
        <v>55</v>
      </c>
      <c r="C105" s="375"/>
      <c r="D105" s="376"/>
      <c r="E105" s="8"/>
      <c r="F105" s="232">
        <v>300</v>
      </c>
      <c r="G105" s="230">
        <f>F105*F112</f>
        <v>10203</v>
      </c>
      <c r="H105" s="231"/>
      <c r="I105" s="232">
        <v>200</v>
      </c>
      <c r="J105" s="230">
        <f>I105*F112</f>
        <v>6802</v>
      </c>
      <c r="K105" s="231"/>
      <c r="L105" s="232">
        <v>100</v>
      </c>
      <c r="M105" s="230">
        <f>L105*G112</f>
        <v>3578</v>
      </c>
      <c r="N105" s="231"/>
      <c r="O105" s="232">
        <v>300</v>
      </c>
      <c r="P105" s="248">
        <f>O105*G112</f>
        <v>10734</v>
      </c>
      <c r="Q105" s="249">
        <f>F105+I105+L105+O105</f>
        <v>900</v>
      </c>
      <c r="R105" s="248">
        <f>G105+J105+M105+P105</f>
        <v>31317</v>
      </c>
      <c r="S105" s="67"/>
      <c r="T105" s="13"/>
      <c r="U105" s="13"/>
    </row>
    <row r="106" spans="1:21" ht="39.75" customHeight="1">
      <c r="A106" s="34"/>
      <c r="B106" s="360" t="s">
        <v>91</v>
      </c>
      <c r="C106" s="441"/>
      <c r="D106" s="442"/>
      <c r="E106" s="8"/>
      <c r="F106" s="232">
        <v>2190</v>
      </c>
      <c r="G106" s="230">
        <f>SUM(F106)*F112</f>
        <v>74481.9</v>
      </c>
      <c r="H106" s="231"/>
      <c r="I106" s="232">
        <v>2190</v>
      </c>
      <c r="J106" s="230">
        <f>SUM(I106)*F112</f>
        <v>74481.9</v>
      </c>
      <c r="K106" s="231"/>
      <c r="L106" s="232">
        <v>2190</v>
      </c>
      <c r="M106" s="230">
        <f>SUM(L106)*G112</f>
        <v>78358.2</v>
      </c>
      <c r="N106" s="231"/>
      <c r="O106" s="232">
        <v>2190</v>
      </c>
      <c r="P106" s="248">
        <f>SUM(O106)*G112</f>
        <v>78358.2</v>
      </c>
      <c r="Q106" s="249">
        <f>F106+I106+L106+O106</f>
        <v>8760</v>
      </c>
      <c r="R106" s="248">
        <f>SUM(G106)+J106+M106+P106</f>
        <v>305680.2</v>
      </c>
      <c r="S106" s="67"/>
      <c r="T106" s="13"/>
      <c r="U106" s="13"/>
    </row>
    <row r="107" spans="1:21" ht="39.75" customHeight="1">
      <c r="A107" s="34">
        <v>7</v>
      </c>
      <c r="B107" s="371" t="s">
        <v>96</v>
      </c>
      <c r="C107" s="372"/>
      <c r="D107" s="373"/>
      <c r="E107" s="8"/>
      <c r="F107" s="296">
        <f>SUM(F108:F109)</f>
        <v>30</v>
      </c>
      <c r="G107" s="299">
        <f aca="true" t="shared" si="15" ref="G107:R107">SUM(G108:G109)</f>
        <v>1020.3</v>
      </c>
      <c r="H107" s="295">
        <f t="shared" si="15"/>
        <v>0</v>
      </c>
      <c r="I107" s="296">
        <f t="shared" si="15"/>
        <v>30</v>
      </c>
      <c r="J107" s="299">
        <f t="shared" si="15"/>
        <v>1020.3</v>
      </c>
      <c r="K107" s="295">
        <f t="shared" si="15"/>
        <v>0</v>
      </c>
      <c r="L107" s="296">
        <f t="shared" si="15"/>
        <v>30</v>
      </c>
      <c r="M107" s="299">
        <f t="shared" si="15"/>
        <v>1073.4</v>
      </c>
      <c r="N107" s="295">
        <f t="shared" si="15"/>
        <v>0</v>
      </c>
      <c r="O107" s="296">
        <f t="shared" si="15"/>
        <v>30</v>
      </c>
      <c r="P107" s="297">
        <f t="shared" si="15"/>
        <v>1073.4</v>
      </c>
      <c r="Q107" s="300">
        <f t="shared" si="15"/>
        <v>120</v>
      </c>
      <c r="R107" s="297">
        <f t="shared" si="15"/>
        <v>4187.4</v>
      </c>
      <c r="S107" s="67"/>
      <c r="T107" s="13"/>
      <c r="U107" s="13"/>
    </row>
    <row r="108" spans="1:21" ht="39.75" customHeight="1">
      <c r="A108" s="34"/>
      <c r="B108" s="360" t="s">
        <v>97</v>
      </c>
      <c r="C108" s="441"/>
      <c r="D108" s="442"/>
      <c r="E108" s="8"/>
      <c r="F108" s="232"/>
      <c r="G108" s="230"/>
      <c r="H108" s="231"/>
      <c r="I108" s="232"/>
      <c r="J108" s="230">
        <f>I108*F115</f>
        <v>0</v>
      </c>
      <c r="K108" s="231"/>
      <c r="L108" s="232"/>
      <c r="M108" s="230">
        <f>SUM(L108)*G114</f>
        <v>0</v>
      </c>
      <c r="N108" s="231"/>
      <c r="O108" s="232"/>
      <c r="P108" s="248">
        <f>SUM(O108)*G114</f>
        <v>0</v>
      </c>
      <c r="Q108" s="249">
        <f>F108+I108+L108+O108</f>
        <v>0</v>
      </c>
      <c r="R108" s="248">
        <f>G108+J108+M108+P108</f>
        <v>0</v>
      </c>
      <c r="S108" s="67"/>
      <c r="T108" s="13"/>
      <c r="U108" s="13"/>
    </row>
    <row r="109" spans="1:21" ht="39.75" customHeight="1">
      <c r="A109" s="34"/>
      <c r="B109" s="360" t="s">
        <v>98</v>
      </c>
      <c r="C109" s="441"/>
      <c r="D109" s="442"/>
      <c r="E109" s="8"/>
      <c r="F109" s="232">
        <v>30</v>
      </c>
      <c r="G109" s="230">
        <f>F109*F112</f>
        <v>1020.3</v>
      </c>
      <c r="H109" s="231"/>
      <c r="I109" s="232">
        <v>30</v>
      </c>
      <c r="J109" s="230">
        <f>I109*F112</f>
        <v>1020.3</v>
      </c>
      <c r="K109" s="231"/>
      <c r="L109" s="232">
        <v>30</v>
      </c>
      <c r="M109" s="230">
        <f>SUM(L109)*G112</f>
        <v>1073.4</v>
      </c>
      <c r="N109" s="231"/>
      <c r="O109" s="232">
        <v>30</v>
      </c>
      <c r="P109" s="248">
        <f>SUM(O109)*G112</f>
        <v>1073.4</v>
      </c>
      <c r="Q109" s="249">
        <f>F109+I109+L109+O109</f>
        <v>120</v>
      </c>
      <c r="R109" s="248">
        <f>G109+J109+M109+P109</f>
        <v>4187.4</v>
      </c>
      <c r="S109" s="67"/>
      <c r="T109" s="13"/>
      <c r="U109" s="13"/>
    </row>
    <row r="110" spans="1:22" ht="36" customHeight="1">
      <c r="A110" s="37"/>
      <c r="B110" s="443" t="s">
        <v>19</v>
      </c>
      <c r="C110" s="444"/>
      <c r="D110" s="445"/>
      <c r="E110" s="14" t="e">
        <f>E85+#REF!+#REF!+E87+E88+E89+#REF!+E90+E91+E92+E93+E96+#REF!</f>
        <v>#REF!</v>
      </c>
      <c r="F110" s="241">
        <f>F85+F86+F93+F96+F98+F103+F107</f>
        <v>4460.3550000000005</v>
      </c>
      <c r="G110" s="242">
        <f aca="true" t="shared" si="16" ref="G110:R110">G85+G86+G93+G96+G98+G103+G107</f>
        <v>162503.99159999998</v>
      </c>
      <c r="H110" s="59">
        <f t="shared" si="16"/>
        <v>91.66</v>
      </c>
      <c r="I110" s="59">
        <f t="shared" si="16"/>
        <v>4589.305</v>
      </c>
      <c r="J110" s="242">
        <f t="shared" si="16"/>
        <v>171791.04209999996</v>
      </c>
      <c r="K110" s="59">
        <f t="shared" si="16"/>
        <v>91.86</v>
      </c>
      <c r="L110" s="241">
        <f t="shared" si="16"/>
        <v>4542.428</v>
      </c>
      <c r="M110" s="242">
        <f t="shared" si="16"/>
        <v>183640.45272</v>
      </c>
      <c r="N110" s="59">
        <f t="shared" si="16"/>
        <v>91.86</v>
      </c>
      <c r="O110" s="241">
        <f t="shared" si="16"/>
        <v>5035.748</v>
      </c>
      <c r="P110" s="257">
        <f t="shared" si="16"/>
        <v>198715.05831999998</v>
      </c>
      <c r="Q110" s="258">
        <f t="shared" si="16"/>
        <v>18627.836000000003</v>
      </c>
      <c r="R110" s="257">
        <f t="shared" si="16"/>
        <v>716650.54474</v>
      </c>
      <c r="T110" s="12"/>
      <c r="U110" s="12"/>
      <c r="V110" s="12"/>
    </row>
    <row r="111" spans="1:22" ht="35.25" customHeight="1">
      <c r="A111" s="37"/>
      <c r="B111" s="439" t="s">
        <v>17</v>
      </c>
      <c r="C111" s="439"/>
      <c r="D111" s="439"/>
      <c r="E111" s="377" t="s">
        <v>127</v>
      </c>
      <c r="F111" s="377"/>
      <c r="G111" s="377"/>
      <c r="H111" s="377"/>
      <c r="I111" s="377"/>
      <c r="J111" s="377"/>
      <c r="K111" s="377"/>
      <c r="L111" s="377"/>
      <c r="M111" s="377"/>
      <c r="N111" s="377"/>
      <c r="O111" s="377"/>
      <c r="P111" s="377"/>
      <c r="Q111" s="377"/>
      <c r="R111" s="377"/>
      <c r="T111" s="12"/>
      <c r="U111" s="12"/>
      <c r="V111" s="12"/>
    </row>
    <row r="112" spans="1:18" s="12" customFormat="1" ht="25.5" customHeight="1">
      <c r="A112" s="5"/>
      <c r="B112" s="5"/>
      <c r="C112" s="5"/>
      <c r="D112" s="5"/>
      <c r="E112" s="5"/>
      <c r="F112" s="181">
        <v>34.01</v>
      </c>
      <c r="G112" s="184">
        <v>35.78</v>
      </c>
      <c r="H112" s="184"/>
      <c r="I112" s="184"/>
      <c r="J112" s="2"/>
      <c r="K112" s="5"/>
      <c r="L112" s="5"/>
      <c r="M112" s="5"/>
      <c r="N112" s="5"/>
      <c r="O112" s="5"/>
      <c r="P112" s="5"/>
      <c r="Q112" s="5"/>
      <c r="R112" s="5"/>
    </row>
    <row r="113" spans="1:18" s="12" customFormat="1" ht="33" customHeight="1">
      <c r="A113" s="5"/>
      <c r="B113" s="5"/>
      <c r="C113" s="5"/>
      <c r="D113" s="5"/>
      <c r="E113" s="5"/>
      <c r="F113" s="188">
        <v>54.7</v>
      </c>
      <c r="G113" s="184">
        <v>57.54</v>
      </c>
      <c r="H113" s="184"/>
      <c r="I113" s="184"/>
      <c r="J113" s="2"/>
      <c r="K113" s="5"/>
      <c r="L113" s="5"/>
      <c r="M113" s="5"/>
      <c r="N113" s="5"/>
      <c r="O113" s="5"/>
      <c r="P113" s="38"/>
      <c r="Q113" s="38"/>
      <c r="R113" s="5"/>
    </row>
    <row r="114" spans="1:22" ht="34.5" customHeight="1">
      <c r="A114" s="446" t="s">
        <v>115</v>
      </c>
      <c r="B114" s="446"/>
      <c r="C114" s="446"/>
      <c r="D114" s="446"/>
      <c r="E114" s="446"/>
      <c r="F114" s="446"/>
      <c r="G114" s="446"/>
      <c r="H114" s="446"/>
      <c r="I114" s="446"/>
      <c r="J114" s="446"/>
      <c r="K114" s="446"/>
      <c r="L114" s="446"/>
      <c r="M114" s="446"/>
      <c r="N114" s="446"/>
      <c r="O114" s="446"/>
      <c r="P114" s="446"/>
      <c r="Q114" s="446"/>
      <c r="R114" s="446"/>
      <c r="T114" s="12"/>
      <c r="U114" s="12"/>
      <c r="V114" s="12"/>
    </row>
    <row r="115" spans="1:22" ht="25.5">
      <c r="A115" s="381" t="s">
        <v>15</v>
      </c>
      <c r="B115" s="382" t="s">
        <v>0</v>
      </c>
      <c r="C115" s="383"/>
      <c r="D115" s="384"/>
      <c r="E115" s="377" t="s">
        <v>1</v>
      </c>
      <c r="F115" s="377"/>
      <c r="G115" s="377"/>
      <c r="H115" s="377" t="s">
        <v>3</v>
      </c>
      <c r="I115" s="377"/>
      <c r="J115" s="377"/>
      <c r="K115" s="377" t="s">
        <v>4</v>
      </c>
      <c r="L115" s="377"/>
      <c r="M115" s="377"/>
      <c r="N115" s="377" t="s">
        <v>6</v>
      </c>
      <c r="O115" s="377"/>
      <c r="P115" s="377"/>
      <c r="Q115" s="377" t="s">
        <v>7</v>
      </c>
      <c r="R115" s="377"/>
      <c r="T115" s="12"/>
      <c r="U115" s="12"/>
      <c r="V115" s="12"/>
    </row>
    <row r="116" spans="1:22" ht="25.5">
      <c r="A116" s="381"/>
      <c r="B116" s="385"/>
      <c r="C116" s="386"/>
      <c r="D116" s="387"/>
      <c r="E116" s="125" t="s">
        <v>10</v>
      </c>
      <c r="F116" s="125" t="s">
        <v>10</v>
      </c>
      <c r="G116" s="109" t="s">
        <v>5</v>
      </c>
      <c r="H116" s="125" t="s">
        <v>10</v>
      </c>
      <c r="I116" s="125" t="s">
        <v>10</v>
      </c>
      <c r="J116" s="109" t="s">
        <v>5</v>
      </c>
      <c r="K116" s="125" t="s">
        <v>10</v>
      </c>
      <c r="L116" s="125" t="s">
        <v>10</v>
      </c>
      <c r="M116" s="109" t="s">
        <v>5</v>
      </c>
      <c r="N116" s="125" t="s">
        <v>10</v>
      </c>
      <c r="O116" s="125" t="s">
        <v>10</v>
      </c>
      <c r="P116" s="109" t="s">
        <v>5</v>
      </c>
      <c r="Q116" s="125" t="s">
        <v>10</v>
      </c>
      <c r="R116" s="109" t="s">
        <v>5</v>
      </c>
      <c r="T116" s="12"/>
      <c r="U116" s="12"/>
      <c r="V116" s="12"/>
    </row>
    <row r="117" spans="1:22" s="97" customFormat="1" ht="34.5" customHeight="1">
      <c r="A117" s="104">
        <v>1</v>
      </c>
      <c r="B117" s="371" t="s">
        <v>33</v>
      </c>
      <c r="C117" s="372"/>
      <c r="D117" s="373"/>
      <c r="E117" s="98">
        <v>17.5</v>
      </c>
      <c r="F117" s="228">
        <v>12.3</v>
      </c>
      <c r="G117" s="246">
        <f>F117*F144</f>
        <v>562.11</v>
      </c>
      <c r="H117" s="93">
        <v>17.5</v>
      </c>
      <c r="I117" s="228">
        <v>8.3</v>
      </c>
      <c r="J117" s="246">
        <f>I117*F144</f>
        <v>379.31000000000006</v>
      </c>
      <c r="K117" s="93">
        <v>17.5</v>
      </c>
      <c r="L117" s="228">
        <v>5.4</v>
      </c>
      <c r="M117" s="246">
        <f>L117*G144</f>
        <v>259.632</v>
      </c>
      <c r="N117" s="93">
        <v>17.5</v>
      </c>
      <c r="O117" s="228">
        <v>11.3</v>
      </c>
      <c r="P117" s="246">
        <f>O117*G144</f>
        <v>543.304</v>
      </c>
      <c r="Q117" s="93">
        <f>F117+I117+L117+O117</f>
        <v>37.3</v>
      </c>
      <c r="R117" s="227">
        <f>G117+J117+M117+P117</f>
        <v>1744.3560000000002</v>
      </c>
      <c r="S117" s="94"/>
      <c r="T117" s="96"/>
      <c r="U117" s="96"/>
      <c r="V117" s="95"/>
    </row>
    <row r="118" spans="1:22" s="97" customFormat="1" ht="36" customHeight="1">
      <c r="A118" s="104">
        <v>2</v>
      </c>
      <c r="B118" s="371" t="s">
        <v>41</v>
      </c>
      <c r="C118" s="372"/>
      <c r="D118" s="373"/>
      <c r="E118" s="98"/>
      <c r="F118" s="228">
        <f>F119+F120+F121+F122+F123+F124</f>
        <v>2325.56</v>
      </c>
      <c r="G118" s="246">
        <f>G119+G120+G121+G122+G124+G123</f>
        <v>876891.092</v>
      </c>
      <c r="H118" s="93"/>
      <c r="I118" s="228">
        <f>I119+I120+I121+I122+I123+I124</f>
        <v>2397.88</v>
      </c>
      <c r="J118" s="246">
        <f>J119+J120+J121+J122+J123+J124</f>
        <v>1322351.1160000002</v>
      </c>
      <c r="K118" s="93"/>
      <c r="L118" s="228">
        <f>L119+L120+L121+L122+L123+L124</f>
        <v>2361.08</v>
      </c>
      <c r="M118" s="246">
        <f>M119+M120+M121+M122+M123+M124</f>
        <v>79896.9264</v>
      </c>
      <c r="N118" s="93"/>
      <c r="O118" s="228">
        <f>O119+O120+O121+O122+O123+O124</f>
        <v>2343.7500000000005</v>
      </c>
      <c r="P118" s="246">
        <f>P119+P120+P121+P122+P123+P124</f>
        <v>80093</v>
      </c>
      <c r="Q118" s="93">
        <f>Q119+Q120+Q122+Q123+Q124+Q121</f>
        <v>9428.27</v>
      </c>
      <c r="R118" s="227">
        <f>R119+R120+R121+R122+R123+R124</f>
        <v>2359232.1344</v>
      </c>
      <c r="S118" s="94"/>
      <c r="T118" s="96"/>
      <c r="U118" s="96"/>
      <c r="V118" s="95"/>
    </row>
    <row r="119" spans="1:21" ht="32.25" customHeight="1">
      <c r="A119" s="34"/>
      <c r="B119" s="374" t="s">
        <v>34</v>
      </c>
      <c r="C119" s="375"/>
      <c r="D119" s="376"/>
      <c r="E119" s="8">
        <v>2715</v>
      </c>
      <c r="F119" s="232">
        <v>748.28</v>
      </c>
      <c r="G119" s="248">
        <f>F119*F144</f>
        <v>34196.396</v>
      </c>
      <c r="H119" s="231">
        <v>2715</v>
      </c>
      <c r="I119" s="232">
        <v>409.15</v>
      </c>
      <c r="J119" s="248">
        <f>I119*F144</f>
        <v>18698.155</v>
      </c>
      <c r="K119" s="231">
        <v>2715</v>
      </c>
      <c r="L119" s="232">
        <v>662.91</v>
      </c>
      <c r="M119" s="248">
        <f>L119*G144</f>
        <v>31872.712799999998</v>
      </c>
      <c r="N119" s="231">
        <v>2715</v>
      </c>
      <c r="O119" s="232">
        <v>464.93</v>
      </c>
      <c r="P119" s="248">
        <f>O119*G144</f>
        <v>22353.8344</v>
      </c>
      <c r="Q119" s="231">
        <f aca="true" t="shared" si="17" ref="Q119:R127">F119+I119+L119+O119</f>
        <v>2285.2699999999995</v>
      </c>
      <c r="R119" s="230">
        <f t="shared" si="17"/>
        <v>107121.09820000001</v>
      </c>
      <c r="S119" s="67" t="s">
        <v>82</v>
      </c>
      <c r="T119" s="13"/>
      <c r="U119" s="13"/>
    </row>
    <row r="120" spans="1:22" ht="33.75" customHeight="1">
      <c r="A120" s="34"/>
      <c r="B120" s="399" t="s">
        <v>35</v>
      </c>
      <c r="C120" s="400"/>
      <c r="D120" s="401"/>
      <c r="E120" s="8">
        <v>816</v>
      </c>
      <c r="F120" s="232">
        <v>250</v>
      </c>
      <c r="G120" s="248">
        <f>F120*F144</f>
        <v>11425</v>
      </c>
      <c r="H120" s="231">
        <v>816</v>
      </c>
      <c r="I120" s="232">
        <v>230</v>
      </c>
      <c r="J120" s="248">
        <f>I120*F144</f>
        <v>10511</v>
      </c>
      <c r="K120" s="231">
        <v>816</v>
      </c>
      <c r="L120" s="232">
        <v>230</v>
      </c>
      <c r="M120" s="248">
        <f>L120*G144</f>
        <v>11058.4</v>
      </c>
      <c r="N120" s="231">
        <v>816</v>
      </c>
      <c r="O120" s="232">
        <v>250</v>
      </c>
      <c r="P120" s="248">
        <f>O120*G144</f>
        <v>12020</v>
      </c>
      <c r="Q120" s="231">
        <f t="shared" si="17"/>
        <v>960</v>
      </c>
      <c r="R120" s="230">
        <f t="shared" si="17"/>
        <v>45014.4</v>
      </c>
      <c r="S120" s="67" t="s">
        <v>82</v>
      </c>
      <c r="T120" s="11"/>
      <c r="U120" s="11"/>
      <c r="V120" s="12"/>
    </row>
    <row r="121" spans="1:22" ht="40.5" customHeight="1">
      <c r="A121" s="34"/>
      <c r="B121" s="374" t="s">
        <v>36</v>
      </c>
      <c r="C121" s="375"/>
      <c r="D121" s="376"/>
      <c r="E121" s="8">
        <v>910.2</v>
      </c>
      <c r="F121" s="232">
        <v>400</v>
      </c>
      <c r="G121" s="248">
        <f>F121*F145</f>
        <v>523600</v>
      </c>
      <c r="H121" s="231">
        <v>1072.5</v>
      </c>
      <c r="I121" s="232">
        <v>450</v>
      </c>
      <c r="J121" s="248">
        <f>I121*F145</f>
        <v>589050</v>
      </c>
      <c r="K121" s="231">
        <v>905.1</v>
      </c>
      <c r="L121" s="232">
        <v>200</v>
      </c>
      <c r="M121" s="248">
        <f>L121*G145</f>
        <v>2754</v>
      </c>
      <c r="N121" s="231">
        <v>1121.6</v>
      </c>
      <c r="O121" s="232">
        <v>400</v>
      </c>
      <c r="P121" s="248">
        <f>O121*G145</f>
        <v>5508</v>
      </c>
      <c r="Q121" s="231">
        <f t="shared" si="17"/>
        <v>1450</v>
      </c>
      <c r="R121" s="230">
        <f t="shared" si="17"/>
        <v>1120912</v>
      </c>
      <c r="S121" s="67" t="s">
        <v>82</v>
      </c>
      <c r="T121" s="11"/>
      <c r="U121" s="11"/>
      <c r="V121" s="12"/>
    </row>
    <row r="122" spans="1:22" ht="37.5" customHeight="1">
      <c r="A122" s="34"/>
      <c r="B122" s="370" t="s">
        <v>37</v>
      </c>
      <c r="C122" s="370"/>
      <c r="D122" s="370"/>
      <c r="E122" s="8">
        <v>1845</v>
      </c>
      <c r="F122" s="232">
        <v>210</v>
      </c>
      <c r="G122" s="248">
        <f>F122*F145</f>
        <v>274890</v>
      </c>
      <c r="H122" s="231">
        <v>1803</v>
      </c>
      <c r="I122" s="232">
        <v>510</v>
      </c>
      <c r="J122" s="248">
        <f>I122*F145</f>
        <v>667590</v>
      </c>
      <c r="K122" s="231">
        <v>1803</v>
      </c>
      <c r="L122" s="232">
        <v>780</v>
      </c>
      <c r="M122" s="248">
        <f>L122*G145</f>
        <v>10740.6</v>
      </c>
      <c r="N122" s="231">
        <v>1813.3</v>
      </c>
      <c r="O122" s="232">
        <v>550</v>
      </c>
      <c r="P122" s="248">
        <f>O122*G145</f>
        <v>7573.5</v>
      </c>
      <c r="Q122" s="231">
        <f t="shared" si="17"/>
        <v>2050</v>
      </c>
      <c r="R122" s="230">
        <f t="shared" si="17"/>
        <v>960794.1</v>
      </c>
      <c r="S122" s="67" t="s">
        <v>82</v>
      </c>
      <c r="T122" s="11"/>
      <c r="U122" s="11"/>
      <c r="V122" s="12"/>
    </row>
    <row r="123" spans="1:22" s="120" customFormat="1" ht="40.5" customHeight="1">
      <c r="A123" s="123"/>
      <c r="B123" s="440" t="s">
        <v>38</v>
      </c>
      <c r="C123" s="440"/>
      <c r="D123" s="440"/>
      <c r="E123" s="116">
        <v>74.5</v>
      </c>
      <c r="F123" s="250">
        <v>675</v>
      </c>
      <c r="G123" s="253">
        <f>F123*F144</f>
        <v>30847.500000000004</v>
      </c>
      <c r="H123" s="252">
        <v>72.8</v>
      </c>
      <c r="I123" s="250">
        <v>766.5</v>
      </c>
      <c r="J123" s="253">
        <f>I123*F144</f>
        <v>35029.05</v>
      </c>
      <c r="K123" s="252">
        <v>72.9</v>
      </c>
      <c r="L123" s="250">
        <v>400</v>
      </c>
      <c r="M123" s="253">
        <f>L123*G144</f>
        <v>19232</v>
      </c>
      <c r="N123" s="252">
        <v>72.9</v>
      </c>
      <c r="O123" s="250">
        <v>658.5</v>
      </c>
      <c r="P123" s="253">
        <f>O123*G144</f>
        <v>31660.68</v>
      </c>
      <c r="Q123" s="252">
        <f t="shared" si="17"/>
        <v>2500</v>
      </c>
      <c r="R123" s="251">
        <f t="shared" si="17"/>
        <v>116769.23000000001</v>
      </c>
      <c r="S123" s="117" t="s">
        <v>82</v>
      </c>
      <c r="T123" s="119"/>
      <c r="U123" s="119"/>
      <c r="V123" s="118"/>
    </row>
    <row r="124" spans="1:22" s="120" customFormat="1" ht="55.5" customHeight="1">
      <c r="A124" s="123"/>
      <c r="B124" s="440" t="s">
        <v>39</v>
      </c>
      <c r="C124" s="440"/>
      <c r="D124" s="440"/>
      <c r="E124" s="116">
        <v>88.6</v>
      </c>
      <c r="F124" s="259">
        <v>42.28</v>
      </c>
      <c r="G124" s="253">
        <f>F124*F144</f>
        <v>1932.1960000000001</v>
      </c>
      <c r="H124" s="252">
        <v>88.5</v>
      </c>
      <c r="I124" s="260">
        <v>32.23</v>
      </c>
      <c r="J124" s="253">
        <f>I124*F144</f>
        <v>1472.911</v>
      </c>
      <c r="K124" s="252">
        <v>88.5</v>
      </c>
      <c r="L124" s="250">
        <v>88.17</v>
      </c>
      <c r="M124" s="253">
        <f>L124*G144</f>
        <v>4239.2136</v>
      </c>
      <c r="N124" s="252">
        <v>88.5</v>
      </c>
      <c r="O124" s="260">
        <v>20.32</v>
      </c>
      <c r="P124" s="253">
        <f>O124*G144</f>
        <v>976.9856</v>
      </c>
      <c r="Q124" s="252">
        <f>F124+I124+L124+O124</f>
        <v>183</v>
      </c>
      <c r="R124" s="251">
        <f t="shared" si="17"/>
        <v>8621.306199999999</v>
      </c>
      <c r="S124" s="117" t="s">
        <v>82</v>
      </c>
      <c r="T124" s="119"/>
      <c r="U124" s="119"/>
      <c r="V124" s="118"/>
    </row>
    <row r="125" spans="1:22" s="97" customFormat="1" ht="51.75" customHeight="1">
      <c r="A125" s="104">
        <v>3</v>
      </c>
      <c r="B125" s="371" t="s">
        <v>42</v>
      </c>
      <c r="C125" s="372"/>
      <c r="D125" s="373"/>
      <c r="E125" s="98">
        <v>118.05</v>
      </c>
      <c r="F125" s="240">
        <f>F126+F127</f>
        <v>100.84700000000001</v>
      </c>
      <c r="G125" s="246">
        <f>G126+G127</f>
        <v>30944.723</v>
      </c>
      <c r="H125" s="93">
        <v>118.05</v>
      </c>
      <c r="I125" s="240">
        <f>I126+I127</f>
        <v>100.84700000000001</v>
      </c>
      <c r="J125" s="246">
        <f>J126+J127</f>
        <v>30944.723</v>
      </c>
      <c r="K125" s="93">
        <v>118.05</v>
      </c>
      <c r="L125" s="240">
        <f>L126+L127</f>
        <v>100.825</v>
      </c>
      <c r="M125" s="246">
        <f>M126+M127</f>
        <v>4133.16025</v>
      </c>
      <c r="N125" s="93">
        <v>118.05</v>
      </c>
      <c r="O125" s="240">
        <f>O126+O127</f>
        <v>100.825</v>
      </c>
      <c r="P125" s="246">
        <f>P126+P127</f>
        <v>4133.16025</v>
      </c>
      <c r="Q125" s="239">
        <f>Q126+Q127</f>
        <v>403.344</v>
      </c>
      <c r="R125" s="227">
        <f t="shared" si="17"/>
        <v>70155.7665</v>
      </c>
      <c r="S125" s="94"/>
      <c r="T125" s="96"/>
      <c r="U125" s="96"/>
      <c r="V125" s="95"/>
    </row>
    <row r="126" spans="1:22" ht="51.75" customHeight="1">
      <c r="A126" s="32"/>
      <c r="B126" s="391" t="s">
        <v>71</v>
      </c>
      <c r="C126" s="392"/>
      <c r="D126" s="393"/>
      <c r="E126" s="8"/>
      <c r="F126" s="232">
        <v>80</v>
      </c>
      <c r="G126" s="248">
        <f>F126*F144</f>
        <v>3656</v>
      </c>
      <c r="H126" s="59"/>
      <c r="I126" s="232">
        <v>80</v>
      </c>
      <c r="J126" s="248">
        <f>I126*F144</f>
        <v>3656</v>
      </c>
      <c r="K126" s="231"/>
      <c r="L126" s="232">
        <v>80</v>
      </c>
      <c r="M126" s="248">
        <f>L126*G144</f>
        <v>3846.3999999999996</v>
      </c>
      <c r="N126" s="231"/>
      <c r="O126" s="232">
        <v>80</v>
      </c>
      <c r="P126" s="248">
        <f>O126*G144</f>
        <v>3846.3999999999996</v>
      </c>
      <c r="Q126" s="231">
        <f t="shared" si="17"/>
        <v>320</v>
      </c>
      <c r="R126" s="230">
        <f>G126+J126+M126+P126</f>
        <v>15004.8</v>
      </c>
      <c r="S126" s="67"/>
      <c r="T126" s="11"/>
      <c r="U126" s="11"/>
      <c r="V126" s="12"/>
    </row>
    <row r="127" spans="1:22" ht="51.75" customHeight="1">
      <c r="A127" s="32"/>
      <c r="B127" s="391" t="s">
        <v>72</v>
      </c>
      <c r="C127" s="392"/>
      <c r="D127" s="393"/>
      <c r="E127" s="8"/>
      <c r="F127" s="256">
        <v>20.847</v>
      </c>
      <c r="G127" s="248">
        <f>F127*F145</f>
        <v>27288.723</v>
      </c>
      <c r="H127" s="59"/>
      <c r="I127" s="256">
        <v>20.847</v>
      </c>
      <c r="J127" s="248">
        <f>I127*F145</f>
        <v>27288.723</v>
      </c>
      <c r="K127" s="231"/>
      <c r="L127" s="256">
        <v>20.825</v>
      </c>
      <c r="M127" s="248">
        <f>L127*G145</f>
        <v>286.76025</v>
      </c>
      <c r="N127" s="231"/>
      <c r="O127" s="256">
        <v>20.825</v>
      </c>
      <c r="P127" s="248">
        <f>O127*G145</f>
        <v>286.76025</v>
      </c>
      <c r="Q127" s="231">
        <f t="shared" si="17"/>
        <v>83.34400000000001</v>
      </c>
      <c r="R127" s="230">
        <f>G127+J127+M127+P127</f>
        <v>55150.9665</v>
      </c>
      <c r="S127" s="67"/>
      <c r="T127" s="11"/>
      <c r="U127" s="11"/>
      <c r="V127" s="12"/>
    </row>
    <row r="128" spans="1:22" s="97" customFormat="1" ht="33.75" customHeight="1">
      <c r="A128" s="104">
        <v>4</v>
      </c>
      <c r="B128" s="371" t="s">
        <v>43</v>
      </c>
      <c r="C128" s="372"/>
      <c r="D128" s="373"/>
      <c r="E128" s="98">
        <v>180</v>
      </c>
      <c r="F128" s="228">
        <f>F129</f>
        <v>23.4</v>
      </c>
      <c r="G128" s="246">
        <f>G129</f>
        <v>1069.38</v>
      </c>
      <c r="H128" s="93"/>
      <c r="I128" s="228">
        <f>I129</f>
        <v>23.4</v>
      </c>
      <c r="J128" s="246">
        <f>J129</f>
        <v>1069.38</v>
      </c>
      <c r="K128" s="93"/>
      <c r="L128" s="228">
        <f>L129</f>
        <v>23.7</v>
      </c>
      <c r="M128" s="246">
        <f>M129</f>
        <v>1139.4959999999999</v>
      </c>
      <c r="N128" s="93"/>
      <c r="O128" s="228">
        <f>O129</f>
        <v>23.1</v>
      </c>
      <c r="P128" s="246">
        <f>P129</f>
        <v>1110.6480000000001</v>
      </c>
      <c r="Q128" s="93">
        <f>Q129</f>
        <v>93.6</v>
      </c>
      <c r="R128" s="227">
        <f>R129</f>
        <v>4388.904</v>
      </c>
      <c r="S128" s="94"/>
      <c r="T128" s="96"/>
      <c r="U128" s="96"/>
      <c r="V128" s="95"/>
    </row>
    <row r="129" spans="1:22" ht="38.25" customHeight="1">
      <c r="A129" s="34"/>
      <c r="B129" s="374" t="s">
        <v>44</v>
      </c>
      <c r="C129" s="375"/>
      <c r="D129" s="376"/>
      <c r="E129" s="8"/>
      <c r="F129" s="232">
        <v>23.4</v>
      </c>
      <c r="G129" s="248">
        <f>F129*F144</f>
        <v>1069.38</v>
      </c>
      <c r="H129" s="231"/>
      <c r="I129" s="232">
        <v>23.4</v>
      </c>
      <c r="J129" s="248">
        <f>I129*F144</f>
        <v>1069.38</v>
      </c>
      <c r="K129" s="231"/>
      <c r="L129" s="232">
        <v>23.7</v>
      </c>
      <c r="M129" s="248">
        <f>L129*G144</f>
        <v>1139.4959999999999</v>
      </c>
      <c r="N129" s="231"/>
      <c r="O129" s="232">
        <v>23.1</v>
      </c>
      <c r="P129" s="248">
        <f>O129*G144</f>
        <v>1110.6480000000001</v>
      </c>
      <c r="Q129" s="231">
        <f>F129+I129+L129+O129</f>
        <v>93.6</v>
      </c>
      <c r="R129" s="230">
        <f>G129+J129+M129+P129</f>
        <v>4388.904</v>
      </c>
      <c r="S129" s="67"/>
      <c r="T129" s="11"/>
      <c r="U129" s="11"/>
      <c r="V129" s="12"/>
    </row>
    <row r="130" spans="1:22" s="97" customFormat="1" ht="44.25" customHeight="1">
      <c r="A130" s="104">
        <v>5</v>
      </c>
      <c r="B130" s="371" t="s">
        <v>47</v>
      </c>
      <c r="C130" s="372"/>
      <c r="D130" s="373"/>
      <c r="E130" s="98"/>
      <c r="F130" s="228">
        <f>F131+F132+F133+F134</f>
        <v>189.14</v>
      </c>
      <c r="G130" s="246">
        <f>G131+G132+G133+G134</f>
        <v>42500.138</v>
      </c>
      <c r="H130" s="93"/>
      <c r="I130" s="228">
        <f>I131+I132+I133+I134</f>
        <v>171.2</v>
      </c>
      <c r="J130" s="246">
        <f>J131+J132+J133+J134</f>
        <v>35237.450000000004</v>
      </c>
      <c r="K130" s="93"/>
      <c r="L130" s="228">
        <f>L131+L132+L133+L134</f>
        <v>152.42000000000002</v>
      </c>
      <c r="M130" s="246">
        <f>M131+M132+M133+M134</f>
        <v>6583.8266</v>
      </c>
      <c r="N130" s="93"/>
      <c r="O130" s="228">
        <f>O131+O132+O133+O134</f>
        <v>245.33999999999997</v>
      </c>
      <c r="P130" s="246">
        <f>P131+P132+P133+P134</f>
        <v>10852.422199999999</v>
      </c>
      <c r="Q130" s="93">
        <f>Q131+Q132+Q133+Q134</f>
        <v>758.0999999999999</v>
      </c>
      <c r="R130" s="227">
        <f>R131+R132+R133+R134</f>
        <v>95173.8368</v>
      </c>
      <c r="S130" s="94"/>
      <c r="T130" s="96"/>
      <c r="U130" s="96"/>
      <c r="V130" s="95"/>
    </row>
    <row r="131" spans="1:22" ht="39.75" customHeight="1">
      <c r="A131" s="32"/>
      <c r="B131" s="374" t="s">
        <v>48</v>
      </c>
      <c r="C131" s="375"/>
      <c r="D131" s="376"/>
      <c r="E131" s="8"/>
      <c r="F131" s="232">
        <v>8.64</v>
      </c>
      <c r="G131" s="248">
        <f>F131*F144</f>
        <v>394.84800000000007</v>
      </c>
      <c r="H131" s="231"/>
      <c r="I131" s="232">
        <v>10</v>
      </c>
      <c r="J131" s="248">
        <f>I131*F144</f>
        <v>457</v>
      </c>
      <c r="K131" s="231"/>
      <c r="L131" s="232">
        <v>14.42</v>
      </c>
      <c r="M131" s="248">
        <f>L131*G144</f>
        <v>693.3136</v>
      </c>
      <c r="N131" s="231"/>
      <c r="O131" s="232">
        <v>32.88</v>
      </c>
      <c r="P131" s="248">
        <f>O131*G144</f>
        <v>1580.8704</v>
      </c>
      <c r="Q131" s="231">
        <f aca="true" t="shared" si="18" ref="Q131:R134">F131+I131+L131+O131</f>
        <v>65.94</v>
      </c>
      <c r="R131" s="230">
        <f t="shared" si="18"/>
        <v>3126.032</v>
      </c>
      <c r="S131" s="67"/>
      <c r="T131" s="11"/>
      <c r="U131" s="11"/>
      <c r="V131" s="12"/>
    </row>
    <row r="132" spans="1:22" ht="44.25" customHeight="1">
      <c r="A132" s="32"/>
      <c r="B132" s="374" t="s">
        <v>49</v>
      </c>
      <c r="C132" s="375"/>
      <c r="D132" s="376"/>
      <c r="E132" s="8"/>
      <c r="F132" s="232">
        <v>73</v>
      </c>
      <c r="G132" s="248">
        <f>53.5*F144+19.5*F145</f>
        <v>27970.45</v>
      </c>
      <c r="H132" s="231"/>
      <c r="I132" s="232">
        <v>72</v>
      </c>
      <c r="J132" s="248">
        <f>52.5*F144+19.5*F145</f>
        <v>27924.75</v>
      </c>
      <c r="K132" s="231"/>
      <c r="L132" s="232">
        <v>62</v>
      </c>
      <c r="M132" s="248">
        <f>42.5*G144+19.5*G145</f>
        <v>2311.915</v>
      </c>
      <c r="N132" s="231"/>
      <c r="O132" s="232">
        <v>71</v>
      </c>
      <c r="P132" s="248">
        <f>51.5*G144+19.5*G145</f>
        <v>2744.6349999999998</v>
      </c>
      <c r="Q132" s="231">
        <f t="shared" si="18"/>
        <v>278</v>
      </c>
      <c r="R132" s="230">
        <f t="shared" si="18"/>
        <v>60951.75</v>
      </c>
      <c r="S132" s="67"/>
      <c r="T132" s="11"/>
      <c r="U132" s="11"/>
      <c r="V132" s="12"/>
    </row>
    <row r="133" spans="1:22" ht="45.75" customHeight="1">
      <c r="A133" s="32"/>
      <c r="B133" s="374" t="s">
        <v>50</v>
      </c>
      <c r="C133" s="375"/>
      <c r="D133" s="376"/>
      <c r="E133" s="8"/>
      <c r="F133" s="232">
        <v>47.3</v>
      </c>
      <c r="G133" s="248">
        <f>40*F144+7.3*F145</f>
        <v>11383.699999999999</v>
      </c>
      <c r="H133" s="231"/>
      <c r="I133" s="232">
        <v>42.2</v>
      </c>
      <c r="J133" s="248">
        <f>40*F144+2.2*F145</f>
        <v>4707.8</v>
      </c>
      <c r="K133" s="231"/>
      <c r="L133" s="232">
        <v>41.1</v>
      </c>
      <c r="M133" s="248">
        <f>38.9*G144+2.2*G145</f>
        <v>1900.606</v>
      </c>
      <c r="N133" s="231"/>
      <c r="O133" s="232">
        <v>47.5</v>
      </c>
      <c r="P133" s="248">
        <f>39.5*G144+8*G145</f>
        <v>2009.32</v>
      </c>
      <c r="Q133" s="231">
        <f t="shared" si="18"/>
        <v>178.1</v>
      </c>
      <c r="R133" s="230">
        <f t="shared" si="18"/>
        <v>20001.426</v>
      </c>
      <c r="S133" s="67" t="s">
        <v>82</v>
      </c>
      <c r="T133" s="11"/>
      <c r="U133" s="11"/>
      <c r="V133" s="12"/>
    </row>
    <row r="134" spans="1:22" ht="33.75" customHeight="1">
      <c r="A134" s="32"/>
      <c r="B134" s="370" t="s">
        <v>40</v>
      </c>
      <c r="C134" s="370"/>
      <c r="D134" s="370"/>
      <c r="E134" s="8"/>
      <c r="F134" s="232">
        <v>60.2</v>
      </c>
      <c r="G134" s="248">
        <f>F134*F144</f>
        <v>2751.1400000000003</v>
      </c>
      <c r="H134" s="231"/>
      <c r="I134" s="232">
        <v>47</v>
      </c>
      <c r="J134" s="248">
        <f>I134*F144</f>
        <v>2147.9</v>
      </c>
      <c r="K134" s="231"/>
      <c r="L134" s="232">
        <v>34.9</v>
      </c>
      <c r="M134" s="248">
        <f>L134*G144</f>
        <v>1677.992</v>
      </c>
      <c r="N134" s="231"/>
      <c r="O134" s="232">
        <v>93.96</v>
      </c>
      <c r="P134" s="248">
        <f>O134*G144</f>
        <v>4517.596799999999</v>
      </c>
      <c r="Q134" s="231">
        <f t="shared" si="18"/>
        <v>236.06</v>
      </c>
      <c r="R134" s="230">
        <f t="shared" si="18"/>
        <v>11094.6288</v>
      </c>
      <c r="S134" s="67" t="s">
        <v>82</v>
      </c>
      <c r="T134" s="11"/>
      <c r="U134" s="11"/>
      <c r="V134" s="12"/>
    </row>
    <row r="135" spans="1:22" s="97" customFormat="1" ht="33.75" customHeight="1">
      <c r="A135" s="104">
        <v>6</v>
      </c>
      <c r="B135" s="371" t="s">
        <v>53</v>
      </c>
      <c r="C135" s="372"/>
      <c r="D135" s="373"/>
      <c r="E135" s="98"/>
      <c r="F135" s="228">
        <f>F136+F137+F138</f>
        <v>3319.1</v>
      </c>
      <c r="G135" s="246">
        <f>G136+G137+G138</f>
        <v>151682.87</v>
      </c>
      <c r="H135" s="93"/>
      <c r="I135" s="228">
        <f>I136+I137+I138</f>
        <v>3004.1</v>
      </c>
      <c r="J135" s="246">
        <f>J136+J137+J138</f>
        <v>137287.37</v>
      </c>
      <c r="K135" s="93"/>
      <c r="L135" s="228">
        <f>L136+L137+L138</f>
        <v>2722.1</v>
      </c>
      <c r="M135" s="246">
        <f>M136+M137+M138</f>
        <v>130878.568</v>
      </c>
      <c r="N135" s="93"/>
      <c r="O135" s="228">
        <f>O136+O137+O138</f>
        <v>3046.1</v>
      </c>
      <c r="P135" s="246">
        <f>P136+P137+P138</f>
        <v>146456.48799999998</v>
      </c>
      <c r="Q135" s="93">
        <f>Q136+Q137+Q138</f>
        <v>12091.4</v>
      </c>
      <c r="R135" s="227">
        <f>R136+R137+R138</f>
        <v>566305.296</v>
      </c>
      <c r="S135" s="94"/>
      <c r="T135" s="96"/>
      <c r="U135" s="96"/>
      <c r="V135" s="95"/>
    </row>
    <row r="136" spans="1:22" ht="45.75" customHeight="1">
      <c r="A136" s="34"/>
      <c r="B136" s="374" t="s">
        <v>73</v>
      </c>
      <c r="C136" s="375"/>
      <c r="D136" s="376"/>
      <c r="E136" s="8"/>
      <c r="F136" s="232">
        <v>233</v>
      </c>
      <c r="G136" s="248">
        <f>F136*F144</f>
        <v>10648.1</v>
      </c>
      <c r="H136" s="231"/>
      <c r="I136" s="232">
        <v>218</v>
      </c>
      <c r="J136" s="248">
        <f>I136*F144</f>
        <v>9962.6</v>
      </c>
      <c r="K136" s="231"/>
      <c r="L136" s="232">
        <v>96</v>
      </c>
      <c r="M136" s="248">
        <f>L136*G144</f>
        <v>4615.68</v>
      </c>
      <c r="N136" s="231"/>
      <c r="O136" s="232">
        <v>260</v>
      </c>
      <c r="P136" s="248">
        <f>O136*G144</f>
        <v>12500.8</v>
      </c>
      <c r="Q136" s="231">
        <f>F136+I136+L136+O136</f>
        <v>807</v>
      </c>
      <c r="R136" s="230">
        <f>G136+J136+M136+P136</f>
        <v>37727.18</v>
      </c>
      <c r="S136" s="67" t="s">
        <v>82</v>
      </c>
      <c r="T136" s="11"/>
      <c r="U136" s="11"/>
      <c r="V136" s="12"/>
    </row>
    <row r="137" spans="1:22" ht="47.25" customHeight="1">
      <c r="A137" s="34"/>
      <c r="B137" s="374" t="s">
        <v>55</v>
      </c>
      <c r="C137" s="375"/>
      <c r="D137" s="376"/>
      <c r="E137" s="8"/>
      <c r="F137" s="232">
        <v>600</v>
      </c>
      <c r="G137" s="248">
        <f>F137*F144</f>
        <v>27420</v>
      </c>
      <c r="H137" s="231"/>
      <c r="I137" s="232">
        <v>300</v>
      </c>
      <c r="J137" s="248">
        <f>I137*F144</f>
        <v>13710</v>
      </c>
      <c r="K137" s="231"/>
      <c r="L137" s="256">
        <v>140</v>
      </c>
      <c r="M137" s="248">
        <f>L137*G144</f>
        <v>6731.2</v>
      </c>
      <c r="N137" s="231"/>
      <c r="O137" s="256">
        <v>300</v>
      </c>
      <c r="P137" s="248">
        <f>O137*G144</f>
        <v>14424</v>
      </c>
      <c r="Q137" s="231">
        <f>F137+I137+L137+O137</f>
        <v>1340</v>
      </c>
      <c r="R137" s="230">
        <f>G137+J137+M137+P137</f>
        <v>62285.2</v>
      </c>
      <c r="S137" s="67" t="s">
        <v>82</v>
      </c>
      <c r="T137" s="11"/>
      <c r="U137" s="11"/>
      <c r="V137" s="12"/>
    </row>
    <row r="138" spans="1:22" ht="50.25" customHeight="1">
      <c r="A138" s="34"/>
      <c r="B138" s="360" t="s">
        <v>91</v>
      </c>
      <c r="C138" s="441"/>
      <c r="D138" s="442"/>
      <c r="E138" s="8"/>
      <c r="F138" s="232">
        <v>2486.1</v>
      </c>
      <c r="G138" s="248">
        <f>SUM(F138)*F144</f>
        <v>113614.77</v>
      </c>
      <c r="H138" s="231"/>
      <c r="I138" s="232">
        <v>2486.1</v>
      </c>
      <c r="J138" s="248">
        <f>SUM(I138)*F144</f>
        <v>113614.77</v>
      </c>
      <c r="K138" s="231"/>
      <c r="L138" s="256">
        <v>2486.1</v>
      </c>
      <c r="M138" s="248">
        <f>SUM(L138)*G144</f>
        <v>119531.688</v>
      </c>
      <c r="N138" s="231"/>
      <c r="O138" s="256">
        <v>2486.1</v>
      </c>
      <c r="P138" s="248">
        <f>SUM(O138)*G144</f>
        <v>119531.688</v>
      </c>
      <c r="Q138" s="231">
        <f>F138+I138+L138+O138</f>
        <v>9944.4</v>
      </c>
      <c r="R138" s="230">
        <f>SUM(G138)+J138+M138+P138</f>
        <v>466292.91599999997</v>
      </c>
      <c r="S138" s="67"/>
      <c r="T138" s="11"/>
      <c r="U138" s="11"/>
      <c r="V138" s="12"/>
    </row>
    <row r="139" spans="1:22" ht="50.25" customHeight="1">
      <c r="A139" s="34">
        <v>7</v>
      </c>
      <c r="B139" s="371" t="s">
        <v>96</v>
      </c>
      <c r="C139" s="372"/>
      <c r="D139" s="373"/>
      <c r="E139" s="8"/>
      <c r="F139" s="296">
        <f>SUM(F140:F141)</f>
        <v>25</v>
      </c>
      <c r="G139" s="297">
        <f aca="true" t="shared" si="19" ref="G139:Q139">SUM(G140:G141)</f>
        <v>1142.5</v>
      </c>
      <c r="H139" s="295">
        <f t="shared" si="19"/>
        <v>0</v>
      </c>
      <c r="I139" s="296">
        <f t="shared" si="19"/>
        <v>25</v>
      </c>
      <c r="J139" s="297">
        <f t="shared" si="19"/>
        <v>1142.5</v>
      </c>
      <c r="K139" s="295">
        <f t="shared" si="19"/>
        <v>0</v>
      </c>
      <c r="L139" s="298">
        <f t="shared" si="19"/>
        <v>25</v>
      </c>
      <c r="M139" s="297">
        <f t="shared" si="19"/>
        <v>1202</v>
      </c>
      <c r="N139" s="295">
        <f t="shared" si="19"/>
        <v>0</v>
      </c>
      <c r="O139" s="298">
        <f t="shared" si="19"/>
        <v>25</v>
      </c>
      <c r="P139" s="297">
        <f t="shared" si="19"/>
        <v>1202</v>
      </c>
      <c r="Q139" s="295">
        <f t="shared" si="19"/>
        <v>100</v>
      </c>
      <c r="R139" s="299">
        <f>SUM(G139)+J139+M139+P139</f>
        <v>4689</v>
      </c>
      <c r="S139" s="67"/>
      <c r="T139" s="11"/>
      <c r="U139" s="11"/>
      <c r="V139" s="12"/>
    </row>
    <row r="140" spans="1:22" ht="50.25" customHeight="1">
      <c r="A140" s="34"/>
      <c r="B140" s="360" t="s">
        <v>97</v>
      </c>
      <c r="C140" s="441"/>
      <c r="D140" s="442"/>
      <c r="E140" s="8"/>
      <c r="F140" s="232">
        <v>0</v>
      </c>
      <c r="G140" s="248">
        <v>0</v>
      </c>
      <c r="H140" s="231"/>
      <c r="I140" s="232">
        <v>0</v>
      </c>
      <c r="J140" s="248">
        <v>0</v>
      </c>
      <c r="K140" s="231"/>
      <c r="L140" s="256">
        <v>0</v>
      </c>
      <c r="M140" s="248">
        <v>0</v>
      </c>
      <c r="N140" s="231"/>
      <c r="O140" s="256">
        <v>0</v>
      </c>
      <c r="P140" s="248">
        <v>0</v>
      </c>
      <c r="Q140" s="231">
        <f>F140+I140+L140+O140</f>
        <v>0</v>
      </c>
      <c r="R140" s="230">
        <f>SUM(G140)+J140+M140+P140</f>
        <v>0</v>
      </c>
      <c r="S140" s="67"/>
      <c r="T140" s="11"/>
      <c r="U140" s="11"/>
      <c r="V140" s="12"/>
    </row>
    <row r="141" spans="1:22" ht="50.25" customHeight="1">
      <c r="A141" s="34"/>
      <c r="B141" s="360" t="s">
        <v>98</v>
      </c>
      <c r="C141" s="441"/>
      <c r="D141" s="442"/>
      <c r="E141" s="8"/>
      <c r="F141" s="232">
        <v>25</v>
      </c>
      <c r="G141" s="248">
        <f>F141*F144</f>
        <v>1142.5</v>
      </c>
      <c r="H141" s="231"/>
      <c r="I141" s="232">
        <v>25</v>
      </c>
      <c r="J141" s="248">
        <f>I141*F144</f>
        <v>1142.5</v>
      </c>
      <c r="K141" s="231"/>
      <c r="L141" s="256">
        <v>25</v>
      </c>
      <c r="M141" s="248">
        <f>SUM(L141)*G144</f>
        <v>1202</v>
      </c>
      <c r="N141" s="231"/>
      <c r="O141" s="256">
        <v>25</v>
      </c>
      <c r="P141" s="248">
        <f>SUM(O141)*G144</f>
        <v>1202</v>
      </c>
      <c r="Q141" s="231">
        <f>F141+I141+L141+O141</f>
        <v>100</v>
      </c>
      <c r="R141" s="230">
        <f>SUM(G141)+J141+M141+P141</f>
        <v>4689</v>
      </c>
      <c r="S141" s="67"/>
      <c r="T141" s="11"/>
      <c r="U141" s="11"/>
      <c r="V141" s="12"/>
    </row>
    <row r="142" spans="1:22" ht="45.75" customHeight="1">
      <c r="A142" s="51"/>
      <c r="B142" s="394" t="s">
        <v>19</v>
      </c>
      <c r="C142" s="394"/>
      <c r="D142" s="394"/>
      <c r="E142" s="14">
        <f>SUM(E117:E128)</f>
        <v>6764.85</v>
      </c>
      <c r="F142" s="241">
        <f aca="true" t="shared" si="20" ref="F142:Q142">F117+F118+F125+F128+F130+F135+F139</f>
        <v>5995.347</v>
      </c>
      <c r="G142" s="257">
        <f t="shared" si="20"/>
        <v>1104792.813</v>
      </c>
      <c r="H142" s="59">
        <f t="shared" si="20"/>
        <v>135.55</v>
      </c>
      <c r="I142" s="241">
        <f t="shared" si="20"/>
        <v>5730.727000000001</v>
      </c>
      <c r="J142" s="257">
        <f t="shared" si="20"/>
        <v>1528411.849</v>
      </c>
      <c r="K142" s="59">
        <f t="shared" si="20"/>
        <v>135.55</v>
      </c>
      <c r="L142" s="241">
        <f t="shared" si="20"/>
        <v>5390.525</v>
      </c>
      <c r="M142" s="257">
        <f t="shared" si="20"/>
        <v>224093.60924999998</v>
      </c>
      <c r="N142" s="59">
        <f t="shared" si="20"/>
        <v>135.55</v>
      </c>
      <c r="O142" s="241">
        <f t="shared" si="20"/>
        <v>5795.415000000001</v>
      </c>
      <c r="P142" s="257">
        <f t="shared" si="20"/>
        <v>244391.02245</v>
      </c>
      <c r="Q142" s="59">
        <f t="shared" si="20"/>
        <v>22912.014</v>
      </c>
      <c r="R142" s="242">
        <f>R117+R118+R125+R128+R130+R135+R139</f>
        <v>3101689.2937000003</v>
      </c>
      <c r="S142" s="67"/>
      <c r="T142" s="52"/>
      <c r="U142" s="52"/>
      <c r="V142" s="52"/>
    </row>
    <row r="143" spans="1:18" ht="36.75" customHeight="1">
      <c r="A143" s="37"/>
      <c r="B143" s="388" t="s">
        <v>17</v>
      </c>
      <c r="C143" s="389"/>
      <c r="D143" s="390"/>
      <c r="E143" s="377" t="s">
        <v>128</v>
      </c>
      <c r="F143" s="377"/>
      <c r="G143" s="377"/>
      <c r="H143" s="377"/>
      <c r="I143" s="377"/>
      <c r="J143" s="377"/>
      <c r="K143" s="377"/>
      <c r="L143" s="377"/>
      <c r="M143" s="377"/>
      <c r="N143" s="377"/>
      <c r="O143" s="377"/>
      <c r="P143" s="377"/>
      <c r="Q143" s="377"/>
      <c r="R143" s="377"/>
    </row>
    <row r="144" spans="1:18" s="12" customFormat="1" ht="26.25">
      <c r="A144" s="5"/>
      <c r="B144" s="5"/>
      <c r="C144" s="5"/>
      <c r="D144" s="5"/>
      <c r="E144" s="5"/>
      <c r="F144" s="181">
        <v>45.7</v>
      </c>
      <c r="G144" s="184">
        <v>48.08</v>
      </c>
      <c r="H144" s="184"/>
      <c r="I144" s="184"/>
      <c r="J144" s="2"/>
      <c r="K144" s="5"/>
      <c r="L144" s="5"/>
      <c r="M144" s="5"/>
      <c r="N144" s="5"/>
      <c r="O144" s="5"/>
      <c r="P144" s="5"/>
      <c r="Q144" s="5"/>
      <c r="R144" s="5"/>
    </row>
    <row r="145" spans="1:18" s="12" customFormat="1" ht="26.25">
      <c r="A145" s="5"/>
      <c r="B145" s="5"/>
      <c r="C145" s="5"/>
      <c r="D145" s="5"/>
      <c r="E145" s="5"/>
      <c r="F145" s="181">
        <v>1309</v>
      </c>
      <c r="G145" s="184">
        <v>13.77</v>
      </c>
      <c r="H145" s="184"/>
      <c r="I145" s="184"/>
      <c r="J145" s="2"/>
      <c r="K145" s="5"/>
      <c r="L145" s="5"/>
      <c r="M145" s="5"/>
      <c r="N145" s="5"/>
      <c r="O145" s="5"/>
      <c r="P145" s="5"/>
      <c r="Q145" s="5"/>
      <c r="R145" s="5"/>
    </row>
    <row r="146" spans="1:18" ht="26.25">
      <c r="A146" s="46"/>
      <c r="B146" s="42"/>
      <c r="C146" s="42"/>
      <c r="D146" s="42"/>
      <c r="E146" s="42"/>
      <c r="F146" s="42"/>
      <c r="G146" s="105"/>
      <c r="I146" s="42"/>
      <c r="J146" s="105"/>
      <c r="K146" s="42"/>
      <c r="L146" s="42"/>
      <c r="M146" s="105"/>
      <c r="N146" s="42"/>
      <c r="O146" s="42"/>
      <c r="P146" s="105"/>
      <c r="Q146" s="42"/>
      <c r="R146" s="105"/>
    </row>
    <row r="147" spans="1:18" ht="26.25">
      <c r="A147" s="50"/>
      <c r="B147" s="42"/>
      <c r="C147" s="42"/>
      <c r="D147" s="42"/>
      <c r="E147" s="42"/>
      <c r="F147" s="42"/>
      <c r="G147" s="105"/>
      <c r="H147" s="6"/>
      <c r="I147" s="6"/>
      <c r="J147" s="105"/>
      <c r="K147" s="42"/>
      <c r="L147" s="42"/>
      <c r="M147" s="105"/>
      <c r="N147" s="42"/>
      <c r="O147" s="42"/>
      <c r="P147" s="105"/>
      <c r="Q147" s="42"/>
      <c r="R147" s="105"/>
    </row>
    <row r="148" spans="1:18" ht="26.25">
      <c r="A148" s="6"/>
      <c r="B148" s="42"/>
      <c r="C148" s="42"/>
      <c r="D148" s="42"/>
      <c r="E148" s="42"/>
      <c r="F148" s="42"/>
      <c r="G148" s="105"/>
      <c r="H148" s="42"/>
      <c r="I148" s="42"/>
      <c r="J148" s="105"/>
      <c r="K148" s="42"/>
      <c r="L148" s="42"/>
      <c r="M148" s="105"/>
      <c r="N148" s="42"/>
      <c r="O148" s="42"/>
      <c r="P148" s="105"/>
      <c r="Q148" s="42"/>
      <c r="R148" s="105"/>
    </row>
    <row r="149" spans="1:18" ht="26.25">
      <c r="A149" s="6"/>
      <c r="B149" s="6"/>
      <c r="C149" s="6"/>
      <c r="D149" s="6"/>
      <c r="E149" s="6"/>
      <c r="F149" s="6"/>
      <c r="G149" s="105"/>
      <c r="H149" s="6"/>
      <c r="I149" s="6"/>
      <c r="J149" s="105"/>
      <c r="K149" s="6"/>
      <c r="L149" s="6"/>
      <c r="M149" s="105"/>
      <c r="N149" s="6"/>
      <c r="O149" s="6"/>
      <c r="P149" s="105"/>
      <c r="Q149" s="6"/>
      <c r="R149" s="105"/>
    </row>
    <row r="150" spans="1:18" ht="26.25">
      <c r="A150" s="6"/>
      <c r="B150" s="6"/>
      <c r="C150" s="6"/>
      <c r="D150" s="6"/>
      <c r="E150" s="6"/>
      <c r="F150" s="6"/>
      <c r="G150" s="105"/>
      <c r="H150" s="6"/>
      <c r="I150" s="6"/>
      <c r="J150" s="105"/>
      <c r="K150" s="6"/>
      <c r="L150" s="6"/>
      <c r="M150" s="105"/>
      <c r="N150" s="6"/>
      <c r="O150" s="6"/>
      <c r="P150" s="105"/>
      <c r="Q150" s="6"/>
      <c r="R150" s="105"/>
    </row>
    <row r="151" spans="1:18" ht="26.25">
      <c r="A151" s="6"/>
      <c r="B151" s="6"/>
      <c r="C151" s="6"/>
      <c r="D151" s="6"/>
      <c r="E151" s="53"/>
      <c r="K151" s="6"/>
      <c r="L151" s="6"/>
      <c r="M151" s="105"/>
      <c r="N151" s="6"/>
      <c r="O151" s="6"/>
      <c r="P151" s="105"/>
      <c r="Q151" s="6"/>
      <c r="R151" s="105"/>
    </row>
    <row r="152" ht="25.5">
      <c r="E152" s="54" t="s">
        <v>22</v>
      </c>
    </row>
    <row r="153" ht="25.5">
      <c r="E153" s="54" t="s">
        <v>23</v>
      </c>
    </row>
    <row r="154" ht="25.5">
      <c r="E154" s="54" t="s">
        <v>24</v>
      </c>
    </row>
    <row r="155" ht="25.5">
      <c r="E155" s="54" t="s">
        <v>25</v>
      </c>
    </row>
    <row r="156" ht="25.5">
      <c r="E156" s="54" t="s">
        <v>26</v>
      </c>
    </row>
    <row r="157" ht="25.5">
      <c r="E157" s="54" t="s">
        <v>27</v>
      </c>
    </row>
    <row r="158" ht="25.5">
      <c r="E158" s="54" t="s">
        <v>29</v>
      </c>
    </row>
    <row r="159" ht="25.5">
      <c r="E159" s="54" t="s">
        <v>30</v>
      </c>
    </row>
    <row r="160" ht="25.5">
      <c r="E160" s="54" t="s">
        <v>28</v>
      </c>
    </row>
  </sheetData>
  <sheetProtection/>
  <mergeCells count="156">
    <mergeCell ref="B34:D34"/>
    <mergeCell ref="B35:D35"/>
    <mergeCell ref="B71:D71"/>
    <mergeCell ref="B72:D72"/>
    <mergeCell ref="B36:D36"/>
    <mergeCell ref="B37:D37"/>
    <mergeCell ref="B38:D38"/>
    <mergeCell ref="B39:D39"/>
    <mergeCell ref="B40:D40"/>
    <mergeCell ref="B46:D46"/>
    <mergeCell ref="B107:D107"/>
    <mergeCell ref="B108:D108"/>
    <mergeCell ref="B109:D109"/>
    <mergeCell ref="B68:D68"/>
    <mergeCell ref="B69:D69"/>
    <mergeCell ref="B70:D70"/>
    <mergeCell ref="B90:D90"/>
    <mergeCell ref="B91:D91"/>
    <mergeCell ref="B92:D92"/>
    <mergeCell ref="B93:D93"/>
    <mergeCell ref="A7:R7"/>
    <mergeCell ref="P2:R2"/>
    <mergeCell ref="P3:R3"/>
    <mergeCell ref="P5:R5"/>
    <mergeCell ref="A8:R8"/>
    <mergeCell ref="A9:A10"/>
    <mergeCell ref="B9:D10"/>
    <mergeCell ref="E9:G9"/>
    <mergeCell ref="H9:J9"/>
    <mergeCell ref="K9:M9"/>
    <mergeCell ref="N9:P9"/>
    <mergeCell ref="Q9:R9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3:D33"/>
    <mergeCell ref="B32:D32"/>
    <mergeCell ref="E40:R40"/>
    <mergeCell ref="A43:R43"/>
    <mergeCell ref="A44:A45"/>
    <mergeCell ref="B44:D45"/>
    <mergeCell ref="E44:G44"/>
    <mergeCell ref="H44:J44"/>
    <mergeCell ref="K44:M44"/>
    <mergeCell ref="N44:P44"/>
    <mergeCell ref="Q44:R44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B66:D66"/>
    <mergeCell ref="B73:D73"/>
    <mergeCell ref="B74:D74"/>
    <mergeCell ref="B67:D67"/>
    <mergeCell ref="E74:R74"/>
    <mergeCell ref="P78:R78"/>
    <mergeCell ref="P79:R79"/>
    <mergeCell ref="P80:R80"/>
    <mergeCell ref="A82:R82"/>
    <mergeCell ref="A83:A84"/>
    <mergeCell ref="B83:D84"/>
    <mergeCell ref="E83:G83"/>
    <mergeCell ref="H83:J83"/>
    <mergeCell ref="K83:M83"/>
    <mergeCell ref="N83:P83"/>
    <mergeCell ref="Q83:R83"/>
    <mergeCell ref="B85:D85"/>
    <mergeCell ref="B86:D86"/>
    <mergeCell ref="B87:D87"/>
    <mergeCell ref="B88:D88"/>
    <mergeCell ref="B89:D89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10:D110"/>
    <mergeCell ref="B106:D106"/>
    <mergeCell ref="B111:D111"/>
    <mergeCell ref="E111:R111"/>
    <mergeCell ref="A114:R114"/>
    <mergeCell ref="A115:A116"/>
    <mergeCell ref="B115:D116"/>
    <mergeCell ref="E115:G115"/>
    <mergeCell ref="H115:J115"/>
    <mergeCell ref="K115:M115"/>
    <mergeCell ref="N115:P115"/>
    <mergeCell ref="Q115:R115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42:D142"/>
    <mergeCell ref="B143:D143"/>
    <mergeCell ref="E143:R143"/>
    <mergeCell ref="B138:D138"/>
    <mergeCell ref="B139:D139"/>
    <mergeCell ref="B140:D140"/>
    <mergeCell ref="B141:D141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5" r:id="rId1"/>
  <rowBreaks count="3" manualBreakCount="3">
    <brk id="41" max="17" man="1"/>
    <brk id="76" max="17" man="1"/>
    <brk id="113" max="17" man="1"/>
  </rowBreaks>
  <colBreaks count="1" manualBreakCount="1"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22"/>
  <sheetViews>
    <sheetView tabSelected="1" view="pageBreakPreview" zoomScale="40" zoomScaleNormal="50" zoomScaleSheetLayoutView="40" zoomScalePageLayoutView="0" workbookViewId="0" topLeftCell="A128">
      <selection activeCell="H208" sqref="H208"/>
    </sheetView>
  </sheetViews>
  <sheetFormatPr defaultColWidth="9.140625" defaultRowHeight="12.75"/>
  <cols>
    <col min="1" max="1" width="6.7109375" style="10" customWidth="1"/>
    <col min="2" max="2" width="9.140625" style="10" customWidth="1"/>
    <col min="3" max="3" width="21.140625" style="10" customWidth="1"/>
    <col min="4" max="4" width="83.57421875" style="10" customWidth="1"/>
    <col min="5" max="5" width="27.140625" style="10" customWidth="1"/>
    <col min="6" max="6" width="14.421875" style="10" hidden="1" customWidth="1"/>
    <col min="7" max="7" width="24.7109375" style="10" customWidth="1"/>
    <col min="8" max="8" width="33.00390625" style="10" customWidth="1"/>
    <col min="9" max="9" width="9.8515625" style="10" hidden="1" customWidth="1"/>
    <col min="10" max="10" width="29.421875" style="10" customWidth="1"/>
    <col min="11" max="11" width="28.00390625" style="10" customWidth="1"/>
    <col min="12" max="12" width="9.8515625" style="10" hidden="1" customWidth="1"/>
    <col min="13" max="13" width="28.140625" style="10" customWidth="1"/>
    <col min="14" max="14" width="27.00390625" style="10" customWidth="1"/>
    <col min="15" max="15" width="9.8515625" style="10" hidden="1" customWidth="1"/>
    <col min="16" max="16" width="27.00390625" style="10" customWidth="1"/>
    <col min="17" max="17" width="29.421875" style="10" customWidth="1"/>
    <col min="18" max="18" width="29.28125" style="10" customWidth="1"/>
    <col min="19" max="19" width="30.57421875" style="10" customWidth="1"/>
    <col min="20" max="20" width="18.00390625" style="67" customWidth="1"/>
    <col min="21" max="21" width="22.28125" style="10" bestFit="1" customWidth="1"/>
    <col min="22" max="22" width="12.8515625" style="10" customWidth="1"/>
    <col min="23" max="16384" width="9.140625" style="10" customWidth="1"/>
  </cols>
  <sheetData>
    <row r="1" spans="1:23" ht="33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26"/>
      <c r="P1" s="126"/>
      <c r="Q1" s="55"/>
      <c r="R1" s="55"/>
      <c r="S1" s="126"/>
      <c r="U1" s="12"/>
      <c r="V1" s="12"/>
      <c r="W1" s="12"/>
    </row>
    <row r="2" spans="1:23" ht="35.25" hidden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26"/>
      <c r="P2" s="126"/>
      <c r="Q2" s="395"/>
      <c r="R2" s="395"/>
      <c r="S2" s="395"/>
      <c r="U2" s="12"/>
      <c r="V2" s="12"/>
      <c r="W2" s="12"/>
    </row>
    <row r="3" spans="1:23" ht="35.2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6"/>
      <c r="P3" s="126"/>
      <c r="Q3" s="395"/>
      <c r="R3" s="395"/>
      <c r="S3" s="395"/>
      <c r="U3" s="12"/>
      <c r="V3" s="12"/>
      <c r="W3" s="12"/>
    </row>
    <row r="4" spans="1:23" ht="35.25" hidden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26"/>
      <c r="P4" s="126"/>
      <c r="Q4" s="395"/>
      <c r="R4" s="395"/>
      <c r="S4" s="395"/>
      <c r="U4" s="12"/>
      <c r="V4" s="12"/>
      <c r="W4" s="12"/>
    </row>
    <row r="5" spans="1:23" ht="35.2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26"/>
      <c r="P5" s="126"/>
      <c r="Q5" s="126"/>
      <c r="R5" s="126"/>
      <c r="S5" s="126"/>
      <c r="U5" s="12"/>
      <c r="V5" s="12"/>
      <c r="W5" s="12"/>
    </row>
    <row r="6" spans="1:23" ht="33.75" customHeight="1" hidden="1">
      <c r="A6" s="447" t="s">
        <v>66</v>
      </c>
      <c r="B6" s="447"/>
      <c r="C6" s="447"/>
      <c r="D6" s="447"/>
      <c r="E6" s="447"/>
      <c r="F6" s="447"/>
      <c r="G6" s="447"/>
      <c r="H6" s="447"/>
      <c r="I6" s="447"/>
      <c r="J6" s="447"/>
      <c r="K6" s="447"/>
      <c r="L6" s="447"/>
      <c r="M6" s="447"/>
      <c r="N6" s="447"/>
      <c r="O6" s="447"/>
      <c r="P6" s="447"/>
      <c r="Q6" s="447"/>
      <c r="R6" s="447"/>
      <c r="S6" s="447"/>
      <c r="U6" s="12"/>
      <c r="V6" s="12"/>
      <c r="W6" s="12"/>
    </row>
    <row r="7" spans="1:23" ht="18.75" customHeight="1" hidden="1">
      <c r="A7" s="456" t="s">
        <v>15</v>
      </c>
      <c r="B7" s="450" t="s">
        <v>0</v>
      </c>
      <c r="C7" s="451"/>
      <c r="D7" s="452"/>
      <c r="E7" s="127"/>
      <c r="F7" s="396" t="s">
        <v>1</v>
      </c>
      <c r="G7" s="397"/>
      <c r="H7" s="398"/>
      <c r="I7" s="396" t="s">
        <v>3</v>
      </c>
      <c r="J7" s="397"/>
      <c r="K7" s="398"/>
      <c r="L7" s="396" t="s">
        <v>4</v>
      </c>
      <c r="M7" s="397"/>
      <c r="N7" s="398"/>
      <c r="O7" s="396" t="s">
        <v>6</v>
      </c>
      <c r="P7" s="397"/>
      <c r="Q7" s="398"/>
      <c r="R7" s="396" t="s">
        <v>7</v>
      </c>
      <c r="S7" s="398"/>
      <c r="V7" s="12"/>
      <c r="W7" s="12"/>
    </row>
    <row r="8" spans="1:23" ht="53.25" hidden="1">
      <c r="A8" s="457"/>
      <c r="B8" s="453"/>
      <c r="C8" s="454"/>
      <c r="D8" s="455"/>
      <c r="E8" s="129"/>
      <c r="F8" s="130"/>
      <c r="G8" s="130" t="s">
        <v>2</v>
      </c>
      <c r="H8" s="130" t="s">
        <v>5</v>
      </c>
      <c r="I8" s="130"/>
      <c r="J8" s="130" t="s">
        <v>2</v>
      </c>
      <c r="K8" s="130" t="s">
        <v>5</v>
      </c>
      <c r="L8" s="130"/>
      <c r="M8" s="130" t="s">
        <v>2</v>
      </c>
      <c r="N8" s="130" t="s">
        <v>5</v>
      </c>
      <c r="O8" s="130" t="s">
        <v>2</v>
      </c>
      <c r="P8" s="130" t="s">
        <v>2</v>
      </c>
      <c r="Q8" s="130" t="s">
        <v>5</v>
      </c>
      <c r="R8" s="130" t="s">
        <v>2</v>
      </c>
      <c r="S8" s="130" t="s">
        <v>5</v>
      </c>
      <c r="V8" s="12"/>
      <c r="W8" s="12"/>
    </row>
    <row r="9" spans="1:23" ht="30" customHeight="1" hidden="1">
      <c r="A9" s="14">
        <v>1</v>
      </c>
      <c r="B9" s="458" t="s">
        <v>33</v>
      </c>
      <c r="C9" s="459"/>
      <c r="D9" s="460"/>
      <c r="E9" s="133"/>
      <c r="F9" s="14">
        <v>22.6</v>
      </c>
      <c r="G9" s="56">
        <v>22.6</v>
      </c>
      <c r="H9" s="9">
        <f>G9*G36</f>
        <v>60523.252</v>
      </c>
      <c r="I9" s="9">
        <v>7.9</v>
      </c>
      <c r="J9" s="9">
        <v>7.5</v>
      </c>
      <c r="K9" s="9">
        <f>J9*G36</f>
        <v>20085.15</v>
      </c>
      <c r="L9" s="9">
        <v>2.9</v>
      </c>
      <c r="M9" s="9">
        <v>2.4</v>
      </c>
      <c r="N9" s="9">
        <f>M9*H36</f>
        <v>7174.727999999999</v>
      </c>
      <c r="O9" s="9">
        <v>20.6</v>
      </c>
      <c r="P9" s="9">
        <v>18.7</v>
      </c>
      <c r="Q9" s="9">
        <f>P9*H36</f>
        <v>55903.08899999999</v>
      </c>
      <c r="R9" s="9">
        <f aca="true" t="shared" si="0" ref="R9:S17">G9+J9+M9+P9</f>
        <v>51.2</v>
      </c>
      <c r="S9" s="9">
        <f t="shared" si="0"/>
        <v>143686.21899999998</v>
      </c>
      <c r="T9" s="67" t="s">
        <v>21</v>
      </c>
      <c r="U9" s="13"/>
      <c r="V9" s="11">
        <f>H9+K9+N9+Q9</f>
        <v>143686.21899999998</v>
      </c>
      <c r="W9" s="12">
        <f>G9+J9+M9+P9</f>
        <v>51.2</v>
      </c>
    </row>
    <row r="10" spans="1:23" ht="30" customHeight="1" hidden="1">
      <c r="A10" s="14">
        <v>2</v>
      </c>
      <c r="B10" s="458" t="s">
        <v>41</v>
      </c>
      <c r="C10" s="459"/>
      <c r="D10" s="460"/>
      <c r="E10" s="133"/>
      <c r="F10" s="14"/>
      <c r="G10" s="56">
        <f>G11+G12+G13+G14+G15+G16</f>
        <v>3047.7000000000003</v>
      </c>
      <c r="H10" s="9">
        <f>H11+H12+H13+H14+H15+H16</f>
        <v>8161801.554</v>
      </c>
      <c r="I10" s="9"/>
      <c r="J10" s="9">
        <f>J11+J12+J13+J14+J15+J16</f>
        <v>894.2</v>
      </c>
      <c r="K10" s="9">
        <f>K11+K12+K13+K14+K15+K16</f>
        <v>2394685.484</v>
      </c>
      <c r="L10" s="9"/>
      <c r="M10" s="9">
        <f>M11+M12+M13+M14+M15+M16</f>
        <v>284.29999999999995</v>
      </c>
      <c r="N10" s="9">
        <f>N11+N12+N13+N14+N15+N16</f>
        <v>849906.321</v>
      </c>
      <c r="O10" s="9"/>
      <c r="P10" s="9">
        <f>P11+P12+P13+P14+P15+P16</f>
        <v>2169.5</v>
      </c>
      <c r="Q10" s="9">
        <f>Q11+Q12+Q13+Q14+Q15+Q16</f>
        <v>6485655.165</v>
      </c>
      <c r="R10" s="9">
        <f>R11+R12+R13+R14+R15+R16</f>
        <v>6395.7</v>
      </c>
      <c r="S10" s="9">
        <f>S11+S12+S13+S14+S15+S16</f>
        <v>17892048.524</v>
      </c>
      <c r="T10" s="67" t="s">
        <v>21</v>
      </c>
      <c r="U10" s="13"/>
      <c r="V10" s="11"/>
      <c r="W10" s="12"/>
    </row>
    <row r="11" spans="1:23" ht="33.75" customHeight="1" hidden="1">
      <c r="A11" s="14"/>
      <c r="B11" s="461" t="s">
        <v>34</v>
      </c>
      <c r="C11" s="462"/>
      <c r="D11" s="463"/>
      <c r="E11" s="134"/>
      <c r="F11" s="14">
        <v>968.6</v>
      </c>
      <c r="G11" s="57">
        <v>780</v>
      </c>
      <c r="H11" s="15">
        <f>G11*G36</f>
        <v>2088855.6</v>
      </c>
      <c r="I11" s="15">
        <v>347.1</v>
      </c>
      <c r="J11" s="15">
        <v>150</v>
      </c>
      <c r="K11" s="15">
        <f>J11*G36</f>
        <v>401703</v>
      </c>
      <c r="L11" s="15">
        <v>138.9</v>
      </c>
      <c r="M11" s="15">
        <v>50</v>
      </c>
      <c r="N11" s="15">
        <f>M11*H36</f>
        <v>149473.5</v>
      </c>
      <c r="O11" s="15">
        <v>879.1</v>
      </c>
      <c r="P11" s="15">
        <v>290</v>
      </c>
      <c r="Q11" s="15">
        <f>P11*H36</f>
        <v>866946.2999999999</v>
      </c>
      <c r="R11" s="15">
        <f t="shared" si="0"/>
        <v>1270</v>
      </c>
      <c r="S11" s="15">
        <f t="shared" si="0"/>
        <v>3506978.4</v>
      </c>
      <c r="T11" s="67" t="s">
        <v>21</v>
      </c>
      <c r="U11" s="13"/>
      <c r="V11" s="11">
        <f aca="true" t="shared" si="1" ref="V11:V28">H11+K11+N11+Q11</f>
        <v>3506978.4</v>
      </c>
      <c r="W11" s="12">
        <f aca="true" t="shared" si="2" ref="W11:W28">G11+J11+M11+P11</f>
        <v>1270</v>
      </c>
    </row>
    <row r="12" spans="1:23" ht="31.5" customHeight="1" hidden="1">
      <c r="A12" s="14"/>
      <c r="B12" s="461" t="s">
        <v>35</v>
      </c>
      <c r="C12" s="462"/>
      <c r="D12" s="463"/>
      <c r="E12" s="134"/>
      <c r="F12" s="14">
        <v>275.5</v>
      </c>
      <c r="G12" s="57">
        <v>260.8</v>
      </c>
      <c r="H12" s="15">
        <f>G12*G36</f>
        <v>698427.616</v>
      </c>
      <c r="I12" s="15">
        <v>101.3</v>
      </c>
      <c r="J12" s="15">
        <v>82.4</v>
      </c>
      <c r="K12" s="15">
        <f>J12*G36</f>
        <v>220668.84800000003</v>
      </c>
      <c r="L12" s="15">
        <v>40.3</v>
      </c>
      <c r="M12" s="15">
        <v>24.8</v>
      </c>
      <c r="N12" s="15">
        <f>M12*H36</f>
        <v>74138.856</v>
      </c>
      <c r="O12" s="15">
        <v>245.5</v>
      </c>
      <c r="P12" s="15">
        <v>214.4</v>
      </c>
      <c r="Q12" s="15">
        <f>P12*H36</f>
        <v>640942.368</v>
      </c>
      <c r="R12" s="15">
        <f t="shared" si="0"/>
        <v>582.4000000000001</v>
      </c>
      <c r="S12" s="15">
        <f t="shared" si="0"/>
        <v>1634177.688</v>
      </c>
      <c r="T12" s="67" t="s">
        <v>21</v>
      </c>
      <c r="U12" s="13"/>
      <c r="V12" s="11">
        <f t="shared" si="1"/>
        <v>1634177.688</v>
      </c>
      <c r="W12" s="12">
        <f t="shared" si="2"/>
        <v>582.4000000000001</v>
      </c>
    </row>
    <row r="13" spans="1:23" ht="29.25" customHeight="1" hidden="1">
      <c r="A13" s="14"/>
      <c r="B13" s="461" t="s">
        <v>36</v>
      </c>
      <c r="C13" s="462"/>
      <c r="D13" s="463"/>
      <c r="E13" s="134"/>
      <c r="F13" s="14">
        <v>1020.1</v>
      </c>
      <c r="G13" s="57">
        <v>993.2</v>
      </c>
      <c r="H13" s="15">
        <f>G13*G36</f>
        <v>2659809.464</v>
      </c>
      <c r="I13" s="15">
        <v>343</v>
      </c>
      <c r="J13" s="15">
        <v>313.8</v>
      </c>
      <c r="K13" s="15">
        <f>J13*G36</f>
        <v>840362.676</v>
      </c>
      <c r="L13" s="15">
        <v>122.2</v>
      </c>
      <c r="M13" s="15">
        <v>95.1</v>
      </c>
      <c r="N13" s="15">
        <f>M13*H36</f>
        <v>284298.59699999995</v>
      </c>
      <c r="O13" s="15">
        <v>920.9</v>
      </c>
      <c r="P13" s="15">
        <v>816.6</v>
      </c>
      <c r="Q13" s="15">
        <f>P13*H36</f>
        <v>2441201.202</v>
      </c>
      <c r="R13" s="15">
        <f t="shared" si="0"/>
        <v>2218.7</v>
      </c>
      <c r="S13" s="15">
        <f t="shared" si="0"/>
        <v>6225671.939</v>
      </c>
      <c r="T13" s="67" t="s">
        <v>21</v>
      </c>
      <c r="U13" s="13"/>
      <c r="V13" s="11">
        <f t="shared" si="1"/>
        <v>6225671.939</v>
      </c>
      <c r="W13" s="12">
        <f t="shared" si="2"/>
        <v>2218.7</v>
      </c>
    </row>
    <row r="14" spans="1:23" ht="35.25" customHeight="1" hidden="1">
      <c r="A14" s="8"/>
      <c r="B14" s="461" t="s">
        <v>37</v>
      </c>
      <c r="C14" s="462"/>
      <c r="D14" s="463"/>
      <c r="E14" s="134"/>
      <c r="F14" s="8">
        <v>186.3</v>
      </c>
      <c r="G14" s="57">
        <v>215.9</v>
      </c>
      <c r="H14" s="15">
        <f>G14*G36</f>
        <v>578184.518</v>
      </c>
      <c r="I14" s="15">
        <v>55.3</v>
      </c>
      <c r="J14" s="15">
        <v>74.5</v>
      </c>
      <c r="K14" s="15">
        <f>J14*G36</f>
        <v>199512.49</v>
      </c>
      <c r="L14" s="15">
        <v>2.8</v>
      </c>
      <c r="M14" s="15">
        <v>24.7</v>
      </c>
      <c r="N14" s="15">
        <f>M14*H36</f>
        <v>73839.909</v>
      </c>
      <c r="O14" s="15">
        <v>158.5</v>
      </c>
      <c r="P14" s="15">
        <v>181.1</v>
      </c>
      <c r="Q14" s="15">
        <f>P14*H36</f>
        <v>541393.017</v>
      </c>
      <c r="R14" s="15">
        <f t="shared" si="0"/>
        <v>496.19999999999993</v>
      </c>
      <c r="S14" s="15">
        <f t="shared" si="0"/>
        <v>1392929.934</v>
      </c>
      <c r="T14" s="67" t="s">
        <v>21</v>
      </c>
      <c r="U14" s="13"/>
      <c r="V14" s="11">
        <f t="shared" si="1"/>
        <v>1392929.934</v>
      </c>
      <c r="W14" s="12">
        <f t="shared" si="2"/>
        <v>496.19999999999993</v>
      </c>
    </row>
    <row r="15" spans="1:23" ht="30" customHeight="1" hidden="1">
      <c r="A15" s="8"/>
      <c r="B15" s="461" t="s">
        <v>38</v>
      </c>
      <c r="C15" s="462"/>
      <c r="D15" s="463"/>
      <c r="E15" s="134"/>
      <c r="F15" s="8">
        <v>619</v>
      </c>
      <c r="G15" s="57">
        <v>550.4</v>
      </c>
      <c r="H15" s="15">
        <f>G15*G36</f>
        <v>1473982.2079999999</v>
      </c>
      <c r="I15" s="15">
        <v>532.4</v>
      </c>
      <c r="J15" s="15">
        <v>193.1</v>
      </c>
      <c r="K15" s="15">
        <f>J15*G36</f>
        <v>517125.66199999995</v>
      </c>
      <c r="L15" s="15">
        <v>142.3</v>
      </c>
      <c r="M15" s="15">
        <v>65</v>
      </c>
      <c r="N15" s="15">
        <f>M15*H36</f>
        <v>194315.55</v>
      </c>
      <c r="O15" s="15">
        <v>646.5</v>
      </c>
      <c r="P15" s="15">
        <v>463.1</v>
      </c>
      <c r="Q15" s="15">
        <f>P15*H36</f>
        <v>1384423.557</v>
      </c>
      <c r="R15" s="15">
        <f t="shared" si="0"/>
        <v>1271.6</v>
      </c>
      <c r="S15" s="15">
        <f t="shared" si="0"/>
        <v>3569846.977</v>
      </c>
      <c r="T15" s="67" t="s">
        <v>21</v>
      </c>
      <c r="U15" s="13"/>
      <c r="V15" s="11">
        <f t="shared" si="1"/>
        <v>3569846.977</v>
      </c>
      <c r="W15" s="12">
        <f t="shared" si="2"/>
        <v>1271.6</v>
      </c>
    </row>
    <row r="16" spans="1:23" ht="52.5" customHeight="1" hidden="1">
      <c r="A16" s="8"/>
      <c r="B16" s="461" t="s">
        <v>39</v>
      </c>
      <c r="C16" s="462"/>
      <c r="D16" s="463"/>
      <c r="E16" s="134"/>
      <c r="F16" s="8">
        <v>277.52</v>
      </c>
      <c r="G16" s="57">
        <v>247.4</v>
      </c>
      <c r="H16" s="15">
        <f>G16*G36</f>
        <v>662542.148</v>
      </c>
      <c r="I16" s="15">
        <v>129</v>
      </c>
      <c r="J16" s="15">
        <v>80.4</v>
      </c>
      <c r="K16" s="15">
        <f>J16*G36</f>
        <v>215312.80800000002</v>
      </c>
      <c r="L16" s="15">
        <v>7.2</v>
      </c>
      <c r="M16" s="15">
        <v>24.7</v>
      </c>
      <c r="N16" s="15">
        <f>M16*H36</f>
        <v>73839.909</v>
      </c>
      <c r="O16" s="15">
        <v>182.6</v>
      </c>
      <c r="P16" s="15">
        <v>204.3</v>
      </c>
      <c r="Q16" s="15">
        <f>P16*H36</f>
        <v>610748.721</v>
      </c>
      <c r="R16" s="15">
        <f t="shared" si="0"/>
        <v>556.8</v>
      </c>
      <c r="S16" s="15">
        <f t="shared" si="0"/>
        <v>1562443.5860000001</v>
      </c>
      <c r="T16" s="67" t="s">
        <v>21</v>
      </c>
      <c r="U16" s="13"/>
      <c r="V16" s="11">
        <f t="shared" si="1"/>
        <v>1562443.5860000001</v>
      </c>
      <c r="W16" s="12">
        <f t="shared" si="2"/>
        <v>556.8</v>
      </c>
    </row>
    <row r="17" spans="1:23" ht="30.75" customHeight="1" hidden="1">
      <c r="A17" s="14">
        <v>3</v>
      </c>
      <c r="B17" s="458" t="s">
        <v>42</v>
      </c>
      <c r="C17" s="459"/>
      <c r="D17" s="460"/>
      <c r="E17" s="133"/>
      <c r="F17" s="8"/>
      <c r="G17" s="56">
        <v>362.4</v>
      </c>
      <c r="H17" s="9">
        <f>G17*G36</f>
        <v>970514.448</v>
      </c>
      <c r="I17" s="9"/>
      <c r="J17" s="9">
        <v>118.4</v>
      </c>
      <c r="K17" s="9">
        <f>J17*G36</f>
        <v>317077.568</v>
      </c>
      <c r="L17" s="9"/>
      <c r="M17" s="9">
        <v>36.5</v>
      </c>
      <c r="N17" s="9">
        <f>M17*H36</f>
        <v>109115.655</v>
      </c>
      <c r="O17" s="9"/>
      <c r="P17" s="9">
        <v>300</v>
      </c>
      <c r="Q17" s="9">
        <f>P17*H36</f>
        <v>896840.9999999999</v>
      </c>
      <c r="R17" s="9">
        <f t="shared" si="0"/>
        <v>817.3</v>
      </c>
      <c r="S17" s="9">
        <f t="shared" si="0"/>
        <v>2293548.671</v>
      </c>
      <c r="U17" s="13"/>
      <c r="V17" s="11"/>
      <c r="W17" s="12">
        <f t="shared" si="2"/>
        <v>817.3</v>
      </c>
    </row>
    <row r="18" spans="1:23" ht="39" customHeight="1" hidden="1">
      <c r="A18" s="14">
        <v>4</v>
      </c>
      <c r="B18" s="458" t="s">
        <v>43</v>
      </c>
      <c r="C18" s="459"/>
      <c r="D18" s="460"/>
      <c r="E18" s="133"/>
      <c r="F18" s="8"/>
      <c r="G18" s="56">
        <f>G19+G20+G21</f>
        <v>40.4</v>
      </c>
      <c r="H18" s="9">
        <f>H19+H20+H21</f>
        <v>108192.008</v>
      </c>
      <c r="I18" s="9"/>
      <c r="J18" s="9">
        <f>J19+J20+J21</f>
        <v>13.200000000000001</v>
      </c>
      <c r="K18" s="9">
        <f>K19+K20+K21</f>
        <v>35349.864</v>
      </c>
      <c r="L18" s="9"/>
      <c r="M18" s="9">
        <f>M19+M20+M21</f>
        <v>4.2</v>
      </c>
      <c r="N18" s="9">
        <f>N19+N20+N21</f>
        <v>12555.774</v>
      </c>
      <c r="O18" s="9"/>
      <c r="P18" s="9">
        <f>P19+P20+P21</f>
        <v>33.5</v>
      </c>
      <c r="Q18" s="9">
        <f>Q19+Q20+Q21</f>
        <v>100147.245</v>
      </c>
      <c r="R18" s="9">
        <f>R19+R20+R21</f>
        <v>91.30000000000001</v>
      </c>
      <c r="S18" s="9">
        <f>S19+S20+S21</f>
        <v>256244.891</v>
      </c>
      <c r="U18" s="11"/>
      <c r="V18" s="11"/>
      <c r="W18" s="12"/>
    </row>
    <row r="19" spans="1:23" ht="27" customHeight="1" hidden="1">
      <c r="A19" s="8"/>
      <c r="B19" s="461" t="s">
        <v>44</v>
      </c>
      <c r="C19" s="462"/>
      <c r="D19" s="463"/>
      <c r="E19" s="134"/>
      <c r="F19" s="8"/>
      <c r="G19" s="57">
        <v>23.3</v>
      </c>
      <c r="H19" s="15">
        <f>G19*G36</f>
        <v>62397.866</v>
      </c>
      <c r="I19" s="15"/>
      <c r="J19" s="15">
        <v>7.5</v>
      </c>
      <c r="K19" s="15">
        <f>J19*G36</f>
        <v>20085.15</v>
      </c>
      <c r="L19" s="15"/>
      <c r="M19" s="15">
        <v>2.4</v>
      </c>
      <c r="N19" s="15">
        <f>M19*H36</f>
        <v>7174.727999999999</v>
      </c>
      <c r="O19" s="15"/>
      <c r="P19" s="15">
        <v>19.3</v>
      </c>
      <c r="Q19" s="15">
        <f>P19*H36</f>
        <v>57696.771</v>
      </c>
      <c r="R19" s="15">
        <f aca="true" t="shared" si="3" ref="R19:S21">G19+J19+M19+P19</f>
        <v>52.5</v>
      </c>
      <c r="S19" s="15">
        <f t="shared" si="3"/>
        <v>147354.515</v>
      </c>
      <c r="U19" s="11"/>
      <c r="V19" s="11"/>
      <c r="W19" s="12"/>
    </row>
    <row r="20" spans="1:23" ht="25.5" customHeight="1" hidden="1">
      <c r="A20" s="8"/>
      <c r="B20" s="461" t="s">
        <v>45</v>
      </c>
      <c r="C20" s="462"/>
      <c r="D20" s="463"/>
      <c r="E20" s="134"/>
      <c r="F20" s="8"/>
      <c r="G20" s="57">
        <v>2.4</v>
      </c>
      <c r="H20" s="15">
        <f>G20*G36</f>
        <v>6427.248</v>
      </c>
      <c r="I20" s="15"/>
      <c r="J20" s="15">
        <v>0.8</v>
      </c>
      <c r="K20" s="15">
        <f>J20*G36</f>
        <v>2142.416</v>
      </c>
      <c r="L20" s="15"/>
      <c r="M20" s="15">
        <v>0.2</v>
      </c>
      <c r="N20" s="15">
        <f>M20*H36</f>
        <v>597.894</v>
      </c>
      <c r="O20" s="15"/>
      <c r="P20" s="15">
        <v>2</v>
      </c>
      <c r="Q20" s="15">
        <f>P20*H36</f>
        <v>5978.94</v>
      </c>
      <c r="R20" s="15">
        <f t="shared" si="3"/>
        <v>5.4</v>
      </c>
      <c r="S20" s="15">
        <f t="shared" si="3"/>
        <v>15146.498</v>
      </c>
      <c r="U20" s="11"/>
      <c r="V20" s="11"/>
      <c r="W20" s="12"/>
    </row>
    <row r="21" spans="1:23" ht="26.25" customHeight="1" hidden="1">
      <c r="A21" s="8"/>
      <c r="B21" s="461" t="s">
        <v>46</v>
      </c>
      <c r="C21" s="462"/>
      <c r="D21" s="463"/>
      <c r="E21" s="134"/>
      <c r="F21" s="8"/>
      <c r="G21" s="57">
        <v>14.7</v>
      </c>
      <c r="H21" s="15">
        <f>G21*G36</f>
        <v>39366.894</v>
      </c>
      <c r="I21" s="15"/>
      <c r="J21" s="15">
        <v>4.9</v>
      </c>
      <c r="K21" s="15">
        <f>J21*G36</f>
        <v>13122.298</v>
      </c>
      <c r="L21" s="15"/>
      <c r="M21" s="15">
        <v>1.6</v>
      </c>
      <c r="N21" s="15">
        <f>M21*H36</f>
        <v>4783.152</v>
      </c>
      <c r="O21" s="15"/>
      <c r="P21" s="15">
        <v>12.2</v>
      </c>
      <c r="Q21" s="15">
        <f>P21*H36</f>
        <v>36471.53399999999</v>
      </c>
      <c r="R21" s="15">
        <f t="shared" si="3"/>
        <v>33.400000000000006</v>
      </c>
      <c r="S21" s="15">
        <f t="shared" si="3"/>
        <v>93743.878</v>
      </c>
      <c r="U21" s="11"/>
      <c r="V21" s="11"/>
      <c r="W21" s="12"/>
    </row>
    <row r="22" spans="1:23" ht="29.25" customHeight="1" hidden="1">
      <c r="A22" s="14">
        <v>5</v>
      </c>
      <c r="B22" s="458" t="s">
        <v>47</v>
      </c>
      <c r="C22" s="459"/>
      <c r="D22" s="460"/>
      <c r="E22" s="133"/>
      <c r="F22" s="8"/>
      <c r="G22" s="56">
        <f>G23+G24+G25+G26+G27+G28</f>
        <v>589.7</v>
      </c>
      <c r="H22" s="9">
        <f>H23+H24+H25+H26+H27+H28</f>
        <v>1579228.3939999996</v>
      </c>
      <c r="I22" s="9"/>
      <c r="J22" s="9">
        <f>J23+J24+J25+J26+J27+J28</f>
        <v>216.9</v>
      </c>
      <c r="K22" s="9">
        <f>K23+K24+K25+K26+K27+K28</f>
        <v>580862.5380000001</v>
      </c>
      <c r="L22" s="9"/>
      <c r="M22" s="9">
        <f>M23+M24+M25+M26+M27+M28</f>
        <v>24.800000000000004</v>
      </c>
      <c r="N22" s="9">
        <f>N23+N24+N25+N26+N27+N28</f>
        <v>74138.856</v>
      </c>
      <c r="O22" s="9"/>
      <c r="P22" s="9">
        <f>P23+P24+P25+P26+P27+P28</f>
        <v>407.8999999999999</v>
      </c>
      <c r="Q22" s="9">
        <f>Q23+Q24+Q25+Q26+Q27+Q28</f>
        <v>1219404.813</v>
      </c>
      <c r="R22" s="9">
        <f>R23+R24+R25+R26+R27+R28</f>
        <v>1239.2999999999997</v>
      </c>
      <c r="S22" s="9">
        <f>S23+S24+S25+S26+S27+S28</f>
        <v>3453634.601</v>
      </c>
      <c r="U22" s="11"/>
      <c r="V22" s="11"/>
      <c r="W22" s="12"/>
    </row>
    <row r="23" spans="1:23" ht="30" customHeight="1" hidden="1">
      <c r="A23" s="8"/>
      <c r="B23" s="461" t="s">
        <v>48</v>
      </c>
      <c r="C23" s="462"/>
      <c r="D23" s="463"/>
      <c r="E23" s="134"/>
      <c r="F23" s="8"/>
      <c r="G23" s="57">
        <v>19.7</v>
      </c>
      <c r="H23" s="15">
        <f>G23*G36</f>
        <v>52756.994</v>
      </c>
      <c r="I23" s="15"/>
      <c r="J23" s="15">
        <v>6.7</v>
      </c>
      <c r="K23" s="15">
        <f>J23*G36</f>
        <v>17942.734</v>
      </c>
      <c r="L23" s="15"/>
      <c r="M23" s="15">
        <v>2.3</v>
      </c>
      <c r="N23" s="15">
        <f>M23*H36</f>
        <v>6875.780999999999</v>
      </c>
      <c r="O23" s="15"/>
      <c r="P23" s="15">
        <v>17.2</v>
      </c>
      <c r="Q23" s="15">
        <f>P23*H36</f>
        <v>51418.88399999999</v>
      </c>
      <c r="R23" s="15">
        <f aca="true" t="shared" si="4" ref="R23:S28">G23+J23+M23+P23</f>
        <v>45.9</v>
      </c>
      <c r="S23" s="15">
        <f t="shared" si="4"/>
        <v>128994.393</v>
      </c>
      <c r="U23" s="11"/>
      <c r="V23" s="11"/>
      <c r="W23" s="12"/>
    </row>
    <row r="24" spans="1:23" ht="28.5" customHeight="1" hidden="1">
      <c r="A24" s="8"/>
      <c r="B24" s="461" t="s">
        <v>49</v>
      </c>
      <c r="C24" s="462"/>
      <c r="D24" s="463"/>
      <c r="E24" s="134"/>
      <c r="F24" s="8"/>
      <c r="G24" s="57">
        <v>317.5</v>
      </c>
      <c r="H24" s="15">
        <f>G24*G36</f>
        <v>850271.35</v>
      </c>
      <c r="I24" s="15"/>
      <c r="J24" s="15">
        <v>111.7</v>
      </c>
      <c r="K24" s="15">
        <f>J24*G36</f>
        <v>299134.83400000003</v>
      </c>
      <c r="L24" s="15"/>
      <c r="M24" s="15">
        <v>5.7</v>
      </c>
      <c r="N24" s="15">
        <f>M24*H36</f>
        <v>17039.979</v>
      </c>
      <c r="O24" s="15"/>
      <c r="P24" s="15">
        <v>205.7</v>
      </c>
      <c r="Q24" s="15">
        <f>P24*H36</f>
        <v>614933.9789999999</v>
      </c>
      <c r="R24" s="15">
        <f t="shared" si="4"/>
        <v>640.5999999999999</v>
      </c>
      <c r="S24" s="15">
        <f t="shared" si="4"/>
        <v>1781380.142</v>
      </c>
      <c r="U24" s="11"/>
      <c r="V24" s="11"/>
      <c r="W24" s="12"/>
    </row>
    <row r="25" spans="1:23" ht="32.25" customHeight="1" hidden="1">
      <c r="A25" s="8"/>
      <c r="B25" s="461" t="s">
        <v>50</v>
      </c>
      <c r="C25" s="462"/>
      <c r="D25" s="463"/>
      <c r="E25" s="134"/>
      <c r="F25" s="8"/>
      <c r="G25" s="57">
        <v>88.5</v>
      </c>
      <c r="H25" s="15">
        <f>G25*G36</f>
        <v>237004.77</v>
      </c>
      <c r="I25" s="15"/>
      <c r="J25" s="15">
        <v>28.3</v>
      </c>
      <c r="K25" s="15">
        <f>J25*G36</f>
        <v>75787.966</v>
      </c>
      <c r="L25" s="15"/>
      <c r="M25" s="15">
        <v>4.8</v>
      </c>
      <c r="N25" s="15">
        <f>M25*H36</f>
        <v>14349.455999999998</v>
      </c>
      <c r="O25" s="15"/>
      <c r="P25" s="15">
        <v>76.4</v>
      </c>
      <c r="Q25" s="15">
        <f>P25*H36</f>
        <v>228395.508</v>
      </c>
      <c r="R25" s="15">
        <f t="shared" si="4"/>
        <v>198</v>
      </c>
      <c r="S25" s="15">
        <f t="shared" si="4"/>
        <v>555537.7</v>
      </c>
      <c r="U25" s="11"/>
      <c r="V25" s="11"/>
      <c r="W25" s="12"/>
    </row>
    <row r="26" spans="1:23" ht="28.5" customHeight="1" hidden="1">
      <c r="A26" s="8"/>
      <c r="B26" s="461" t="s">
        <v>40</v>
      </c>
      <c r="C26" s="462"/>
      <c r="D26" s="463"/>
      <c r="E26" s="134"/>
      <c r="F26" s="8">
        <v>112.1</v>
      </c>
      <c r="G26" s="57">
        <v>70.8</v>
      </c>
      <c r="H26" s="15">
        <f>G26*G36</f>
        <v>189603.816</v>
      </c>
      <c r="I26" s="15"/>
      <c r="J26" s="15">
        <v>33.6</v>
      </c>
      <c r="K26" s="15">
        <f>J26*G36</f>
        <v>89981.47200000001</v>
      </c>
      <c r="L26" s="15"/>
      <c r="M26" s="15">
        <v>6.8</v>
      </c>
      <c r="N26" s="15">
        <f>M26*H36</f>
        <v>20328.395999999997</v>
      </c>
      <c r="O26" s="15"/>
      <c r="P26" s="15">
        <v>40.5</v>
      </c>
      <c r="Q26" s="15">
        <f>P26*H36</f>
        <v>121073.53499999999</v>
      </c>
      <c r="R26" s="15">
        <f t="shared" si="4"/>
        <v>151.7</v>
      </c>
      <c r="S26" s="15">
        <f t="shared" si="4"/>
        <v>420987.219</v>
      </c>
      <c r="T26" s="67" t="s">
        <v>21</v>
      </c>
      <c r="U26" s="11">
        <f>4206.13*P26</f>
        <v>170348.265</v>
      </c>
      <c r="V26" s="11">
        <f t="shared" si="1"/>
        <v>420987.219</v>
      </c>
      <c r="W26" s="12">
        <f t="shared" si="2"/>
        <v>151.7</v>
      </c>
    </row>
    <row r="27" spans="1:23" ht="33" customHeight="1" hidden="1">
      <c r="A27" s="8"/>
      <c r="B27" s="461" t="s">
        <v>51</v>
      </c>
      <c r="C27" s="462"/>
      <c r="D27" s="463"/>
      <c r="E27" s="134"/>
      <c r="F27" s="8">
        <v>87.8</v>
      </c>
      <c r="G27" s="57">
        <v>30.2</v>
      </c>
      <c r="H27" s="15">
        <f>G27*G36</f>
        <v>80876.204</v>
      </c>
      <c r="I27" s="15"/>
      <c r="J27" s="15">
        <v>9.6</v>
      </c>
      <c r="K27" s="15">
        <f>J27*G36</f>
        <v>25708.992</v>
      </c>
      <c r="L27" s="15"/>
      <c r="M27" s="15">
        <v>3.1</v>
      </c>
      <c r="N27" s="15">
        <f>M27*H36</f>
        <v>9267.357</v>
      </c>
      <c r="O27" s="15"/>
      <c r="P27" s="15">
        <v>25.9</v>
      </c>
      <c r="Q27" s="15">
        <f>P27*H36</f>
        <v>77427.27299999999</v>
      </c>
      <c r="R27" s="15">
        <f t="shared" si="4"/>
        <v>68.8</v>
      </c>
      <c r="S27" s="15">
        <f t="shared" si="4"/>
        <v>193279.826</v>
      </c>
      <c r="T27" s="67" t="s">
        <v>21</v>
      </c>
      <c r="U27" s="11">
        <f>4206.13*P27</f>
        <v>108938.76699999999</v>
      </c>
      <c r="V27" s="11">
        <f t="shared" si="1"/>
        <v>193279.826</v>
      </c>
      <c r="W27" s="12">
        <f t="shared" si="2"/>
        <v>68.8</v>
      </c>
    </row>
    <row r="28" spans="1:23" ht="26.25" customHeight="1" hidden="1">
      <c r="A28" s="8"/>
      <c r="B28" s="461" t="s">
        <v>52</v>
      </c>
      <c r="C28" s="462"/>
      <c r="D28" s="463"/>
      <c r="E28" s="134"/>
      <c r="F28" s="8">
        <v>331.5</v>
      </c>
      <c r="G28" s="57">
        <v>63</v>
      </c>
      <c r="H28" s="15">
        <f>G28*G36</f>
        <v>168715.26</v>
      </c>
      <c r="I28" s="15"/>
      <c r="J28" s="15">
        <v>27</v>
      </c>
      <c r="K28" s="15">
        <f>J28*G36</f>
        <v>72306.54</v>
      </c>
      <c r="L28" s="15"/>
      <c r="M28" s="15">
        <v>2.1</v>
      </c>
      <c r="N28" s="15">
        <f>M28*H36</f>
        <v>6277.887</v>
      </c>
      <c r="O28" s="15"/>
      <c r="P28" s="15">
        <v>42.2</v>
      </c>
      <c r="Q28" s="15">
        <f>P28*H36</f>
        <v>126155.634</v>
      </c>
      <c r="R28" s="15">
        <f t="shared" si="4"/>
        <v>134.3</v>
      </c>
      <c r="S28" s="15">
        <f t="shared" si="4"/>
        <v>373455.321</v>
      </c>
      <c r="T28" s="67" t="s">
        <v>21</v>
      </c>
      <c r="U28" s="11">
        <f>4206.13*P28</f>
        <v>177498.68600000002</v>
      </c>
      <c r="V28" s="11">
        <f t="shared" si="1"/>
        <v>373455.321</v>
      </c>
      <c r="W28" s="12">
        <f t="shared" si="2"/>
        <v>134.3</v>
      </c>
    </row>
    <row r="29" spans="1:23" ht="28.5" customHeight="1" hidden="1">
      <c r="A29" s="14">
        <v>6</v>
      </c>
      <c r="B29" s="458" t="s">
        <v>53</v>
      </c>
      <c r="C29" s="459"/>
      <c r="D29" s="460"/>
      <c r="E29" s="133"/>
      <c r="F29" s="8"/>
      <c r="G29" s="56">
        <f>G30+G31</f>
        <v>224.79999999999998</v>
      </c>
      <c r="H29" s="9">
        <f>H30+H31</f>
        <v>602018.896</v>
      </c>
      <c r="I29" s="9"/>
      <c r="J29" s="9">
        <f>J30+J31</f>
        <v>73.6</v>
      </c>
      <c r="K29" s="9">
        <f>K30+K31</f>
        <v>197102.272</v>
      </c>
      <c r="L29" s="9"/>
      <c r="M29" s="9">
        <f>M30+M31</f>
        <v>23.2</v>
      </c>
      <c r="N29" s="9">
        <f>N30+N31</f>
        <v>69355.704</v>
      </c>
      <c r="O29" s="9"/>
      <c r="P29" s="9">
        <f>P30+P31</f>
        <v>186.39999999999998</v>
      </c>
      <c r="Q29" s="9">
        <f>Q30+Q31</f>
        <v>557237.2079999999</v>
      </c>
      <c r="R29" s="9">
        <f>R30+R31</f>
        <v>508</v>
      </c>
      <c r="S29" s="9">
        <f>S30+S31</f>
        <v>1425714.08</v>
      </c>
      <c r="U29" s="11"/>
      <c r="V29" s="11"/>
      <c r="W29" s="12"/>
    </row>
    <row r="30" spans="1:23" ht="28.5" customHeight="1" hidden="1">
      <c r="A30" s="8"/>
      <c r="B30" s="461" t="s">
        <v>54</v>
      </c>
      <c r="C30" s="462"/>
      <c r="D30" s="463"/>
      <c r="E30" s="134"/>
      <c r="F30" s="8"/>
      <c r="G30" s="57">
        <v>87.6</v>
      </c>
      <c r="H30" s="15">
        <f>G30*G36</f>
        <v>234594.552</v>
      </c>
      <c r="I30" s="15"/>
      <c r="J30" s="15">
        <v>30.2</v>
      </c>
      <c r="K30" s="15">
        <f>J30*G36</f>
        <v>80876.204</v>
      </c>
      <c r="L30" s="15"/>
      <c r="M30" s="15">
        <v>10.1</v>
      </c>
      <c r="N30" s="15">
        <f>M30*H36</f>
        <v>30193.646999999997</v>
      </c>
      <c r="O30" s="15"/>
      <c r="P30" s="15">
        <v>73.6</v>
      </c>
      <c r="Q30" s="15">
        <f>P30*H36</f>
        <v>220024.99199999997</v>
      </c>
      <c r="R30" s="15">
        <f aca="true" t="shared" si="5" ref="R30:S32">G30+J30+M30+P30</f>
        <v>201.5</v>
      </c>
      <c r="S30" s="15">
        <f t="shared" si="5"/>
        <v>565689.395</v>
      </c>
      <c r="U30" s="11"/>
      <c r="V30" s="11"/>
      <c r="W30" s="12"/>
    </row>
    <row r="31" spans="1:23" ht="27" customHeight="1" hidden="1">
      <c r="A31" s="8"/>
      <c r="B31" s="461" t="s">
        <v>55</v>
      </c>
      <c r="C31" s="462"/>
      <c r="D31" s="463"/>
      <c r="E31" s="134"/>
      <c r="F31" s="8"/>
      <c r="G31" s="57">
        <v>137.2</v>
      </c>
      <c r="H31" s="15">
        <f>G31*G36</f>
        <v>367424.344</v>
      </c>
      <c r="I31" s="15"/>
      <c r="J31" s="15">
        <v>43.4</v>
      </c>
      <c r="K31" s="15">
        <f>J31*G36</f>
        <v>116226.068</v>
      </c>
      <c r="L31" s="15"/>
      <c r="M31" s="15">
        <v>13.1</v>
      </c>
      <c r="N31" s="15">
        <f>M31*H36</f>
        <v>39162.05699999999</v>
      </c>
      <c r="O31" s="15"/>
      <c r="P31" s="15">
        <v>112.8</v>
      </c>
      <c r="Q31" s="15">
        <f>P31*H36</f>
        <v>337212.21599999996</v>
      </c>
      <c r="R31" s="15">
        <f t="shared" si="5"/>
        <v>306.5</v>
      </c>
      <c r="S31" s="15">
        <f t="shared" si="5"/>
        <v>860024.6849999999</v>
      </c>
      <c r="U31" s="11"/>
      <c r="V31" s="11"/>
      <c r="W31" s="12"/>
    </row>
    <row r="32" spans="1:23" ht="27" customHeight="1" hidden="1">
      <c r="A32" s="14">
        <v>7</v>
      </c>
      <c r="B32" s="458" t="s">
        <v>56</v>
      </c>
      <c r="C32" s="459"/>
      <c r="D32" s="460"/>
      <c r="E32" s="133"/>
      <c r="F32" s="8"/>
      <c r="G32" s="56">
        <v>127</v>
      </c>
      <c r="H32" s="9">
        <f>G32*G36</f>
        <v>340108.54</v>
      </c>
      <c r="I32" s="9"/>
      <c r="J32" s="9">
        <v>43.6</v>
      </c>
      <c r="K32" s="9">
        <f>J32*G36</f>
        <v>116761.672</v>
      </c>
      <c r="L32" s="9"/>
      <c r="M32" s="9">
        <v>14.4</v>
      </c>
      <c r="N32" s="9">
        <f>M32*H36</f>
        <v>43048.367999999995</v>
      </c>
      <c r="O32" s="9"/>
      <c r="P32" s="9">
        <v>106.3</v>
      </c>
      <c r="Q32" s="9">
        <f>P32*H36</f>
        <v>317780.66099999996</v>
      </c>
      <c r="R32" s="9">
        <f t="shared" si="5"/>
        <v>291.3</v>
      </c>
      <c r="S32" s="9">
        <f t="shared" si="5"/>
        <v>817699.2409999999</v>
      </c>
      <c r="U32" s="11"/>
      <c r="V32" s="11"/>
      <c r="W32" s="12"/>
    </row>
    <row r="33" spans="1:23" ht="26.25" customHeight="1" hidden="1">
      <c r="A33" s="8"/>
      <c r="B33" s="464" t="s">
        <v>19</v>
      </c>
      <c r="C33" s="465"/>
      <c r="D33" s="466"/>
      <c r="E33" s="135"/>
      <c r="F33" s="14" t="e">
        <f>F9+#REF!+#REF!+F11+F12+F13+F14+F15+F16+F26+F27+F28+#REF!</f>
        <v>#REF!</v>
      </c>
      <c r="G33" s="9">
        <f>G9+G10+G17+G18+G22+G29+G32</f>
        <v>4414.6</v>
      </c>
      <c r="H33" s="9">
        <f>H9+H10+H17+H18+H22+H29+H32</f>
        <v>11822387.091999998</v>
      </c>
      <c r="I33" s="9">
        <f aca="true" t="shared" si="6" ref="I33:O33">I9+I11+I12+I13+I14+I15+I16+I26+I27+I28</f>
        <v>1516</v>
      </c>
      <c r="J33" s="9">
        <f>J9+J10+J17+J18+J22+J29+J32</f>
        <v>1367.3999999999999</v>
      </c>
      <c r="K33" s="9">
        <f>K9+K10+K17+K18+K22+K29+K32</f>
        <v>3661924.548</v>
      </c>
      <c r="L33" s="9">
        <f t="shared" si="6"/>
        <v>456.6</v>
      </c>
      <c r="M33" s="9">
        <f>M9+M10+M17+M18+M22+M29+M32</f>
        <v>389.7999999999999</v>
      </c>
      <c r="N33" s="9">
        <f>N9+N10+N17+N18+N22+N29+N32</f>
        <v>1165295.406</v>
      </c>
      <c r="O33" s="9">
        <f t="shared" si="6"/>
        <v>3053.7</v>
      </c>
      <c r="P33" s="9">
        <f>P9+P10+P17+P18+P22+P29+P32</f>
        <v>3222.3</v>
      </c>
      <c r="Q33" s="9">
        <f>Q9+Q10+Q17+Q22+Q29+Q32+Q18</f>
        <v>9632969.181</v>
      </c>
      <c r="R33" s="9">
        <f>R9+R10+R17+R18+R22+R29+R32</f>
        <v>9394.099999999999</v>
      </c>
      <c r="S33" s="9">
        <f>S9+S10+S17+S18+S22+S29+S32</f>
        <v>26282576.227</v>
      </c>
      <c r="T33" s="69"/>
      <c r="U33" s="19"/>
      <c r="V33" s="12"/>
      <c r="W33" s="12"/>
    </row>
    <row r="34" spans="1:23" ht="25.5" customHeight="1" hidden="1">
      <c r="A34" s="58"/>
      <c r="B34" s="467" t="s">
        <v>8</v>
      </c>
      <c r="C34" s="468"/>
      <c r="D34" s="469"/>
      <c r="E34" s="136"/>
      <c r="F34" s="396" t="s">
        <v>64</v>
      </c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8"/>
      <c r="U34" s="12"/>
      <c r="V34" s="12"/>
      <c r="W34" s="12"/>
    </row>
    <row r="35" spans="1:23" ht="15.75" customHeight="1" hidden="1">
      <c r="A35" s="21"/>
      <c r="B35" s="22"/>
      <c r="C35" s="22"/>
      <c r="D35" s="22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U35" s="12"/>
      <c r="V35" s="12"/>
      <c r="W35" s="12"/>
    </row>
    <row r="36" spans="1:23" ht="28.5" customHeight="1" hidden="1">
      <c r="A36" s="24"/>
      <c r="B36" s="25"/>
      <c r="C36" s="25"/>
      <c r="D36" s="26"/>
      <c r="E36" s="26"/>
      <c r="F36" s="27" t="s">
        <v>11</v>
      </c>
      <c r="G36" s="3">
        <v>2678.02</v>
      </c>
      <c r="H36" s="4">
        <v>2989.47</v>
      </c>
      <c r="I36" s="27" t="s">
        <v>16</v>
      </c>
      <c r="J36" s="27"/>
      <c r="K36" s="27"/>
      <c r="L36" s="27"/>
      <c r="M36" s="27"/>
      <c r="N36" s="25"/>
      <c r="O36" s="28"/>
      <c r="P36" s="28"/>
      <c r="Q36" s="28"/>
      <c r="R36" s="28"/>
      <c r="S36" s="28"/>
      <c r="U36" s="12"/>
      <c r="V36" s="12"/>
      <c r="W36" s="12"/>
    </row>
    <row r="37" spans="1:23" ht="20.25" customHeight="1" hidden="1">
      <c r="A37" s="447" t="s">
        <v>67</v>
      </c>
      <c r="B37" s="447"/>
      <c r="C37" s="447"/>
      <c r="D37" s="447"/>
      <c r="E37" s="447"/>
      <c r="F37" s="447"/>
      <c r="G37" s="447"/>
      <c r="H37" s="447"/>
      <c r="I37" s="447"/>
      <c r="J37" s="447"/>
      <c r="K37" s="447"/>
      <c r="L37" s="447"/>
      <c r="M37" s="447"/>
      <c r="N37" s="447"/>
      <c r="O37" s="447"/>
      <c r="P37" s="447"/>
      <c r="Q37" s="447"/>
      <c r="R37" s="447"/>
      <c r="S37" s="447"/>
      <c r="U37" s="12"/>
      <c r="V37" s="12"/>
      <c r="W37" s="12"/>
    </row>
    <row r="38" spans="1:23" ht="19.5" customHeight="1" hidden="1">
      <c r="A38" s="449" t="s">
        <v>15</v>
      </c>
      <c r="B38" s="450" t="s">
        <v>0</v>
      </c>
      <c r="C38" s="451"/>
      <c r="D38" s="452"/>
      <c r="E38" s="128"/>
      <c r="F38" s="377" t="s">
        <v>1</v>
      </c>
      <c r="G38" s="377"/>
      <c r="H38" s="377"/>
      <c r="I38" s="377" t="s">
        <v>3</v>
      </c>
      <c r="J38" s="377"/>
      <c r="K38" s="377"/>
      <c r="L38" s="377" t="s">
        <v>4</v>
      </c>
      <c r="M38" s="377"/>
      <c r="N38" s="377"/>
      <c r="O38" s="377" t="s">
        <v>6</v>
      </c>
      <c r="P38" s="377"/>
      <c r="Q38" s="377"/>
      <c r="R38" s="377" t="s">
        <v>7</v>
      </c>
      <c r="S38" s="377"/>
      <c r="U38" s="12"/>
      <c r="V38" s="12"/>
      <c r="W38" s="12"/>
    </row>
    <row r="39" spans="1:23" ht="30" customHeight="1" hidden="1">
      <c r="A39" s="449"/>
      <c r="B39" s="453"/>
      <c r="C39" s="454"/>
      <c r="D39" s="455"/>
      <c r="E39" s="129"/>
      <c r="F39" s="125"/>
      <c r="G39" s="125" t="s">
        <v>9</v>
      </c>
      <c r="H39" s="125" t="s">
        <v>5</v>
      </c>
      <c r="I39" s="125" t="s">
        <v>9</v>
      </c>
      <c r="J39" s="125" t="s">
        <v>9</v>
      </c>
      <c r="K39" s="125" t="s">
        <v>5</v>
      </c>
      <c r="L39" s="125" t="s">
        <v>9</v>
      </c>
      <c r="M39" s="125" t="s">
        <v>9</v>
      </c>
      <c r="N39" s="125" t="s">
        <v>5</v>
      </c>
      <c r="O39" s="125" t="s">
        <v>9</v>
      </c>
      <c r="P39" s="125" t="s">
        <v>9</v>
      </c>
      <c r="Q39" s="125" t="s">
        <v>5</v>
      </c>
      <c r="R39" s="125" t="s">
        <v>9</v>
      </c>
      <c r="S39" s="125" t="s">
        <v>5</v>
      </c>
      <c r="U39" s="12"/>
      <c r="V39" s="12"/>
      <c r="W39" s="12"/>
    </row>
    <row r="40" spans="1:23" ht="30" customHeight="1" hidden="1">
      <c r="A40" s="30">
        <v>1</v>
      </c>
      <c r="B40" s="470" t="s">
        <v>33</v>
      </c>
      <c r="C40" s="471"/>
      <c r="D40" s="472"/>
      <c r="E40" s="137"/>
      <c r="F40" s="30">
        <v>1800</v>
      </c>
      <c r="G40" s="31">
        <v>1750</v>
      </c>
      <c r="H40" s="31">
        <f>G40*G65</f>
        <v>8792.7</v>
      </c>
      <c r="I40" s="31">
        <v>1200</v>
      </c>
      <c r="J40" s="31">
        <v>1750</v>
      </c>
      <c r="K40" s="31">
        <f>J40*G65</f>
        <v>8792.7</v>
      </c>
      <c r="L40" s="31">
        <v>1500</v>
      </c>
      <c r="M40" s="31">
        <v>1750</v>
      </c>
      <c r="N40" s="31">
        <f>M40*H65</f>
        <v>9759.75</v>
      </c>
      <c r="O40" s="31">
        <v>1500</v>
      </c>
      <c r="P40" s="31">
        <v>1751.1</v>
      </c>
      <c r="Q40" s="31">
        <f>P40*H65</f>
        <v>9765.884699999999</v>
      </c>
      <c r="R40" s="31">
        <f>G40+J40+M40+P40</f>
        <v>7001.1</v>
      </c>
      <c r="S40" s="31">
        <f>H40+K40+N40+Q40</f>
        <v>37111.034700000004</v>
      </c>
      <c r="T40" s="67" t="s">
        <v>21</v>
      </c>
      <c r="U40" s="12">
        <f>5.629*P40</f>
        <v>9856.941899999998</v>
      </c>
      <c r="V40" s="11">
        <f>H40+K40+N40+Q40</f>
        <v>37111.034700000004</v>
      </c>
      <c r="W40" s="12">
        <f>G40+J40+M40+P40</f>
        <v>7001.1</v>
      </c>
    </row>
    <row r="41" spans="1:23" ht="30" customHeight="1" hidden="1">
      <c r="A41" s="14">
        <v>2</v>
      </c>
      <c r="B41" s="458" t="s">
        <v>41</v>
      </c>
      <c r="C41" s="459"/>
      <c r="D41" s="460"/>
      <c r="E41" s="133"/>
      <c r="F41" s="30"/>
      <c r="G41" s="31">
        <f>G42+G43+G44+G45+G46+G47</f>
        <v>181078</v>
      </c>
      <c r="H41" s="31">
        <f>H42+H43+H44+H45+H46+H47</f>
        <v>909808.3032000001</v>
      </c>
      <c r="I41" s="31"/>
      <c r="J41" s="31">
        <f>J42+J43+J44+J45+J46+J47</f>
        <v>182881</v>
      </c>
      <c r="K41" s="31">
        <f>K42+K43+K44+K45+K46+K47</f>
        <v>918867.2964000001</v>
      </c>
      <c r="L41" s="31"/>
      <c r="M41" s="31">
        <f>M42+M43+M44+M45+M46+M47</f>
        <v>167091</v>
      </c>
      <c r="N41" s="31">
        <f>N42+N43+N44+N45+N46+N47</f>
        <v>931866.507</v>
      </c>
      <c r="O41" s="31"/>
      <c r="P41" s="31">
        <f>P42+P43+P44+P45+P46+P47</f>
        <v>250747</v>
      </c>
      <c r="Q41" s="31">
        <f>Q42+Q43+Q44+Q45+Q46+Q47</f>
        <v>1398416.019</v>
      </c>
      <c r="R41" s="31">
        <f>R42+R43+R44+R45+R46+R47</f>
        <v>781797</v>
      </c>
      <c r="S41" s="31">
        <f>S42+S43+S44+S45+S46+S47</f>
        <v>4158958.1255999994</v>
      </c>
      <c r="U41" s="12"/>
      <c r="V41" s="11"/>
      <c r="W41" s="12"/>
    </row>
    <row r="42" spans="1:23" ht="33" customHeight="1" hidden="1">
      <c r="A42" s="14"/>
      <c r="B42" s="461" t="s">
        <v>34</v>
      </c>
      <c r="C42" s="462"/>
      <c r="D42" s="463"/>
      <c r="E42" s="134"/>
      <c r="F42" s="14">
        <v>53000</v>
      </c>
      <c r="G42" s="15">
        <v>40000</v>
      </c>
      <c r="H42" s="15">
        <f>G42*G65</f>
        <v>200976</v>
      </c>
      <c r="I42" s="15">
        <v>36000</v>
      </c>
      <c r="J42" s="15">
        <v>43500</v>
      </c>
      <c r="K42" s="15">
        <f>J42*G65</f>
        <v>218561.4</v>
      </c>
      <c r="L42" s="15">
        <v>24000</v>
      </c>
      <c r="M42" s="15">
        <v>25200</v>
      </c>
      <c r="N42" s="15">
        <f>M42*H65</f>
        <v>140540.4</v>
      </c>
      <c r="O42" s="15">
        <v>50000</v>
      </c>
      <c r="P42" s="15">
        <v>64000</v>
      </c>
      <c r="Q42" s="15">
        <f>P42*H65</f>
        <v>356928</v>
      </c>
      <c r="R42" s="15">
        <f aca="true" t="shared" si="7" ref="R42:S48">G42+J42+M42+P42</f>
        <v>172700</v>
      </c>
      <c r="S42" s="15">
        <f t="shared" si="7"/>
        <v>917005.8</v>
      </c>
      <c r="T42" s="67" t="s">
        <v>21</v>
      </c>
      <c r="U42" s="12">
        <f aca="true" t="shared" si="8" ref="U42:U52">5.629*P42</f>
        <v>360256</v>
      </c>
      <c r="V42" s="11">
        <f aca="true" t="shared" si="9" ref="V42:V51">H42+K42+N42+Q42</f>
        <v>917005.8</v>
      </c>
      <c r="W42" s="12">
        <f>G42+J42+M42+P42</f>
        <v>172700</v>
      </c>
    </row>
    <row r="43" spans="1:23" ht="33.75" customHeight="1" hidden="1">
      <c r="A43" s="30"/>
      <c r="B43" s="473" t="s">
        <v>57</v>
      </c>
      <c r="C43" s="474"/>
      <c r="D43" s="475"/>
      <c r="E43" s="138"/>
      <c r="F43" s="30">
        <v>27000</v>
      </c>
      <c r="G43" s="33">
        <v>23250</v>
      </c>
      <c r="H43" s="33">
        <f>G43*G65</f>
        <v>116817.3</v>
      </c>
      <c r="I43" s="33">
        <v>17000</v>
      </c>
      <c r="J43" s="33">
        <v>17820</v>
      </c>
      <c r="K43" s="33">
        <f>J43*G65</f>
        <v>89534.808</v>
      </c>
      <c r="L43" s="33">
        <v>19000</v>
      </c>
      <c r="M43" s="33">
        <v>18549</v>
      </c>
      <c r="N43" s="33">
        <f>M43*H65</f>
        <v>103447.773</v>
      </c>
      <c r="O43" s="33">
        <v>41000</v>
      </c>
      <c r="P43" s="33">
        <v>35010</v>
      </c>
      <c r="Q43" s="33">
        <f>P43*H65</f>
        <v>195250.77</v>
      </c>
      <c r="R43" s="33">
        <f t="shared" si="7"/>
        <v>94629</v>
      </c>
      <c r="S43" s="33">
        <f t="shared" si="7"/>
        <v>505050.65099999995</v>
      </c>
      <c r="T43" s="67" t="s">
        <v>21</v>
      </c>
      <c r="U43" s="12">
        <f t="shared" si="8"/>
        <v>197071.28999999998</v>
      </c>
      <c r="V43" s="11">
        <f t="shared" si="9"/>
        <v>505050.65099999995</v>
      </c>
      <c r="W43" s="12">
        <f aca="true" t="shared" si="10" ref="W43:W52">G43+J43+M43+P43</f>
        <v>94629</v>
      </c>
    </row>
    <row r="44" spans="1:23" ht="35.25" customHeight="1" hidden="1">
      <c r="A44" s="14"/>
      <c r="B44" s="461" t="s">
        <v>36</v>
      </c>
      <c r="C44" s="462"/>
      <c r="D44" s="463"/>
      <c r="E44" s="134"/>
      <c r="F44" s="14">
        <v>70000</v>
      </c>
      <c r="G44" s="15">
        <v>29500</v>
      </c>
      <c r="H44" s="15">
        <f>G44*G65</f>
        <v>148219.8</v>
      </c>
      <c r="I44" s="15">
        <v>55000</v>
      </c>
      <c r="J44" s="15">
        <v>46750</v>
      </c>
      <c r="K44" s="15">
        <f>J44*G65</f>
        <v>234890.7</v>
      </c>
      <c r="L44" s="15">
        <v>45000</v>
      </c>
      <c r="M44" s="15">
        <v>38250</v>
      </c>
      <c r="N44" s="15">
        <f>M44*H65</f>
        <v>213320.25</v>
      </c>
      <c r="O44" s="15">
        <v>70000</v>
      </c>
      <c r="P44" s="15">
        <v>39500</v>
      </c>
      <c r="Q44" s="15">
        <f>P44*H65</f>
        <v>220291.5</v>
      </c>
      <c r="R44" s="15">
        <f t="shared" si="7"/>
        <v>154000</v>
      </c>
      <c r="S44" s="15">
        <f t="shared" si="7"/>
        <v>816722.25</v>
      </c>
      <c r="T44" s="67" t="s">
        <v>21</v>
      </c>
      <c r="U44" s="12">
        <f t="shared" si="8"/>
        <v>222345.49999999997</v>
      </c>
      <c r="V44" s="11">
        <f t="shared" si="9"/>
        <v>816722.25</v>
      </c>
      <c r="W44" s="12">
        <f t="shared" si="10"/>
        <v>154000</v>
      </c>
    </row>
    <row r="45" spans="1:23" ht="30.75" customHeight="1" hidden="1">
      <c r="A45" s="8"/>
      <c r="B45" s="476" t="s">
        <v>37</v>
      </c>
      <c r="C45" s="476"/>
      <c r="D45" s="476"/>
      <c r="E45" s="139"/>
      <c r="F45" s="8">
        <v>17000</v>
      </c>
      <c r="G45" s="15">
        <v>49478</v>
      </c>
      <c r="H45" s="15">
        <f>G45*G65</f>
        <v>248597.2632</v>
      </c>
      <c r="I45" s="15">
        <v>14000</v>
      </c>
      <c r="J45" s="15">
        <v>40561</v>
      </c>
      <c r="K45" s="15">
        <f>J45*G65</f>
        <v>203794.68839999998</v>
      </c>
      <c r="L45" s="15">
        <v>13000</v>
      </c>
      <c r="M45" s="15">
        <v>34292</v>
      </c>
      <c r="N45" s="15">
        <f>M45*H65</f>
        <v>191246.484</v>
      </c>
      <c r="O45" s="15">
        <v>24000</v>
      </c>
      <c r="P45" s="15">
        <v>62737</v>
      </c>
      <c r="Q45" s="15">
        <f>P45*H65</f>
        <v>349884.249</v>
      </c>
      <c r="R45" s="15">
        <f t="shared" si="7"/>
        <v>187068</v>
      </c>
      <c r="S45" s="15">
        <f t="shared" si="7"/>
        <v>993522.6846</v>
      </c>
      <c r="T45" s="67" t="s">
        <v>21</v>
      </c>
      <c r="U45" s="12">
        <f t="shared" si="8"/>
        <v>353146.573</v>
      </c>
      <c r="V45" s="11">
        <f t="shared" si="9"/>
        <v>993522.6846</v>
      </c>
      <c r="W45" s="12">
        <f t="shared" si="10"/>
        <v>187068</v>
      </c>
    </row>
    <row r="46" spans="1:23" ht="29.25" customHeight="1" hidden="1">
      <c r="A46" s="8"/>
      <c r="B46" s="476" t="s">
        <v>38</v>
      </c>
      <c r="C46" s="476"/>
      <c r="D46" s="476"/>
      <c r="E46" s="139"/>
      <c r="F46" s="8">
        <v>31000</v>
      </c>
      <c r="G46" s="15">
        <v>29350</v>
      </c>
      <c r="H46" s="15">
        <f>G46*G65</f>
        <v>147466.13999999998</v>
      </c>
      <c r="I46" s="15">
        <v>27000</v>
      </c>
      <c r="J46" s="15">
        <v>25950</v>
      </c>
      <c r="K46" s="15">
        <f>J46*G65</f>
        <v>130383.18</v>
      </c>
      <c r="L46" s="15">
        <v>58000</v>
      </c>
      <c r="M46" s="15">
        <v>43300</v>
      </c>
      <c r="N46" s="15">
        <f>M46*H65</f>
        <v>241484.1</v>
      </c>
      <c r="O46" s="15">
        <v>44000</v>
      </c>
      <c r="P46" s="15">
        <v>37400</v>
      </c>
      <c r="Q46" s="15">
        <f>P46*H65</f>
        <v>208579.8</v>
      </c>
      <c r="R46" s="15">
        <f t="shared" si="7"/>
        <v>136000</v>
      </c>
      <c r="S46" s="15">
        <f t="shared" si="7"/>
        <v>727913.22</v>
      </c>
      <c r="T46" s="67" t="s">
        <v>21</v>
      </c>
      <c r="U46" s="12">
        <f t="shared" si="8"/>
        <v>210524.59999999998</v>
      </c>
      <c r="V46" s="11">
        <f t="shared" si="9"/>
        <v>727913.22</v>
      </c>
      <c r="W46" s="12">
        <f t="shared" si="10"/>
        <v>136000</v>
      </c>
    </row>
    <row r="47" spans="1:23" ht="46.5" customHeight="1" hidden="1">
      <c r="A47" s="8"/>
      <c r="B47" s="476" t="s">
        <v>39</v>
      </c>
      <c r="C47" s="476"/>
      <c r="D47" s="476"/>
      <c r="E47" s="139"/>
      <c r="F47" s="8">
        <v>8000</v>
      </c>
      <c r="G47" s="15">
        <v>9500</v>
      </c>
      <c r="H47" s="15">
        <f>G47*G65</f>
        <v>47731.8</v>
      </c>
      <c r="I47" s="15">
        <v>12000</v>
      </c>
      <c r="J47" s="15">
        <v>8300</v>
      </c>
      <c r="K47" s="15">
        <f>J47*G65</f>
        <v>41702.52</v>
      </c>
      <c r="L47" s="15">
        <v>9000</v>
      </c>
      <c r="M47" s="15">
        <v>7500</v>
      </c>
      <c r="N47" s="15">
        <f>M47*H65</f>
        <v>41827.5</v>
      </c>
      <c r="O47" s="15">
        <v>15000</v>
      </c>
      <c r="P47" s="15">
        <v>12100</v>
      </c>
      <c r="Q47" s="15">
        <f>P47*H65</f>
        <v>67481.7</v>
      </c>
      <c r="R47" s="15">
        <f t="shared" si="7"/>
        <v>37400</v>
      </c>
      <c r="S47" s="15">
        <f t="shared" si="7"/>
        <v>198743.52000000002</v>
      </c>
      <c r="T47" s="67" t="s">
        <v>21</v>
      </c>
      <c r="U47" s="12">
        <f t="shared" si="8"/>
        <v>68110.9</v>
      </c>
      <c r="V47" s="11">
        <f t="shared" si="9"/>
        <v>198743.52000000002</v>
      </c>
      <c r="W47" s="12">
        <f t="shared" si="10"/>
        <v>37400</v>
      </c>
    </row>
    <row r="48" spans="1:23" ht="27" customHeight="1" hidden="1">
      <c r="A48" s="14">
        <v>3</v>
      </c>
      <c r="B48" s="458" t="s">
        <v>42</v>
      </c>
      <c r="C48" s="459"/>
      <c r="D48" s="460"/>
      <c r="E48" s="133"/>
      <c r="F48" s="14">
        <v>9000</v>
      </c>
      <c r="G48" s="9">
        <v>35398</v>
      </c>
      <c r="H48" s="9">
        <f>G48*G65</f>
        <v>177853.7112</v>
      </c>
      <c r="I48" s="9"/>
      <c r="J48" s="9">
        <v>25770</v>
      </c>
      <c r="K48" s="9">
        <f>J48*G65</f>
        <v>129478.788</v>
      </c>
      <c r="L48" s="9"/>
      <c r="M48" s="9">
        <v>28284</v>
      </c>
      <c r="N48" s="9">
        <f>M48*H65</f>
        <v>157739.868</v>
      </c>
      <c r="O48" s="9"/>
      <c r="P48" s="9">
        <v>35088</v>
      </c>
      <c r="Q48" s="9">
        <f>P48*H65</f>
        <v>195685.776</v>
      </c>
      <c r="R48" s="9">
        <f t="shared" si="7"/>
        <v>124540</v>
      </c>
      <c r="S48" s="9">
        <f t="shared" si="7"/>
        <v>660758.1432</v>
      </c>
      <c r="T48" s="67" t="s">
        <v>21</v>
      </c>
      <c r="U48" s="12">
        <f t="shared" si="8"/>
        <v>197510.35199999998</v>
      </c>
      <c r="V48" s="11">
        <f t="shared" si="9"/>
        <v>660758.1432</v>
      </c>
      <c r="W48" s="12">
        <f t="shared" si="10"/>
        <v>124540</v>
      </c>
    </row>
    <row r="49" spans="1:23" ht="28.5" customHeight="1" hidden="1">
      <c r="A49" s="14">
        <v>4</v>
      </c>
      <c r="B49" s="458" t="s">
        <v>43</v>
      </c>
      <c r="C49" s="459"/>
      <c r="D49" s="460"/>
      <c r="E49" s="133"/>
      <c r="F49" s="14">
        <v>20000</v>
      </c>
      <c r="G49" s="9">
        <f>G50+G51+G52</f>
        <v>33699</v>
      </c>
      <c r="H49" s="9">
        <f>H50+H51+H52</f>
        <v>169317.25559999997</v>
      </c>
      <c r="I49" s="9"/>
      <c r="J49" s="9">
        <f>J50+J51+J52</f>
        <v>22466</v>
      </c>
      <c r="K49" s="9">
        <f>K50+K51+K52</f>
        <v>112878.1704</v>
      </c>
      <c r="L49" s="9"/>
      <c r="M49" s="9">
        <f>M50+M51+M52</f>
        <v>22466</v>
      </c>
      <c r="N49" s="9">
        <f>N50+N51+N52</f>
        <v>125292.882</v>
      </c>
      <c r="O49" s="9"/>
      <c r="P49" s="9">
        <f>P50+P51+P52</f>
        <v>33699</v>
      </c>
      <c r="Q49" s="9">
        <f>Q50+Q51+Q52</f>
        <v>187939.323</v>
      </c>
      <c r="R49" s="9">
        <f>R50+R51+R52</f>
        <v>112330</v>
      </c>
      <c r="S49" s="9">
        <f>S50+S51+S52</f>
        <v>595427.6309999999</v>
      </c>
      <c r="T49" s="67" t="s">
        <v>21</v>
      </c>
      <c r="U49" s="12">
        <f t="shared" si="8"/>
        <v>189691.67099999997</v>
      </c>
      <c r="V49" s="11">
        <f t="shared" si="9"/>
        <v>595427.6309999999</v>
      </c>
      <c r="W49" s="12">
        <f t="shared" si="10"/>
        <v>112330</v>
      </c>
    </row>
    <row r="50" spans="1:23" ht="28.5" customHeight="1" hidden="1">
      <c r="A50" s="8"/>
      <c r="B50" s="461" t="s">
        <v>44</v>
      </c>
      <c r="C50" s="462"/>
      <c r="D50" s="463"/>
      <c r="E50" s="134"/>
      <c r="F50" s="8"/>
      <c r="G50" s="15">
        <v>5264</v>
      </c>
      <c r="H50" s="15">
        <f>G50*G65</f>
        <v>26448.4416</v>
      </c>
      <c r="I50" s="15"/>
      <c r="J50" s="15">
        <v>3510</v>
      </c>
      <c r="K50" s="15">
        <f>J50*G65</f>
        <v>17635.644</v>
      </c>
      <c r="L50" s="15"/>
      <c r="M50" s="15">
        <v>3510</v>
      </c>
      <c r="N50" s="15">
        <f>M50*H65</f>
        <v>19575.27</v>
      </c>
      <c r="O50" s="15"/>
      <c r="P50" s="15">
        <v>5264</v>
      </c>
      <c r="Q50" s="15">
        <f>P50*H65</f>
        <v>29357.328</v>
      </c>
      <c r="R50" s="15">
        <f aca="true" t="shared" si="11" ref="R50:S52">G50+J50+M50+P50</f>
        <v>17548</v>
      </c>
      <c r="S50" s="15">
        <f t="shared" si="11"/>
        <v>93016.68359999999</v>
      </c>
      <c r="U50" s="12"/>
      <c r="V50" s="11"/>
      <c r="W50" s="12"/>
    </row>
    <row r="51" spans="1:23" ht="27" customHeight="1" hidden="1">
      <c r="A51" s="8"/>
      <c r="B51" s="461" t="s">
        <v>58</v>
      </c>
      <c r="C51" s="462"/>
      <c r="D51" s="463"/>
      <c r="E51" s="134"/>
      <c r="F51" s="8">
        <v>29400</v>
      </c>
      <c r="G51" s="15">
        <v>23198</v>
      </c>
      <c r="H51" s="15">
        <f>G51*G65</f>
        <v>116556.0312</v>
      </c>
      <c r="I51" s="15"/>
      <c r="J51" s="15">
        <v>15465</v>
      </c>
      <c r="K51" s="15">
        <f>J51*G65</f>
        <v>77702.346</v>
      </c>
      <c r="L51" s="15"/>
      <c r="M51" s="15">
        <v>15465</v>
      </c>
      <c r="N51" s="15">
        <f>M51*H65</f>
        <v>86248.305</v>
      </c>
      <c r="O51" s="15"/>
      <c r="P51" s="15">
        <v>23198</v>
      </c>
      <c r="Q51" s="15">
        <f>P51*H65</f>
        <v>129375.246</v>
      </c>
      <c r="R51" s="15">
        <f t="shared" si="11"/>
        <v>77326</v>
      </c>
      <c r="S51" s="15">
        <f t="shared" si="11"/>
        <v>409881.92819999997</v>
      </c>
      <c r="T51" s="67" t="s">
        <v>21</v>
      </c>
      <c r="U51" s="12">
        <f t="shared" si="8"/>
        <v>130581.54199999999</v>
      </c>
      <c r="V51" s="11">
        <f t="shared" si="9"/>
        <v>409881.92819999997</v>
      </c>
      <c r="W51" s="12">
        <f t="shared" si="10"/>
        <v>77326</v>
      </c>
    </row>
    <row r="52" spans="1:23" ht="27" customHeight="1" hidden="1">
      <c r="A52" s="8"/>
      <c r="B52" s="461" t="s">
        <v>59</v>
      </c>
      <c r="C52" s="462"/>
      <c r="D52" s="463"/>
      <c r="E52" s="134"/>
      <c r="F52" s="8"/>
      <c r="G52" s="15">
        <v>5237</v>
      </c>
      <c r="H52" s="15">
        <f>G52*G65</f>
        <v>26312.7828</v>
      </c>
      <c r="I52" s="15"/>
      <c r="J52" s="15">
        <v>3491</v>
      </c>
      <c r="K52" s="15">
        <f>J52*G65</f>
        <v>17540.1804</v>
      </c>
      <c r="L52" s="15"/>
      <c r="M52" s="15">
        <v>3491</v>
      </c>
      <c r="N52" s="15">
        <f>M52*H65</f>
        <v>19469.307</v>
      </c>
      <c r="O52" s="15"/>
      <c r="P52" s="15">
        <v>5237</v>
      </c>
      <c r="Q52" s="15">
        <f>P52*H65</f>
        <v>29206.749</v>
      </c>
      <c r="R52" s="15">
        <f t="shared" si="11"/>
        <v>17456</v>
      </c>
      <c r="S52" s="15">
        <f t="shared" si="11"/>
        <v>92529.0192</v>
      </c>
      <c r="U52" s="12">
        <f t="shared" si="8"/>
        <v>29479.072999999997</v>
      </c>
      <c r="V52" s="11"/>
      <c r="W52" s="12">
        <f t="shared" si="10"/>
        <v>17456</v>
      </c>
    </row>
    <row r="53" spans="1:23" ht="27" customHeight="1" hidden="1">
      <c r="A53" s="14">
        <v>5</v>
      </c>
      <c r="B53" s="458" t="s">
        <v>47</v>
      </c>
      <c r="C53" s="459"/>
      <c r="D53" s="460"/>
      <c r="E53" s="133"/>
      <c r="F53" s="8"/>
      <c r="G53" s="9">
        <f>G54+G55+G56+G57+G58+G59</f>
        <v>22584</v>
      </c>
      <c r="H53" s="9">
        <f>H54+H55+H56+H57+H58+H59</f>
        <v>113471.0496</v>
      </c>
      <c r="I53" s="9"/>
      <c r="J53" s="9">
        <f>J54+J55+J56+J57+J58+J59</f>
        <v>19435</v>
      </c>
      <c r="K53" s="9">
        <f>K54+K55+K56+K57+K58+K59</f>
        <v>97649.21399999998</v>
      </c>
      <c r="L53" s="9"/>
      <c r="M53" s="9">
        <f>M54+M55+M56+M57+M58+M59</f>
        <v>24051</v>
      </c>
      <c r="N53" s="9">
        <f>N54+N55+N56+N57+N58+N59</f>
        <v>134132.427</v>
      </c>
      <c r="O53" s="9"/>
      <c r="P53" s="9">
        <f>P54+P55+P56+P57+P58+P59</f>
        <v>23137</v>
      </c>
      <c r="Q53" s="9">
        <f>Q54+Q55+Q56+Q57+Q58+Q59</f>
        <v>129035.049</v>
      </c>
      <c r="R53" s="9">
        <f>R54+R55+R56+R57+R58+R59</f>
        <v>89207</v>
      </c>
      <c r="S53" s="9">
        <f>S54+S55+S56++S57+S58+S59</f>
        <v>474287.7396</v>
      </c>
      <c r="U53" s="12"/>
      <c r="V53" s="11"/>
      <c r="W53" s="12"/>
    </row>
    <row r="54" spans="1:23" ht="27" customHeight="1" hidden="1">
      <c r="A54" s="8"/>
      <c r="B54" s="461" t="s">
        <v>48</v>
      </c>
      <c r="C54" s="462"/>
      <c r="D54" s="463"/>
      <c r="E54" s="134"/>
      <c r="F54" s="8"/>
      <c r="G54" s="15">
        <v>3093</v>
      </c>
      <c r="H54" s="35">
        <f>G54*G65</f>
        <v>15540.4692</v>
      </c>
      <c r="I54" s="15"/>
      <c r="J54" s="15">
        <v>2715</v>
      </c>
      <c r="K54" s="15">
        <f>J54*G65</f>
        <v>13641.246</v>
      </c>
      <c r="L54" s="15"/>
      <c r="M54" s="15">
        <v>2752</v>
      </c>
      <c r="N54" s="15">
        <f>M54*H65</f>
        <v>15347.904</v>
      </c>
      <c r="O54" s="15"/>
      <c r="P54" s="15">
        <v>2588</v>
      </c>
      <c r="Q54" s="15">
        <f>P54*H65</f>
        <v>14433.276</v>
      </c>
      <c r="R54" s="15">
        <f aca="true" t="shared" si="12" ref="R54:S59">G54+J54+M54+P54</f>
        <v>11148</v>
      </c>
      <c r="S54" s="15">
        <f t="shared" si="12"/>
        <v>58962.8952</v>
      </c>
      <c r="U54" s="12"/>
      <c r="V54" s="11"/>
      <c r="W54" s="12"/>
    </row>
    <row r="55" spans="1:23" ht="27" customHeight="1" hidden="1">
      <c r="A55" s="8"/>
      <c r="B55" s="461" t="s">
        <v>49</v>
      </c>
      <c r="C55" s="462"/>
      <c r="D55" s="463"/>
      <c r="E55" s="134"/>
      <c r="F55" s="8"/>
      <c r="G55" s="15">
        <v>5045</v>
      </c>
      <c r="H55" s="15">
        <f>G55*G65</f>
        <v>25348.097999999998</v>
      </c>
      <c r="I55" s="15"/>
      <c r="J55" s="15">
        <v>3390</v>
      </c>
      <c r="K55" s="15">
        <f>J55*G65</f>
        <v>17032.716</v>
      </c>
      <c r="L55" s="15"/>
      <c r="M55" s="15">
        <v>5675</v>
      </c>
      <c r="N55" s="15">
        <f>M55*H65</f>
        <v>31649.475</v>
      </c>
      <c r="O55" s="15"/>
      <c r="P55" s="15">
        <v>6890</v>
      </c>
      <c r="Q55" s="15">
        <f>P55*H65</f>
        <v>38425.53</v>
      </c>
      <c r="R55" s="15">
        <f t="shared" si="12"/>
        <v>21000</v>
      </c>
      <c r="S55" s="15">
        <f t="shared" si="12"/>
        <v>112455.81899999999</v>
      </c>
      <c r="U55" s="12"/>
      <c r="V55" s="11"/>
      <c r="W55" s="12"/>
    </row>
    <row r="56" spans="1:23" ht="27" customHeight="1" hidden="1">
      <c r="A56" s="8"/>
      <c r="B56" s="461" t="s">
        <v>50</v>
      </c>
      <c r="C56" s="462"/>
      <c r="D56" s="463"/>
      <c r="E56" s="134"/>
      <c r="F56" s="8"/>
      <c r="G56" s="15">
        <v>5253</v>
      </c>
      <c r="H56" s="15">
        <f>G56*G65</f>
        <v>26393.1732</v>
      </c>
      <c r="I56" s="15"/>
      <c r="J56" s="15">
        <v>5294</v>
      </c>
      <c r="K56" s="15">
        <f>J56*G65</f>
        <v>26599.1736</v>
      </c>
      <c r="L56" s="15"/>
      <c r="M56" s="15">
        <v>7570</v>
      </c>
      <c r="N56" s="15">
        <f>M56*H65</f>
        <v>42217.89</v>
      </c>
      <c r="O56" s="15"/>
      <c r="P56" s="15">
        <v>4038</v>
      </c>
      <c r="Q56" s="15">
        <f>P56*H65</f>
        <v>22519.926</v>
      </c>
      <c r="R56" s="15">
        <f t="shared" si="12"/>
        <v>22155</v>
      </c>
      <c r="S56" s="15">
        <f t="shared" si="12"/>
        <v>117730.16279999999</v>
      </c>
      <c r="U56" s="12"/>
      <c r="V56" s="11"/>
      <c r="W56" s="12"/>
    </row>
    <row r="57" spans="1:23" ht="27" customHeight="1" hidden="1">
      <c r="A57" s="8"/>
      <c r="B57" s="476" t="s">
        <v>40</v>
      </c>
      <c r="C57" s="476"/>
      <c r="D57" s="476"/>
      <c r="E57" s="139"/>
      <c r="F57" s="8"/>
      <c r="G57" s="15">
        <v>3278</v>
      </c>
      <c r="H57" s="15">
        <f>G57*G65</f>
        <v>16469.9832</v>
      </c>
      <c r="I57" s="15"/>
      <c r="J57" s="15">
        <v>2211</v>
      </c>
      <c r="K57" s="15">
        <f>J57*G65</f>
        <v>11108.9484</v>
      </c>
      <c r="L57" s="15"/>
      <c r="M57" s="15">
        <v>2959</v>
      </c>
      <c r="N57" s="15">
        <f>M57*H65</f>
        <v>16502.343</v>
      </c>
      <c r="O57" s="15"/>
      <c r="P57" s="15">
        <v>3696</v>
      </c>
      <c r="Q57" s="15">
        <f>P57*H65</f>
        <v>20612.592</v>
      </c>
      <c r="R57" s="15">
        <f t="shared" si="12"/>
        <v>12144</v>
      </c>
      <c r="S57" s="15">
        <f t="shared" si="12"/>
        <v>64693.866599999994</v>
      </c>
      <c r="U57" s="12"/>
      <c r="V57" s="11"/>
      <c r="W57" s="12"/>
    </row>
    <row r="58" spans="1:23" ht="27" customHeight="1" hidden="1">
      <c r="A58" s="8"/>
      <c r="B58" s="476" t="s">
        <v>51</v>
      </c>
      <c r="C58" s="476"/>
      <c r="D58" s="476"/>
      <c r="E58" s="139"/>
      <c r="F58" s="8"/>
      <c r="G58" s="15">
        <v>1865</v>
      </c>
      <c r="H58" s="15">
        <f>G58*G65</f>
        <v>9370.506</v>
      </c>
      <c r="I58" s="15"/>
      <c r="J58" s="15">
        <v>1775</v>
      </c>
      <c r="K58" s="15">
        <f>J58*G65</f>
        <v>8918.31</v>
      </c>
      <c r="L58" s="15"/>
      <c r="M58" s="15">
        <v>1145</v>
      </c>
      <c r="N58" s="15">
        <f>M58*H65</f>
        <v>6385.665</v>
      </c>
      <c r="O58" s="15"/>
      <c r="P58" s="15">
        <v>1875</v>
      </c>
      <c r="Q58" s="15">
        <f>P58*H65</f>
        <v>10456.875</v>
      </c>
      <c r="R58" s="15">
        <f t="shared" si="12"/>
        <v>6660</v>
      </c>
      <c r="S58" s="15">
        <f t="shared" si="12"/>
        <v>35131.356</v>
      </c>
      <c r="U58" s="12"/>
      <c r="V58" s="11"/>
      <c r="W58" s="12"/>
    </row>
    <row r="59" spans="1:23" ht="27" customHeight="1" hidden="1">
      <c r="A59" s="8"/>
      <c r="B59" s="476" t="s">
        <v>52</v>
      </c>
      <c r="C59" s="476"/>
      <c r="D59" s="476"/>
      <c r="E59" s="139"/>
      <c r="F59" s="8"/>
      <c r="G59" s="15">
        <v>4050</v>
      </c>
      <c r="H59" s="15">
        <f>G59*G65</f>
        <v>20348.82</v>
      </c>
      <c r="I59" s="15"/>
      <c r="J59" s="15">
        <v>4050</v>
      </c>
      <c r="K59" s="15">
        <f>J59*G65</f>
        <v>20348.82</v>
      </c>
      <c r="L59" s="15"/>
      <c r="M59" s="15">
        <v>3950</v>
      </c>
      <c r="N59" s="15">
        <f>M59*H65</f>
        <v>22029.15</v>
      </c>
      <c r="O59" s="15"/>
      <c r="P59" s="15">
        <v>4050</v>
      </c>
      <c r="Q59" s="15">
        <f>P59*H65</f>
        <v>22586.85</v>
      </c>
      <c r="R59" s="15">
        <f t="shared" si="12"/>
        <v>16100</v>
      </c>
      <c r="S59" s="15">
        <f t="shared" si="12"/>
        <v>85313.64</v>
      </c>
      <c r="U59" s="12"/>
      <c r="V59" s="11"/>
      <c r="W59" s="12"/>
    </row>
    <row r="60" spans="1:23" ht="27" customHeight="1" hidden="1">
      <c r="A60" s="14">
        <v>6</v>
      </c>
      <c r="B60" s="458" t="s">
        <v>53</v>
      </c>
      <c r="C60" s="459"/>
      <c r="D60" s="460"/>
      <c r="E60" s="133"/>
      <c r="F60" s="8"/>
      <c r="G60" s="9">
        <f>G61+G62</f>
        <v>60125.76</v>
      </c>
      <c r="H60" s="9">
        <f>H61+H62</f>
        <v>302095.86854399997</v>
      </c>
      <c r="I60" s="9"/>
      <c r="J60" s="9">
        <f>J61+J62</f>
        <v>33427</v>
      </c>
      <c r="K60" s="9">
        <f>K61+K62</f>
        <v>167950.6188</v>
      </c>
      <c r="L60" s="9"/>
      <c r="M60" s="9">
        <f>M61+M62</f>
        <v>27041.07</v>
      </c>
      <c r="N60" s="9">
        <f>N61+N62</f>
        <v>150808.04739000002</v>
      </c>
      <c r="O60" s="9"/>
      <c r="P60" s="9">
        <f>P61+P62</f>
        <v>74463</v>
      </c>
      <c r="Q60" s="9">
        <f>Q61+Q62</f>
        <v>415280.151</v>
      </c>
      <c r="R60" s="9">
        <f>R61+R62</f>
        <v>195056.83000000002</v>
      </c>
      <c r="S60" s="9">
        <f>S61+S62</f>
        <v>1036134.685734</v>
      </c>
      <c r="U60" s="12"/>
      <c r="V60" s="11"/>
      <c r="W60" s="12"/>
    </row>
    <row r="61" spans="1:23" ht="27" customHeight="1" hidden="1">
      <c r="A61" s="8"/>
      <c r="B61" s="461" t="s">
        <v>54</v>
      </c>
      <c r="C61" s="462"/>
      <c r="D61" s="463"/>
      <c r="E61" s="134"/>
      <c r="F61" s="8"/>
      <c r="G61" s="15">
        <v>7650</v>
      </c>
      <c r="H61" s="15">
        <f>G61*G65</f>
        <v>38436.659999999996</v>
      </c>
      <c r="I61" s="15"/>
      <c r="J61" s="15">
        <v>10200</v>
      </c>
      <c r="K61" s="15">
        <f>J61*G65</f>
        <v>51248.88</v>
      </c>
      <c r="L61" s="15"/>
      <c r="M61" s="15">
        <v>7650</v>
      </c>
      <c r="N61" s="15">
        <f>M61*H65</f>
        <v>42664.05</v>
      </c>
      <c r="O61" s="15"/>
      <c r="P61" s="15">
        <v>13600</v>
      </c>
      <c r="Q61" s="15">
        <f>P61*H65</f>
        <v>75847.2</v>
      </c>
      <c r="R61" s="15">
        <f>G61+J61+M61+P61</f>
        <v>39100</v>
      </c>
      <c r="S61" s="15">
        <f>H61+K61+N61+Q61</f>
        <v>208196.78999999998</v>
      </c>
      <c r="U61" s="12"/>
      <c r="V61" s="11"/>
      <c r="W61" s="12"/>
    </row>
    <row r="62" spans="1:23" ht="27" customHeight="1" hidden="1">
      <c r="A62" s="8"/>
      <c r="B62" s="461" t="s">
        <v>55</v>
      </c>
      <c r="C62" s="462"/>
      <c r="D62" s="463"/>
      <c r="E62" s="134"/>
      <c r="F62" s="8"/>
      <c r="G62" s="15">
        <v>52475.76</v>
      </c>
      <c r="H62" s="15">
        <f>G62*G65</f>
        <v>263659.208544</v>
      </c>
      <c r="I62" s="15"/>
      <c r="J62" s="15">
        <v>23227</v>
      </c>
      <c r="K62" s="15">
        <f>J62*G65</f>
        <v>116701.7388</v>
      </c>
      <c r="L62" s="15"/>
      <c r="M62" s="15">
        <v>19391.07</v>
      </c>
      <c r="N62" s="15">
        <f>M62*H65</f>
        <v>108143.99739</v>
      </c>
      <c r="O62" s="15"/>
      <c r="P62" s="15">
        <v>60863</v>
      </c>
      <c r="Q62" s="15">
        <f>P62*H65</f>
        <v>339432.951</v>
      </c>
      <c r="R62" s="15">
        <f>G62+J62+M62+P62</f>
        <v>155956.83000000002</v>
      </c>
      <c r="S62" s="15">
        <f>H62+K62+N62+Q62</f>
        <v>827937.895734</v>
      </c>
      <c r="U62" s="12"/>
      <c r="V62" s="11"/>
      <c r="W62" s="12"/>
    </row>
    <row r="63" spans="1:23" ht="30" customHeight="1" hidden="1">
      <c r="A63" s="8"/>
      <c r="B63" s="477" t="s">
        <v>19</v>
      </c>
      <c r="C63" s="477"/>
      <c r="D63" s="477"/>
      <c r="E63" s="140"/>
      <c r="F63" s="14">
        <f>SUM(F40:F51)</f>
        <v>266200</v>
      </c>
      <c r="G63" s="9">
        <f>G40+G41+G48+G49+G53+G60</f>
        <v>334634.76</v>
      </c>
      <c r="H63" s="9">
        <f>H40+H41+H48+H49+H53+H60</f>
        <v>1681338.888144</v>
      </c>
      <c r="I63" s="9">
        <f>SUM(I40:I51)</f>
        <v>162200</v>
      </c>
      <c r="J63" s="9">
        <f>J40+J41+J48+J49+J53+J60</f>
        <v>285729</v>
      </c>
      <c r="K63" s="9">
        <f>K40+K41+K48+K49+K53+K60</f>
        <v>1435616.7876</v>
      </c>
      <c r="L63" s="9">
        <f>SUM(L40:L51)</f>
        <v>169500</v>
      </c>
      <c r="M63" s="9">
        <f>M40+M41+M48+M49+M53+M60</f>
        <v>270683.07</v>
      </c>
      <c r="N63" s="9">
        <f>N40+N41+N48+N49+N53+N60</f>
        <v>1509599.4813899999</v>
      </c>
      <c r="O63" s="9">
        <f>SUM(O40:O51)</f>
        <v>245500</v>
      </c>
      <c r="P63" s="9">
        <f>P40+P41+P48+P49+P53+P60</f>
        <v>418885.1</v>
      </c>
      <c r="Q63" s="9">
        <f>Q40+Q41+Q48+Q49+Q53+Q60</f>
        <v>2336122.2027000003</v>
      </c>
      <c r="R63" s="9">
        <f>R40+R41+R48+R49+R53+R60</f>
        <v>1309931.9300000002</v>
      </c>
      <c r="S63" s="9">
        <f>S40+S41+S48+S49+S53+S60</f>
        <v>6962677.359834</v>
      </c>
      <c r="T63" s="69"/>
      <c r="U63" s="36"/>
      <c r="V63" s="12"/>
      <c r="W63" s="12"/>
    </row>
    <row r="64" spans="1:23" ht="50.25" customHeight="1" hidden="1">
      <c r="A64" s="53"/>
      <c r="B64" s="478" t="s">
        <v>8</v>
      </c>
      <c r="C64" s="478"/>
      <c r="D64" s="478"/>
      <c r="E64" s="145"/>
      <c r="F64" s="396" t="s">
        <v>68</v>
      </c>
      <c r="G64" s="397"/>
      <c r="H64" s="397"/>
      <c r="I64" s="397"/>
      <c r="J64" s="397"/>
      <c r="K64" s="397"/>
      <c r="L64" s="397"/>
      <c r="M64" s="397"/>
      <c r="N64" s="397"/>
      <c r="O64" s="397"/>
      <c r="P64" s="397"/>
      <c r="Q64" s="397"/>
      <c r="R64" s="397"/>
      <c r="S64" s="398"/>
      <c r="U64" s="12"/>
      <c r="V64" s="12"/>
      <c r="W64" s="12"/>
    </row>
    <row r="65" spans="1:23" ht="32.25" customHeight="1" hidden="1">
      <c r="A65" s="46"/>
      <c r="B65" s="46"/>
      <c r="C65" s="46"/>
      <c r="D65" s="5" t="s">
        <v>14</v>
      </c>
      <c r="E65" s="5"/>
      <c r="F65" s="5">
        <v>4.38</v>
      </c>
      <c r="G65" s="5">
        <v>5.0244</v>
      </c>
      <c r="H65" s="5">
        <v>5.577</v>
      </c>
      <c r="I65" s="6"/>
      <c r="J65" s="6"/>
      <c r="K65" s="42"/>
      <c r="L65" s="42"/>
      <c r="M65" s="42"/>
      <c r="N65" s="46"/>
      <c r="O65" s="46"/>
      <c r="P65" s="46"/>
      <c r="Q65" s="55"/>
      <c r="R65" s="55"/>
      <c r="S65" s="46"/>
      <c r="U65" s="12"/>
      <c r="V65" s="12"/>
      <c r="W65" s="12"/>
    </row>
    <row r="66" spans="1:23" ht="33.75" customHeight="1" hidden="1">
      <c r="A66" s="46"/>
      <c r="B66" s="46"/>
      <c r="C66" s="46"/>
      <c r="D66" s="5" t="s">
        <v>65</v>
      </c>
      <c r="E66" s="5"/>
      <c r="F66" s="5"/>
      <c r="G66" s="5"/>
      <c r="H66" s="5"/>
      <c r="I66" s="6"/>
      <c r="J66" s="6"/>
      <c r="K66" s="42"/>
      <c r="L66" s="42"/>
      <c r="M66" s="42"/>
      <c r="N66" s="46"/>
      <c r="O66" s="46"/>
      <c r="P66" s="46"/>
      <c r="Q66" s="479"/>
      <c r="R66" s="479"/>
      <c r="S66" s="479"/>
      <c r="U66" s="12"/>
      <c r="V66" s="12"/>
      <c r="W66" s="12"/>
    </row>
    <row r="67" spans="1:23" ht="47.25" customHeight="1">
      <c r="A67" s="558" t="s">
        <v>117</v>
      </c>
      <c r="B67" s="558"/>
      <c r="C67" s="558"/>
      <c r="D67" s="558"/>
      <c r="E67" s="558"/>
      <c r="F67" s="558"/>
      <c r="G67" s="558"/>
      <c r="H67" s="558"/>
      <c r="I67" s="558"/>
      <c r="J67" s="558"/>
      <c r="K67" s="558"/>
      <c r="L67" s="558"/>
      <c r="M67" s="558"/>
      <c r="N67" s="558"/>
      <c r="O67" s="558"/>
      <c r="P67" s="558"/>
      <c r="Q67" s="558"/>
      <c r="R67" s="558"/>
      <c r="S67" s="558"/>
      <c r="U67" s="12"/>
      <c r="V67" s="12"/>
      <c r="W67" s="12"/>
    </row>
    <row r="68" spans="1:23" ht="27.75" customHeight="1">
      <c r="A68" s="546" t="s">
        <v>15</v>
      </c>
      <c r="B68" s="423" t="s">
        <v>0</v>
      </c>
      <c r="C68" s="424"/>
      <c r="D68" s="425"/>
      <c r="E68" s="556" t="s">
        <v>69</v>
      </c>
      <c r="F68" s="555" t="s">
        <v>1</v>
      </c>
      <c r="G68" s="555"/>
      <c r="H68" s="555"/>
      <c r="I68" s="555" t="s">
        <v>3</v>
      </c>
      <c r="J68" s="555"/>
      <c r="K68" s="555"/>
      <c r="L68" s="555" t="s">
        <v>4</v>
      </c>
      <c r="M68" s="555"/>
      <c r="N68" s="555"/>
      <c r="O68" s="555" t="s">
        <v>6</v>
      </c>
      <c r="P68" s="555"/>
      <c r="Q68" s="555"/>
      <c r="R68" s="555" t="s">
        <v>7</v>
      </c>
      <c r="S68" s="555"/>
      <c r="U68" s="12"/>
      <c r="V68" s="12"/>
      <c r="W68" s="12"/>
    </row>
    <row r="69" spans="1:23" ht="47.25" customHeight="1">
      <c r="A69" s="546"/>
      <c r="B69" s="426"/>
      <c r="C69" s="427"/>
      <c r="D69" s="428"/>
      <c r="E69" s="557"/>
      <c r="F69" s="304"/>
      <c r="G69" s="304"/>
      <c r="H69" s="304" t="s">
        <v>5</v>
      </c>
      <c r="I69" s="304" t="s">
        <v>10</v>
      </c>
      <c r="J69" s="304"/>
      <c r="K69" s="304" t="s">
        <v>5</v>
      </c>
      <c r="L69" s="304" t="s">
        <v>10</v>
      </c>
      <c r="M69" s="304"/>
      <c r="N69" s="304" t="s">
        <v>5</v>
      </c>
      <c r="O69" s="304" t="s">
        <v>10</v>
      </c>
      <c r="P69" s="304"/>
      <c r="Q69" s="304" t="s">
        <v>5</v>
      </c>
      <c r="R69" s="304" t="s">
        <v>10</v>
      </c>
      <c r="S69" s="304" t="s">
        <v>5</v>
      </c>
      <c r="U69" s="12"/>
      <c r="V69" s="12"/>
      <c r="W69" s="12"/>
    </row>
    <row r="70" spans="1:23" s="97" customFormat="1" ht="48.75" customHeight="1">
      <c r="A70" s="268">
        <v>1</v>
      </c>
      <c r="B70" s="551" t="s">
        <v>33</v>
      </c>
      <c r="C70" s="552"/>
      <c r="D70" s="553"/>
      <c r="E70" s="305" t="s">
        <v>84</v>
      </c>
      <c r="F70" s="268">
        <v>0</v>
      </c>
      <c r="G70" s="271"/>
      <c r="H70" s="271">
        <f>H71+H72</f>
        <v>2864.936</v>
      </c>
      <c r="I70" s="271"/>
      <c r="J70" s="271"/>
      <c r="K70" s="271">
        <f>K71+K72</f>
        <v>2372.5991999999997</v>
      </c>
      <c r="L70" s="271"/>
      <c r="M70" s="271"/>
      <c r="N70" s="271">
        <f>N71+N72</f>
        <v>2699.8812</v>
      </c>
      <c r="O70" s="271"/>
      <c r="P70" s="271"/>
      <c r="Q70" s="271">
        <f>Q71+Q72</f>
        <v>4049.8218</v>
      </c>
      <c r="R70" s="271"/>
      <c r="S70" s="271">
        <f>S71+S72</f>
        <v>11987.2382</v>
      </c>
      <c r="T70" s="94"/>
      <c r="U70" s="95">
        <f>37.94*P70</f>
        <v>0</v>
      </c>
      <c r="V70" s="96">
        <f>H70+K70+N70+Q70</f>
        <v>11987.2382</v>
      </c>
      <c r="W70" s="95">
        <f>G70+J70+M70+P70</f>
        <v>0</v>
      </c>
    </row>
    <row r="71" spans="1:23" ht="40.5" customHeight="1">
      <c r="A71" s="274"/>
      <c r="B71" s="539"/>
      <c r="C71" s="540"/>
      <c r="D71" s="541"/>
      <c r="E71" s="306" t="s">
        <v>70</v>
      </c>
      <c r="F71" s="282"/>
      <c r="G71" s="277">
        <v>7</v>
      </c>
      <c r="H71" s="277">
        <f>G71*H145</f>
        <v>280.84</v>
      </c>
      <c r="I71" s="277"/>
      <c r="J71" s="277">
        <v>6</v>
      </c>
      <c r="K71" s="277">
        <f>J71*H145</f>
        <v>240.71999999999997</v>
      </c>
      <c r="L71" s="277"/>
      <c r="M71" s="277">
        <v>6</v>
      </c>
      <c r="N71" s="277">
        <f>M71*J145</f>
        <v>253.26</v>
      </c>
      <c r="O71" s="277"/>
      <c r="P71" s="277">
        <v>9</v>
      </c>
      <c r="Q71" s="277">
        <f>P71*J145</f>
        <v>379.89</v>
      </c>
      <c r="R71" s="277">
        <f>G71+J71+M71+P71</f>
        <v>28</v>
      </c>
      <c r="S71" s="277">
        <f>H71+K71+N71+Q71</f>
        <v>1154.71</v>
      </c>
      <c r="U71" s="12"/>
      <c r="V71" s="11"/>
      <c r="W71" s="12"/>
    </row>
    <row r="72" spans="1:23" ht="40.5" customHeight="1">
      <c r="A72" s="274"/>
      <c r="B72" s="539"/>
      <c r="C72" s="540"/>
      <c r="D72" s="541"/>
      <c r="E72" s="306" t="s">
        <v>2</v>
      </c>
      <c r="F72" s="282"/>
      <c r="G72" s="277">
        <v>0.4</v>
      </c>
      <c r="H72" s="277">
        <f>G72*H147</f>
        <v>2584.096</v>
      </c>
      <c r="I72" s="277"/>
      <c r="J72" s="277">
        <v>0.33</v>
      </c>
      <c r="K72" s="277">
        <f>J72*H147</f>
        <v>2131.8792</v>
      </c>
      <c r="L72" s="277"/>
      <c r="M72" s="277">
        <v>0.36</v>
      </c>
      <c r="N72" s="277">
        <f>M72*J147</f>
        <v>2446.6212</v>
      </c>
      <c r="O72" s="277"/>
      <c r="P72" s="277">
        <v>0.54</v>
      </c>
      <c r="Q72" s="277">
        <f>P72*J148</f>
        <v>3669.9318000000003</v>
      </c>
      <c r="R72" s="277">
        <f>G72+J72+M72+P72</f>
        <v>1.63</v>
      </c>
      <c r="S72" s="277">
        <f>H72+K72+N72+Q72</f>
        <v>10832.5282</v>
      </c>
      <c r="U72" s="12"/>
      <c r="V72" s="11"/>
      <c r="W72" s="12"/>
    </row>
    <row r="73" spans="1:23" s="97" customFormat="1" ht="45" customHeight="1">
      <c r="A73" s="268">
        <v>2</v>
      </c>
      <c r="B73" s="551" t="s">
        <v>74</v>
      </c>
      <c r="C73" s="552"/>
      <c r="D73" s="553"/>
      <c r="E73" s="305" t="s">
        <v>84</v>
      </c>
      <c r="F73" s="286"/>
      <c r="G73" s="271"/>
      <c r="H73" s="271">
        <f>H76+H79+H82+H85+H88+H91</f>
        <v>463647.0656</v>
      </c>
      <c r="I73" s="271"/>
      <c r="J73" s="271"/>
      <c r="K73" s="271">
        <f>K76+K79+K82+K85+K88+K91</f>
        <v>496156.57440000004</v>
      </c>
      <c r="L73" s="271"/>
      <c r="M73" s="271"/>
      <c r="N73" s="271">
        <f>N76+N79+N82+N85+N88+N91</f>
        <v>363448.1817999999</v>
      </c>
      <c r="O73" s="271"/>
      <c r="P73" s="271"/>
      <c r="Q73" s="271">
        <f>Q76+Q79+Q82+Q85+Q88+Q91</f>
        <v>596612.7283</v>
      </c>
      <c r="R73" s="271"/>
      <c r="S73" s="271">
        <f>S76+S79+S82+S85+S88+S91</f>
        <v>1919864.5500999999</v>
      </c>
      <c r="T73" s="94"/>
      <c r="U73" s="95"/>
      <c r="V73" s="96"/>
      <c r="W73" s="95"/>
    </row>
    <row r="74" spans="1:23" ht="45" customHeight="1">
      <c r="A74" s="274"/>
      <c r="B74" s="307"/>
      <c r="C74" s="308"/>
      <c r="D74" s="309"/>
      <c r="E74" s="310" t="s">
        <v>70</v>
      </c>
      <c r="F74" s="282"/>
      <c r="G74" s="293">
        <f>G77+G80+G83+G86+G89+G92</f>
        <v>1122</v>
      </c>
      <c r="H74" s="293">
        <f>H77+H80+H83+H86+H89+H92</f>
        <v>53809.44</v>
      </c>
      <c r="I74" s="293"/>
      <c r="J74" s="293">
        <f>J77+J80+J83+J86+J89+J92</f>
        <v>1208</v>
      </c>
      <c r="K74" s="293">
        <f>K77+K80+K83+K86+K89+K92</f>
        <v>59702.76</v>
      </c>
      <c r="L74" s="293"/>
      <c r="M74" s="293">
        <f>M77+M80+M83+M86+M89+M92</f>
        <v>796</v>
      </c>
      <c r="N74" s="293">
        <f>N77+N80+N83+N86+N89+N92</f>
        <v>40358.26</v>
      </c>
      <c r="O74" s="293"/>
      <c r="P74" s="293">
        <f>P77+P80+P83+P86+P89+P92</f>
        <v>1293</v>
      </c>
      <c r="Q74" s="293">
        <f>Q77+Q80+Q83+Q86+Q89+Q92</f>
        <v>66579.43000000001</v>
      </c>
      <c r="R74" s="293">
        <f>G74+J74+M74+P74</f>
        <v>4419</v>
      </c>
      <c r="S74" s="293">
        <f>H74+K74+N74+Q74</f>
        <v>220449.89</v>
      </c>
      <c r="U74" s="12"/>
      <c r="V74" s="11"/>
      <c r="W74" s="12"/>
    </row>
    <row r="75" spans="1:23" ht="45" customHeight="1">
      <c r="A75" s="274"/>
      <c r="B75" s="547"/>
      <c r="C75" s="548"/>
      <c r="D75" s="549"/>
      <c r="E75" s="310" t="s">
        <v>2</v>
      </c>
      <c r="F75" s="282"/>
      <c r="G75" s="293">
        <f>G78+G81+G84+G87+G90+G93</f>
        <v>63.440000000000005</v>
      </c>
      <c r="H75" s="293">
        <f>H78+H81+H84+H87+H90+H93</f>
        <v>409837.62559999997</v>
      </c>
      <c r="I75" s="293"/>
      <c r="J75" s="293">
        <f>J78+J81+J84+J87+J90+J93</f>
        <v>67.56</v>
      </c>
      <c r="K75" s="293">
        <f>K78+K81+K84+K87+K90+K93</f>
        <v>436453.81440000003</v>
      </c>
      <c r="L75" s="293"/>
      <c r="M75" s="293">
        <f>M78+M81+M84+M87+M90+M93</f>
        <v>47.54</v>
      </c>
      <c r="N75" s="293">
        <f>N78+N81+N84+N87+N90+N93</f>
        <v>323089.92179999995</v>
      </c>
      <c r="O75" s="293"/>
      <c r="P75" s="293">
        <f>P78+P81+P84+P87+P90+P93</f>
        <v>77.99000000000001</v>
      </c>
      <c r="Q75" s="293">
        <f>Q78+Q81+Q84+Q87+Q90+Q93</f>
        <v>530033.2983</v>
      </c>
      <c r="R75" s="293">
        <f>G75+J75+M75+P75</f>
        <v>256.53</v>
      </c>
      <c r="S75" s="293">
        <f>H75+K75+N75+Q75</f>
        <v>1699414.6601</v>
      </c>
      <c r="U75" s="12"/>
      <c r="V75" s="11"/>
      <c r="W75" s="12"/>
    </row>
    <row r="76" spans="1:23" ht="36" customHeight="1">
      <c r="A76" s="274"/>
      <c r="B76" s="536" t="s">
        <v>34</v>
      </c>
      <c r="C76" s="537"/>
      <c r="D76" s="538"/>
      <c r="E76" s="311"/>
      <c r="F76" s="282">
        <v>420</v>
      </c>
      <c r="G76" s="277"/>
      <c r="H76" s="277">
        <f>H77+H78</f>
        <v>49715.12</v>
      </c>
      <c r="I76" s="277"/>
      <c r="J76" s="277"/>
      <c r="K76" s="277">
        <f>K77+K78</f>
        <v>70379.68</v>
      </c>
      <c r="L76" s="277"/>
      <c r="M76" s="277"/>
      <c r="N76" s="277">
        <f>N77+N78</f>
        <v>52385.130000000005</v>
      </c>
      <c r="O76" s="277"/>
      <c r="P76" s="277"/>
      <c r="Q76" s="277">
        <f>Q77+Q78</f>
        <v>67032.72</v>
      </c>
      <c r="R76" s="277"/>
      <c r="S76" s="277">
        <f>S77+S78</f>
        <v>239512.65</v>
      </c>
      <c r="U76" s="12">
        <f>37.94*P76</f>
        <v>0</v>
      </c>
      <c r="V76" s="11">
        <f>H76+K76+N76+Q76</f>
        <v>239512.65</v>
      </c>
      <c r="W76" s="12">
        <f>G76+J76+M76+P76</f>
        <v>0</v>
      </c>
    </row>
    <row r="77" spans="1:23" ht="39.75" customHeight="1">
      <c r="A77" s="274"/>
      <c r="B77" s="539"/>
      <c r="C77" s="540"/>
      <c r="D77" s="541"/>
      <c r="E77" s="306" t="s">
        <v>70</v>
      </c>
      <c r="F77" s="282"/>
      <c r="G77" s="277">
        <v>112</v>
      </c>
      <c r="H77" s="277">
        <f>G77*H145</f>
        <v>4493.44</v>
      </c>
      <c r="I77" s="277"/>
      <c r="J77" s="277">
        <v>144</v>
      </c>
      <c r="K77" s="277">
        <f>J77*H145</f>
        <v>5777.28</v>
      </c>
      <c r="L77" s="277"/>
      <c r="M77" s="277">
        <v>114</v>
      </c>
      <c r="N77" s="277">
        <f>M77*J145</f>
        <v>4811.9400000000005</v>
      </c>
      <c r="O77" s="277"/>
      <c r="P77" s="277">
        <v>139</v>
      </c>
      <c r="Q77" s="277">
        <f>P77*J145</f>
        <v>5867.1900000000005</v>
      </c>
      <c r="R77" s="277">
        <f>G77+J77+M77+P77</f>
        <v>509</v>
      </c>
      <c r="S77" s="277">
        <f>H77+K77+N77+Q77</f>
        <v>20949.85</v>
      </c>
      <c r="U77" s="12"/>
      <c r="V77" s="11"/>
      <c r="W77" s="12"/>
    </row>
    <row r="78" spans="1:23" ht="36" customHeight="1">
      <c r="A78" s="274"/>
      <c r="B78" s="539"/>
      <c r="C78" s="540"/>
      <c r="D78" s="541"/>
      <c r="E78" s="306" t="s">
        <v>2</v>
      </c>
      <c r="F78" s="282"/>
      <c r="G78" s="277">
        <v>7</v>
      </c>
      <c r="H78" s="277">
        <f>G78*H147</f>
        <v>45221.68</v>
      </c>
      <c r="I78" s="277"/>
      <c r="J78" s="277">
        <v>10</v>
      </c>
      <c r="K78" s="277">
        <f>J78*H147</f>
        <v>64602.399999999994</v>
      </c>
      <c r="L78" s="277"/>
      <c r="M78" s="277">
        <v>7</v>
      </c>
      <c r="N78" s="277">
        <f>M78*J147</f>
        <v>47573.19</v>
      </c>
      <c r="O78" s="277"/>
      <c r="P78" s="277">
        <v>9</v>
      </c>
      <c r="Q78" s="277">
        <f>P78*J147</f>
        <v>61165.53</v>
      </c>
      <c r="R78" s="277">
        <f>G78+J78+M78+P78</f>
        <v>33</v>
      </c>
      <c r="S78" s="277">
        <f>H78+K78+N78+Q78</f>
        <v>218562.8</v>
      </c>
      <c r="U78" s="12"/>
      <c r="V78" s="11"/>
      <c r="W78" s="12"/>
    </row>
    <row r="79" spans="1:23" ht="33.75" customHeight="1">
      <c r="A79" s="274"/>
      <c r="B79" s="536" t="s">
        <v>35</v>
      </c>
      <c r="C79" s="537"/>
      <c r="D79" s="538"/>
      <c r="E79" s="311"/>
      <c r="F79" s="282">
        <v>171</v>
      </c>
      <c r="G79" s="277"/>
      <c r="H79" s="277">
        <f>H80+H81</f>
        <v>40060.1392</v>
      </c>
      <c r="I79" s="277"/>
      <c r="J79" s="277"/>
      <c r="K79" s="277">
        <f>K80+K81</f>
        <v>40060.1392</v>
      </c>
      <c r="L79" s="277"/>
      <c r="M79" s="277"/>
      <c r="N79" s="277">
        <f>N80+N81</f>
        <v>22702.895099999998</v>
      </c>
      <c r="O79" s="277"/>
      <c r="P79" s="277"/>
      <c r="Q79" s="277">
        <f>Q80+Q81</f>
        <v>45337.828499999996</v>
      </c>
      <c r="R79" s="277"/>
      <c r="S79" s="277">
        <f>S80+S81</f>
        <v>148161.00199999998</v>
      </c>
      <c r="T79" s="67" t="s">
        <v>82</v>
      </c>
      <c r="U79" s="12">
        <f>37.94*P79</f>
        <v>0</v>
      </c>
      <c r="V79" s="11">
        <f>H79+K79+N79+Q79</f>
        <v>148161.00199999998</v>
      </c>
      <c r="W79" s="12">
        <f>G79+J79+M79+P79</f>
        <v>0</v>
      </c>
    </row>
    <row r="80" spans="1:23" ht="36" customHeight="1">
      <c r="A80" s="274"/>
      <c r="B80" s="539"/>
      <c r="C80" s="540"/>
      <c r="D80" s="541"/>
      <c r="E80" s="306" t="s">
        <v>70</v>
      </c>
      <c r="F80" s="282"/>
      <c r="G80" s="277">
        <v>100</v>
      </c>
      <c r="H80" s="277">
        <f>G80*H145</f>
        <v>4011.9999999999995</v>
      </c>
      <c r="I80" s="277"/>
      <c r="J80" s="277">
        <v>100</v>
      </c>
      <c r="K80" s="277">
        <f>J80*H145</f>
        <v>4011.9999999999995</v>
      </c>
      <c r="L80" s="277"/>
      <c r="M80" s="277">
        <v>50</v>
      </c>
      <c r="N80" s="277">
        <f>M80*J145</f>
        <v>2110.5</v>
      </c>
      <c r="O80" s="277"/>
      <c r="P80" s="277">
        <v>100</v>
      </c>
      <c r="Q80" s="277">
        <f>P80*J145</f>
        <v>4221</v>
      </c>
      <c r="R80" s="277">
        <f>G80+J80+M80+P80</f>
        <v>350</v>
      </c>
      <c r="S80" s="277">
        <f>H80+K80+N80+Q80</f>
        <v>14355.5</v>
      </c>
      <c r="U80" s="12"/>
      <c r="V80" s="11"/>
      <c r="W80" s="12"/>
    </row>
    <row r="81" spans="1:23" ht="36" customHeight="1">
      <c r="A81" s="274"/>
      <c r="B81" s="539"/>
      <c r="C81" s="540"/>
      <c r="D81" s="541"/>
      <c r="E81" s="306" t="s">
        <v>2</v>
      </c>
      <c r="F81" s="282"/>
      <c r="G81" s="277">
        <v>5.58</v>
      </c>
      <c r="H81" s="277">
        <f>G81*H147</f>
        <v>36048.1392</v>
      </c>
      <c r="I81" s="277"/>
      <c r="J81" s="277">
        <v>5.58</v>
      </c>
      <c r="K81" s="277">
        <f>J81*H147</f>
        <v>36048.1392</v>
      </c>
      <c r="L81" s="277"/>
      <c r="M81" s="277">
        <v>3.03</v>
      </c>
      <c r="N81" s="277">
        <f>M81*J147</f>
        <v>20592.395099999998</v>
      </c>
      <c r="O81" s="277"/>
      <c r="P81" s="277">
        <v>6.05</v>
      </c>
      <c r="Q81" s="277">
        <f>P81*J147</f>
        <v>41116.828499999996</v>
      </c>
      <c r="R81" s="277">
        <f>G81+J81+M81+P81</f>
        <v>20.24</v>
      </c>
      <c r="S81" s="277">
        <f>H81+K81+N81+Q81</f>
        <v>133805.50199999998</v>
      </c>
      <c r="U81" s="12"/>
      <c r="V81" s="11"/>
      <c r="W81" s="12"/>
    </row>
    <row r="82" spans="1:23" ht="38.25" customHeight="1">
      <c r="A82" s="274"/>
      <c r="B82" s="536" t="s">
        <v>36</v>
      </c>
      <c r="C82" s="537"/>
      <c r="D82" s="538"/>
      <c r="E82" s="311"/>
      <c r="F82" s="282">
        <v>213</v>
      </c>
      <c r="G82" s="277"/>
      <c r="H82" s="277">
        <f>H83+H84</f>
        <v>42503.1392</v>
      </c>
      <c r="I82" s="277"/>
      <c r="J82" s="277"/>
      <c r="K82" s="277">
        <f>K83+K84</f>
        <v>85006.2784</v>
      </c>
      <c r="L82" s="277"/>
      <c r="M82" s="277"/>
      <c r="N82" s="277">
        <f>N83+N84</f>
        <v>33706.4182</v>
      </c>
      <c r="O82" s="277"/>
      <c r="P82" s="277"/>
      <c r="Q82" s="277">
        <f>Q83+Q84</f>
        <v>86369.49769999999</v>
      </c>
      <c r="R82" s="277"/>
      <c r="S82" s="277">
        <f>S83+S84</f>
        <v>247585.33349999998</v>
      </c>
      <c r="U82" s="12">
        <f>49.34*P82</f>
        <v>0</v>
      </c>
      <c r="V82" s="11">
        <f>H82+K82+N82+Q82</f>
        <v>247585.3335</v>
      </c>
      <c r="W82" s="12">
        <f>G82+J82+M82+P82</f>
        <v>0</v>
      </c>
    </row>
    <row r="83" spans="1:23" ht="36" customHeight="1">
      <c r="A83" s="274"/>
      <c r="B83" s="539"/>
      <c r="C83" s="540"/>
      <c r="D83" s="541"/>
      <c r="E83" s="306" t="s">
        <v>70</v>
      </c>
      <c r="F83" s="282"/>
      <c r="G83" s="277">
        <v>100</v>
      </c>
      <c r="H83" s="277">
        <f>G83*H146</f>
        <v>6455</v>
      </c>
      <c r="I83" s="277"/>
      <c r="J83" s="277">
        <v>200</v>
      </c>
      <c r="K83" s="277">
        <f>J83*H146</f>
        <v>12910</v>
      </c>
      <c r="L83" s="277"/>
      <c r="M83" s="277">
        <v>50</v>
      </c>
      <c r="N83" s="277">
        <f>M83*J146</f>
        <v>3395.5</v>
      </c>
      <c r="O83" s="277"/>
      <c r="P83" s="277">
        <v>190</v>
      </c>
      <c r="Q83" s="277">
        <f>P83*J146</f>
        <v>12902.9</v>
      </c>
      <c r="R83" s="277">
        <f aca="true" t="shared" si="13" ref="R83:R93">G83+J83+M83+P83</f>
        <v>540</v>
      </c>
      <c r="S83" s="277">
        <f>H83+K83+N83+Q83</f>
        <v>35663.4</v>
      </c>
      <c r="T83" s="67" t="s">
        <v>82</v>
      </c>
      <c r="U83" s="12"/>
      <c r="V83" s="11"/>
      <c r="W83" s="12"/>
    </row>
    <row r="84" spans="1:23" ht="38.25" customHeight="1">
      <c r="A84" s="274"/>
      <c r="B84" s="539"/>
      <c r="C84" s="540"/>
      <c r="D84" s="541"/>
      <c r="E84" s="306" t="s">
        <v>2</v>
      </c>
      <c r="F84" s="282"/>
      <c r="G84" s="277">
        <v>5.58</v>
      </c>
      <c r="H84" s="277">
        <f>G84*H148</f>
        <v>36048.1392</v>
      </c>
      <c r="I84" s="277"/>
      <c r="J84" s="277">
        <v>11.16</v>
      </c>
      <c r="K84" s="277">
        <f>J84*H148</f>
        <v>72096.2784</v>
      </c>
      <c r="L84" s="277"/>
      <c r="M84" s="277">
        <v>4.46</v>
      </c>
      <c r="N84" s="277">
        <f>M84*J148</f>
        <v>30310.9182</v>
      </c>
      <c r="O84" s="277"/>
      <c r="P84" s="277">
        <v>10.81</v>
      </c>
      <c r="Q84" s="277">
        <f>P84*J148</f>
        <v>73466.5977</v>
      </c>
      <c r="R84" s="277">
        <f>G84+J84+M84+P84</f>
        <v>32.010000000000005</v>
      </c>
      <c r="S84" s="277">
        <f>H84+K84+N84+Q84</f>
        <v>211921.93349999998</v>
      </c>
      <c r="U84" s="12"/>
      <c r="V84" s="11"/>
      <c r="W84" s="12"/>
    </row>
    <row r="85" spans="1:23" ht="36.75" customHeight="1">
      <c r="A85" s="274"/>
      <c r="B85" s="550" t="s">
        <v>37</v>
      </c>
      <c r="C85" s="550"/>
      <c r="D85" s="550"/>
      <c r="E85" s="312"/>
      <c r="F85" s="282">
        <v>0</v>
      </c>
      <c r="G85" s="277"/>
      <c r="H85" s="277">
        <f>H86+H87</f>
        <v>110521.0824</v>
      </c>
      <c r="I85" s="277"/>
      <c r="J85" s="277"/>
      <c r="K85" s="277">
        <f>K86+K87</f>
        <v>110521.0824</v>
      </c>
      <c r="L85" s="277"/>
      <c r="M85" s="277"/>
      <c r="N85" s="277">
        <f>N86+N87</f>
        <v>96834.4104</v>
      </c>
      <c r="O85" s="277"/>
      <c r="P85" s="277"/>
      <c r="Q85" s="277">
        <f>Q86+Q87</f>
        <v>123879.85820000002</v>
      </c>
      <c r="R85" s="277"/>
      <c r="S85" s="277">
        <f>S86+S87</f>
        <v>441756.4334</v>
      </c>
      <c r="U85" s="12">
        <f>49.34*P85</f>
        <v>0</v>
      </c>
      <c r="V85" s="11">
        <f>H85+K85+N85+Q85</f>
        <v>441756.4334</v>
      </c>
      <c r="W85" s="12">
        <f>G85+J85+M85+P85</f>
        <v>0</v>
      </c>
    </row>
    <row r="86" spans="1:23" ht="39" customHeight="1">
      <c r="A86" s="274"/>
      <c r="B86" s="539"/>
      <c r="C86" s="540"/>
      <c r="D86" s="541"/>
      <c r="E86" s="306" t="s">
        <v>70</v>
      </c>
      <c r="F86" s="282"/>
      <c r="G86" s="277">
        <v>260</v>
      </c>
      <c r="H86" s="277">
        <f>G86*H146</f>
        <v>16783</v>
      </c>
      <c r="I86" s="277"/>
      <c r="J86" s="277">
        <v>260</v>
      </c>
      <c r="K86" s="277">
        <f>J86*H146</f>
        <v>16783</v>
      </c>
      <c r="L86" s="277"/>
      <c r="M86" s="277">
        <v>213</v>
      </c>
      <c r="N86" s="277">
        <f>M86*J146</f>
        <v>14464.83</v>
      </c>
      <c r="O86" s="277"/>
      <c r="P86" s="277">
        <v>277</v>
      </c>
      <c r="Q86" s="277">
        <f>P86*J146</f>
        <v>18811.07</v>
      </c>
      <c r="R86" s="277">
        <f t="shared" si="13"/>
        <v>1010</v>
      </c>
      <c r="S86" s="277">
        <f>H86+K86+N86+Q86</f>
        <v>66841.9</v>
      </c>
      <c r="U86" s="12"/>
      <c r="V86" s="11"/>
      <c r="W86" s="12"/>
    </row>
    <row r="87" spans="1:23" ht="35.25" customHeight="1">
      <c r="A87" s="274"/>
      <c r="B87" s="539"/>
      <c r="C87" s="540"/>
      <c r="D87" s="541"/>
      <c r="E87" s="306" t="s">
        <v>2</v>
      </c>
      <c r="F87" s="282"/>
      <c r="G87" s="277">
        <v>14.51</v>
      </c>
      <c r="H87" s="277">
        <f>G87*H148</f>
        <v>93738.0824</v>
      </c>
      <c r="I87" s="277"/>
      <c r="J87" s="277">
        <v>14.51</v>
      </c>
      <c r="K87" s="277">
        <f>J87*H148</f>
        <v>93738.0824</v>
      </c>
      <c r="L87" s="277"/>
      <c r="M87" s="277">
        <v>12.12</v>
      </c>
      <c r="N87" s="277">
        <f>M87*J148</f>
        <v>82369.58039999999</v>
      </c>
      <c r="O87" s="277"/>
      <c r="P87" s="277">
        <v>15.46</v>
      </c>
      <c r="Q87" s="277">
        <f>P87*J148</f>
        <v>105068.78820000001</v>
      </c>
      <c r="R87" s="277">
        <f t="shared" si="13"/>
        <v>56.6</v>
      </c>
      <c r="S87" s="277">
        <f>H87+K87+N87+Q87</f>
        <v>374914.5334</v>
      </c>
      <c r="U87" s="12"/>
      <c r="V87" s="11"/>
      <c r="W87" s="12"/>
    </row>
    <row r="88" spans="1:23" s="120" customFormat="1" ht="35.25" customHeight="1">
      <c r="A88" s="313"/>
      <c r="B88" s="554" t="s">
        <v>38</v>
      </c>
      <c r="C88" s="554"/>
      <c r="D88" s="554"/>
      <c r="E88" s="314"/>
      <c r="F88" s="315">
        <v>651</v>
      </c>
      <c r="G88" s="316"/>
      <c r="H88" s="316">
        <f>H89+H90</f>
        <v>214819.18319999997</v>
      </c>
      <c r="I88" s="316"/>
      <c r="J88" s="316"/>
      <c r="K88" s="316">
        <f>K89+K90</f>
        <v>184588.7272</v>
      </c>
      <c r="L88" s="316"/>
      <c r="M88" s="316"/>
      <c r="N88" s="316">
        <f>N89+N90</f>
        <v>151451.64359999998</v>
      </c>
      <c r="O88" s="316"/>
      <c r="P88" s="316"/>
      <c r="Q88" s="316">
        <f>Q89+Q90</f>
        <v>266275.1988</v>
      </c>
      <c r="R88" s="316"/>
      <c r="S88" s="316">
        <f>S89+S90</f>
        <v>817134.7527999999</v>
      </c>
      <c r="T88" s="117"/>
      <c r="U88" s="118">
        <f>37.94*P88</f>
        <v>0</v>
      </c>
      <c r="V88" s="119">
        <f>H88+K88+N88+Q88</f>
        <v>817134.7527999999</v>
      </c>
      <c r="W88" s="118">
        <f>G88+J88+M88+P88</f>
        <v>0</v>
      </c>
    </row>
    <row r="89" spans="1:23" ht="36.75" customHeight="1">
      <c r="A89" s="274"/>
      <c r="B89" s="539"/>
      <c r="C89" s="540"/>
      <c r="D89" s="541"/>
      <c r="E89" s="306" t="s">
        <v>70</v>
      </c>
      <c r="F89" s="282"/>
      <c r="G89" s="277">
        <v>535</v>
      </c>
      <c r="H89" s="277">
        <f>G89*H145</f>
        <v>21464.199999999997</v>
      </c>
      <c r="I89" s="277"/>
      <c r="J89" s="277">
        <v>490</v>
      </c>
      <c r="K89" s="277">
        <f>J89*H145</f>
        <v>19658.8</v>
      </c>
      <c r="L89" s="277"/>
      <c r="M89" s="277">
        <v>355</v>
      </c>
      <c r="N89" s="277">
        <f>M89*J145</f>
        <v>14984.550000000001</v>
      </c>
      <c r="O89" s="277"/>
      <c r="P89" s="277">
        <v>570</v>
      </c>
      <c r="Q89" s="277">
        <f>P89*J145</f>
        <v>24059.7</v>
      </c>
      <c r="R89" s="277">
        <f t="shared" si="13"/>
        <v>1950</v>
      </c>
      <c r="S89" s="277">
        <f>H89+K89+N89+Q89</f>
        <v>80167.25</v>
      </c>
      <c r="T89" s="67" t="s">
        <v>82</v>
      </c>
      <c r="U89" s="12"/>
      <c r="V89" s="11"/>
      <c r="W89" s="12"/>
    </row>
    <row r="90" spans="1:23" ht="35.25" customHeight="1">
      <c r="A90" s="274"/>
      <c r="B90" s="539"/>
      <c r="C90" s="540"/>
      <c r="D90" s="541"/>
      <c r="E90" s="306" t="s">
        <v>2</v>
      </c>
      <c r="F90" s="282"/>
      <c r="G90" s="277">
        <v>29.93</v>
      </c>
      <c r="H90" s="277">
        <f>G90*H147</f>
        <v>193354.9832</v>
      </c>
      <c r="I90" s="277"/>
      <c r="J90" s="277">
        <v>25.53</v>
      </c>
      <c r="K90" s="277">
        <f>J90*H147</f>
        <v>164929.9272</v>
      </c>
      <c r="L90" s="277"/>
      <c r="M90" s="277">
        <v>20.08</v>
      </c>
      <c r="N90" s="277">
        <f>M90*J147</f>
        <v>136467.0936</v>
      </c>
      <c r="O90" s="277"/>
      <c r="P90" s="277">
        <v>35.64</v>
      </c>
      <c r="Q90" s="277">
        <f>P90*J147</f>
        <v>242215.4988</v>
      </c>
      <c r="R90" s="277">
        <f t="shared" si="13"/>
        <v>111.17999999999999</v>
      </c>
      <c r="S90" s="277">
        <f>H90+K90+N90+Q90</f>
        <v>736967.5027999999</v>
      </c>
      <c r="U90" s="12"/>
      <c r="V90" s="11"/>
      <c r="W90" s="12"/>
    </row>
    <row r="91" spans="1:23" ht="60" customHeight="1">
      <c r="A91" s="274"/>
      <c r="B91" s="550" t="s">
        <v>39</v>
      </c>
      <c r="C91" s="550"/>
      <c r="D91" s="550"/>
      <c r="E91" s="312"/>
      <c r="F91" s="282">
        <v>15.1</v>
      </c>
      <c r="G91" s="277"/>
      <c r="H91" s="277">
        <f>H92+H93</f>
        <v>6028.4016</v>
      </c>
      <c r="I91" s="277"/>
      <c r="J91" s="277"/>
      <c r="K91" s="277">
        <f>K92+K93</f>
        <v>5600.6672</v>
      </c>
      <c r="L91" s="277"/>
      <c r="M91" s="277"/>
      <c r="N91" s="277">
        <f>N92+N93</f>
        <v>6367.684499999999</v>
      </c>
      <c r="O91" s="277"/>
      <c r="P91" s="277"/>
      <c r="Q91" s="277">
        <f>Q92+Q93</f>
        <v>7717.6251</v>
      </c>
      <c r="R91" s="277"/>
      <c r="S91" s="277">
        <f>S92+S93</f>
        <v>25714.3784</v>
      </c>
      <c r="U91" s="12">
        <f>37.94*P91</f>
        <v>0</v>
      </c>
      <c r="V91" s="11">
        <f>H91+K91+N91+Q91</f>
        <v>25714.3784</v>
      </c>
      <c r="W91" s="12">
        <f>G91+J91+M91+P91</f>
        <v>0</v>
      </c>
    </row>
    <row r="92" spans="1:23" ht="39.75" customHeight="1">
      <c r="A92" s="274"/>
      <c r="B92" s="539"/>
      <c r="C92" s="540"/>
      <c r="D92" s="541"/>
      <c r="E92" s="306" t="s">
        <v>70</v>
      </c>
      <c r="F92" s="282"/>
      <c r="G92" s="277">
        <v>15</v>
      </c>
      <c r="H92" s="277">
        <f>G92*H145</f>
        <v>601.8</v>
      </c>
      <c r="I92" s="277"/>
      <c r="J92" s="277">
        <v>14</v>
      </c>
      <c r="K92" s="277">
        <f>J92*H145</f>
        <v>561.68</v>
      </c>
      <c r="L92" s="277"/>
      <c r="M92" s="277">
        <v>14</v>
      </c>
      <c r="N92" s="277">
        <f>M92*J145</f>
        <v>590.94</v>
      </c>
      <c r="O92" s="277"/>
      <c r="P92" s="277">
        <v>17</v>
      </c>
      <c r="Q92" s="277">
        <f>P92*J145</f>
        <v>717.57</v>
      </c>
      <c r="R92" s="277">
        <f t="shared" si="13"/>
        <v>60</v>
      </c>
      <c r="S92" s="277">
        <f>H92+K92+N92+Q92</f>
        <v>2471.9900000000002</v>
      </c>
      <c r="T92" s="67" t="s">
        <v>82</v>
      </c>
      <c r="U92" s="12"/>
      <c r="V92" s="11"/>
      <c r="W92" s="12"/>
    </row>
    <row r="93" spans="1:23" ht="41.25" customHeight="1">
      <c r="A93" s="274"/>
      <c r="B93" s="539"/>
      <c r="C93" s="540"/>
      <c r="D93" s="541"/>
      <c r="E93" s="306" t="s">
        <v>2</v>
      </c>
      <c r="F93" s="282"/>
      <c r="G93" s="277">
        <v>0.84</v>
      </c>
      <c r="H93" s="277">
        <f>G93*H147</f>
        <v>5426.6016</v>
      </c>
      <c r="I93" s="277"/>
      <c r="J93" s="277">
        <v>0.78</v>
      </c>
      <c r="K93" s="277">
        <f>J93*H147</f>
        <v>5038.9872</v>
      </c>
      <c r="L93" s="277"/>
      <c r="M93" s="277">
        <v>0.85</v>
      </c>
      <c r="N93" s="277">
        <f>M93*J147</f>
        <v>5776.7445</v>
      </c>
      <c r="O93" s="277"/>
      <c r="P93" s="277">
        <v>1.03</v>
      </c>
      <c r="Q93" s="277">
        <f>P93*J147</f>
        <v>7000.0551000000005</v>
      </c>
      <c r="R93" s="277">
        <f t="shared" si="13"/>
        <v>3.5</v>
      </c>
      <c r="S93" s="277">
        <f>H93+K93+N93+Q93</f>
        <v>23242.3884</v>
      </c>
      <c r="U93" s="12"/>
      <c r="V93" s="11"/>
      <c r="W93" s="12"/>
    </row>
    <row r="94" spans="1:23" s="97" customFormat="1" ht="54.75" customHeight="1">
      <c r="A94" s="268">
        <v>3</v>
      </c>
      <c r="B94" s="551" t="s">
        <v>42</v>
      </c>
      <c r="C94" s="552"/>
      <c r="D94" s="553"/>
      <c r="E94" s="305" t="s">
        <v>84</v>
      </c>
      <c r="F94" s="286"/>
      <c r="G94" s="271"/>
      <c r="H94" s="271">
        <f>H97+H100</f>
        <v>11106.82459</v>
      </c>
      <c r="I94" s="271"/>
      <c r="J94" s="271"/>
      <c r="K94" s="271">
        <f>K97+K100</f>
        <v>11512.745819999998</v>
      </c>
      <c r="L94" s="271"/>
      <c r="M94" s="271"/>
      <c r="N94" s="271">
        <f>N97+N100</f>
        <v>12565.717330000001</v>
      </c>
      <c r="O94" s="271"/>
      <c r="P94" s="271"/>
      <c r="Q94" s="271">
        <f>Q97+Q100</f>
        <v>12452.190540000001</v>
      </c>
      <c r="R94" s="271"/>
      <c r="S94" s="271">
        <f>S97+S100</f>
        <v>47637.47828</v>
      </c>
      <c r="T94" s="94"/>
      <c r="U94" s="95"/>
      <c r="V94" s="96"/>
      <c r="W94" s="95">
        <f>G94+J94+M94+P94</f>
        <v>0</v>
      </c>
    </row>
    <row r="95" spans="1:23" ht="54.75" customHeight="1">
      <c r="A95" s="274"/>
      <c r="B95" s="547"/>
      <c r="C95" s="548"/>
      <c r="D95" s="549"/>
      <c r="E95" s="310" t="s">
        <v>70</v>
      </c>
      <c r="F95" s="282"/>
      <c r="G95" s="350">
        <f>G98+G101</f>
        <v>24.700000000000003</v>
      </c>
      <c r="H95" s="293">
        <f>H98+H101</f>
        <v>1061.15139</v>
      </c>
      <c r="I95" s="293"/>
      <c r="J95" s="350">
        <f>J98+J101</f>
        <v>25.677999999999997</v>
      </c>
      <c r="K95" s="293">
        <f>K98+K101</f>
        <v>1105.29918</v>
      </c>
      <c r="L95" s="293"/>
      <c r="M95" s="350">
        <f>M98+M101</f>
        <v>26.656</v>
      </c>
      <c r="N95" s="293">
        <f>N98+N101</f>
        <v>1209.31726</v>
      </c>
      <c r="O95" s="293"/>
      <c r="P95" s="350">
        <f>P98+P101</f>
        <v>26.412000000000003</v>
      </c>
      <c r="Q95" s="293">
        <f>Q98+Q101</f>
        <v>1197.7330200000001</v>
      </c>
      <c r="R95" s="350">
        <f>G95+J95+M95+P95</f>
        <v>103.446</v>
      </c>
      <c r="S95" s="293">
        <f>H95+K95+N95+Q95</f>
        <v>4573.50085</v>
      </c>
      <c r="U95" s="12"/>
      <c r="V95" s="11"/>
      <c r="W95" s="12"/>
    </row>
    <row r="96" spans="1:23" ht="54.75" customHeight="1">
      <c r="A96" s="274"/>
      <c r="B96" s="547"/>
      <c r="C96" s="548"/>
      <c r="D96" s="549"/>
      <c r="E96" s="310" t="s">
        <v>2</v>
      </c>
      <c r="F96" s="282"/>
      <c r="G96" s="350">
        <f>G99+G102</f>
        <v>1.555</v>
      </c>
      <c r="H96" s="293">
        <f>H99+H102</f>
        <v>10045.6732</v>
      </c>
      <c r="I96" s="293"/>
      <c r="J96" s="350">
        <f>J99+J102</f>
        <v>1.611</v>
      </c>
      <c r="K96" s="293">
        <f>K99+K102</f>
        <v>10407.446639999998</v>
      </c>
      <c r="L96" s="293"/>
      <c r="M96" s="350">
        <f>M99+M102</f>
        <v>1.671</v>
      </c>
      <c r="N96" s="293">
        <f>N99+N102</f>
        <v>11356.400070000002</v>
      </c>
      <c r="O96" s="293"/>
      <c r="P96" s="350">
        <f>P99+P102</f>
        <v>1.6560000000000001</v>
      </c>
      <c r="Q96" s="293">
        <f>Q99+Q102</f>
        <v>11254.45752</v>
      </c>
      <c r="R96" s="351">
        <f>G96+J96+M96+P96</f>
        <v>6.493</v>
      </c>
      <c r="S96" s="293">
        <f>H96+K96+N96+Q96</f>
        <v>43063.97743</v>
      </c>
      <c r="U96" s="12"/>
      <c r="V96" s="11"/>
      <c r="W96" s="12"/>
    </row>
    <row r="97" spans="1:23" ht="47.25" customHeight="1">
      <c r="A97" s="274"/>
      <c r="B97" s="539" t="s">
        <v>71</v>
      </c>
      <c r="C97" s="540"/>
      <c r="D97" s="541"/>
      <c r="E97" s="306"/>
      <c r="F97" s="282"/>
      <c r="G97" s="277"/>
      <c r="H97" s="277">
        <f>H98+H99</f>
        <v>9861.89308</v>
      </c>
      <c r="I97" s="277"/>
      <c r="J97" s="277"/>
      <c r="K97" s="277">
        <f>K98+K99</f>
        <v>10190.23736</v>
      </c>
      <c r="L97" s="277"/>
      <c r="M97" s="277"/>
      <c r="N97" s="277">
        <f>N98+N99</f>
        <v>11079.224460000001</v>
      </c>
      <c r="O97" s="277"/>
      <c r="P97" s="277"/>
      <c r="Q97" s="277">
        <f>Q98+Q99</f>
        <v>10989.48168</v>
      </c>
      <c r="R97" s="277"/>
      <c r="S97" s="277">
        <f>S98+S99</f>
        <v>42120.83658</v>
      </c>
      <c r="U97" s="12"/>
      <c r="V97" s="11"/>
      <c r="W97" s="12"/>
    </row>
    <row r="98" spans="1:23" ht="43.5" customHeight="1">
      <c r="A98" s="274"/>
      <c r="B98" s="539"/>
      <c r="C98" s="540"/>
      <c r="D98" s="541"/>
      <c r="E98" s="306" t="s">
        <v>70</v>
      </c>
      <c r="F98" s="282"/>
      <c r="G98" s="317">
        <v>21.827</v>
      </c>
      <c r="H98" s="277">
        <f>G98*H145</f>
        <v>875.69924</v>
      </c>
      <c r="I98" s="277"/>
      <c r="J98" s="277">
        <v>22.604</v>
      </c>
      <c r="K98" s="277">
        <f>J98*H145</f>
        <v>906.8724799999999</v>
      </c>
      <c r="L98" s="277"/>
      <c r="M98" s="317">
        <v>23.381</v>
      </c>
      <c r="N98" s="277">
        <f>M98*J145</f>
        <v>986.91201</v>
      </c>
      <c r="O98" s="277"/>
      <c r="P98" s="317">
        <v>23.187</v>
      </c>
      <c r="Q98" s="277">
        <f>P98*J145</f>
        <v>978.7232700000001</v>
      </c>
      <c r="R98" s="317">
        <f>G98+J98+M98+P98</f>
        <v>90.999</v>
      </c>
      <c r="S98" s="277">
        <f>H98+K98+N98+Q98</f>
        <v>3748.207</v>
      </c>
      <c r="U98" s="12"/>
      <c r="V98" s="11"/>
      <c r="W98" s="12"/>
    </row>
    <row r="99" spans="1:23" ht="40.5" customHeight="1">
      <c r="A99" s="274"/>
      <c r="B99" s="539"/>
      <c r="C99" s="540"/>
      <c r="D99" s="541"/>
      <c r="E99" s="306" t="s">
        <v>2</v>
      </c>
      <c r="F99" s="282"/>
      <c r="G99" s="317">
        <v>1.391</v>
      </c>
      <c r="H99" s="277">
        <f>G99*H147</f>
        <v>8986.19384</v>
      </c>
      <c r="I99" s="277"/>
      <c r="J99" s="317">
        <v>1.437</v>
      </c>
      <c r="K99" s="277">
        <f>J99*H147</f>
        <v>9283.36488</v>
      </c>
      <c r="L99" s="277"/>
      <c r="M99" s="317">
        <v>1.485</v>
      </c>
      <c r="N99" s="277">
        <f>M99*J147</f>
        <v>10092.312450000001</v>
      </c>
      <c r="O99" s="277"/>
      <c r="P99" s="317">
        <v>1.473</v>
      </c>
      <c r="Q99" s="277">
        <f>P99*J147</f>
        <v>10010.75841</v>
      </c>
      <c r="R99" s="317">
        <f>G99+J99+M99+P99</f>
        <v>5.7860000000000005</v>
      </c>
      <c r="S99" s="277">
        <f>H99+K99+N99+Q99</f>
        <v>38372.62958</v>
      </c>
      <c r="U99" s="12"/>
      <c r="V99" s="11"/>
      <c r="W99" s="12"/>
    </row>
    <row r="100" spans="1:23" ht="42.75" customHeight="1">
      <c r="A100" s="274"/>
      <c r="B100" s="539" t="s">
        <v>72</v>
      </c>
      <c r="C100" s="540"/>
      <c r="D100" s="541"/>
      <c r="E100" s="306"/>
      <c r="F100" s="282"/>
      <c r="G100" s="277"/>
      <c r="H100" s="277">
        <f>H101+H102</f>
        <v>1244.9315100000001</v>
      </c>
      <c r="I100" s="277"/>
      <c r="J100" s="277"/>
      <c r="K100" s="277">
        <f>K101+K102</f>
        <v>1322.5084599999998</v>
      </c>
      <c r="L100" s="277"/>
      <c r="M100" s="277"/>
      <c r="N100" s="277">
        <f>N101+N102</f>
        <v>1486.49287</v>
      </c>
      <c r="O100" s="277"/>
      <c r="P100" s="277"/>
      <c r="Q100" s="277">
        <f>Q101+Q102</f>
        <v>1462.70886</v>
      </c>
      <c r="R100" s="277"/>
      <c r="S100" s="277">
        <f>S101+S102</f>
        <v>5516.6417</v>
      </c>
      <c r="U100" s="12"/>
      <c r="V100" s="11"/>
      <c r="W100" s="12"/>
    </row>
    <row r="101" spans="1:23" ht="33" customHeight="1">
      <c r="A101" s="274"/>
      <c r="B101" s="539"/>
      <c r="C101" s="540"/>
      <c r="D101" s="541"/>
      <c r="E101" s="306" t="s">
        <v>70</v>
      </c>
      <c r="F101" s="282"/>
      <c r="G101" s="317">
        <v>2.873</v>
      </c>
      <c r="H101" s="277">
        <f>G101*H146</f>
        <v>185.45215000000002</v>
      </c>
      <c r="I101" s="277"/>
      <c r="J101" s="317">
        <v>3.074</v>
      </c>
      <c r="K101" s="277">
        <f>J101*H146</f>
        <v>198.42669999999998</v>
      </c>
      <c r="L101" s="277"/>
      <c r="M101" s="317">
        <v>3.275</v>
      </c>
      <c r="N101" s="277">
        <f>M101*J146</f>
        <v>222.40525</v>
      </c>
      <c r="O101" s="277"/>
      <c r="P101" s="317">
        <v>3.225</v>
      </c>
      <c r="Q101" s="277">
        <f>P101*J146</f>
        <v>219.00975</v>
      </c>
      <c r="R101" s="317">
        <f>G101+J101+M101+P101</f>
        <v>12.447</v>
      </c>
      <c r="S101" s="277">
        <f>H101+K101+N101+Q101</f>
        <v>825.29385</v>
      </c>
      <c r="U101" s="12"/>
      <c r="V101" s="11"/>
      <c r="W101" s="12"/>
    </row>
    <row r="102" spans="1:23" ht="36.75" customHeight="1">
      <c r="A102" s="274"/>
      <c r="B102" s="539"/>
      <c r="C102" s="540"/>
      <c r="D102" s="541"/>
      <c r="E102" s="306" t="s">
        <v>2</v>
      </c>
      <c r="F102" s="282"/>
      <c r="G102" s="317">
        <v>0.164</v>
      </c>
      <c r="H102" s="277">
        <f>G102*H148</f>
        <v>1059.47936</v>
      </c>
      <c r="I102" s="277"/>
      <c r="J102" s="317">
        <v>0.174</v>
      </c>
      <c r="K102" s="277">
        <f>J102*H148</f>
        <v>1124.0817599999998</v>
      </c>
      <c r="L102" s="277"/>
      <c r="M102" s="317">
        <v>0.186</v>
      </c>
      <c r="N102" s="277">
        <f>M102*J148</f>
        <v>1264.08762</v>
      </c>
      <c r="O102" s="277"/>
      <c r="P102" s="317">
        <v>0.183</v>
      </c>
      <c r="Q102" s="277">
        <f>P102*J148</f>
        <v>1243.69911</v>
      </c>
      <c r="R102" s="317">
        <f>G102+J102+M102+P102</f>
        <v>0.7070000000000001</v>
      </c>
      <c r="S102" s="277">
        <f>H102+K102+N102+Q102</f>
        <v>4691.34785</v>
      </c>
      <c r="U102" s="12"/>
      <c r="V102" s="11"/>
      <c r="W102" s="12"/>
    </row>
    <row r="103" spans="1:23" s="97" customFormat="1" ht="43.5" customHeight="1">
      <c r="A103" s="268">
        <v>4</v>
      </c>
      <c r="B103" s="551" t="s">
        <v>43</v>
      </c>
      <c r="C103" s="552"/>
      <c r="D103" s="553"/>
      <c r="E103" s="318"/>
      <c r="F103" s="286">
        <v>31</v>
      </c>
      <c r="G103" s="271"/>
      <c r="H103" s="271">
        <f>H104</f>
        <v>0</v>
      </c>
      <c r="I103" s="271"/>
      <c r="J103" s="271"/>
      <c r="K103" s="271">
        <f>K104</f>
        <v>0</v>
      </c>
      <c r="L103" s="271"/>
      <c r="M103" s="271"/>
      <c r="N103" s="271">
        <f>N104</f>
        <v>0</v>
      </c>
      <c r="O103" s="271"/>
      <c r="P103" s="271"/>
      <c r="Q103" s="271">
        <f>Q104</f>
        <v>0</v>
      </c>
      <c r="R103" s="271"/>
      <c r="S103" s="271">
        <f>S104</f>
        <v>0</v>
      </c>
      <c r="T103" s="94"/>
      <c r="U103" s="95">
        <f>37.94*P103</f>
        <v>0</v>
      </c>
      <c r="V103" s="96">
        <f>H103+K103+N103+Q103</f>
        <v>0</v>
      </c>
      <c r="W103" s="95">
        <f>G103+J103+M103+P103</f>
        <v>0</v>
      </c>
    </row>
    <row r="104" spans="1:23" ht="45" customHeight="1" hidden="1">
      <c r="A104" s="274"/>
      <c r="B104" s="536" t="s">
        <v>45</v>
      </c>
      <c r="C104" s="537"/>
      <c r="D104" s="538"/>
      <c r="E104" s="309"/>
      <c r="F104" s="274">
        <v>51</v>
      </c>
      <c r="G104" s="293"/>
      <c r="H104" s="277">
        <f>H105+H106</f>
        <v>0</v>
      </c>
      <c r="I104" s="277"/>
      <c r="J104" s="277"/>
      <c r="K104" s="277">
        <f>K105+K106</f>
        <v>0</v>
      </c>
      <c r="L104" s="277"/>
      <c r="M104" s="277"/>
      <c r="N104" s="277">
        <f>N105+N106</f>
        <v>0</v>
      </c>
      <c r="O104" s="277"/>
      <c r="P104" s="277"/>
      <c r="Q104" s="277">
        <f>Q105+Q106</f>
        <v>0</v>
      </c>
      <c r="R104" s="277"/>
      <c r="S104" s="277">
        <f>S105+S106</f>
        <v>0</v>
      </c>
      <c r="U104" s="12">
        <f>37.94*P104</f>
        <v>0</v>
      </c>
      <c r="V104" s="11">
        <f>H104+K104+N104+Q104</f>
        <v>0</v>
      </c>
      <c r="W104" s="12">
        <f>G104+J104+M104+P104</f>
        <v>0</v>
      </c>
    </row>
    <row r="105" spans="1:23" ht="31.5" customHeight="1" hidden="1">
      <c r="A105" s="274"/>
      <c r="B105" s="539"/>
      <c r="C105" s="540"/>
      <c r="D105" s="541"/>
      <c r="E105" s="306" t="s">
        <v>70</v>
      </c>
      <c r="F105" s="282"/>
      <c r="G105" s="277"/>
      <c r="H105" s="277">
        <f>G105*H145</f>
        <v>0</v>
      </c>
      <c r="I105" s="277"/>
      <c r="J105" s="277"/>
      <c r="K105" s="277">
        <f>J105*H145</f>
        <v>0</v>
      </c>
      <c r="L105" s="277"/>
      <c r="M105" s="277"/>
      <c r="N105" s="277">
        <f>M105*J145</f>
        <v>0</v>
      </c>
      <c r="O105" s="277"/>
      <c r="P105" s="277"/>
      <c r="Q105" s="277">
        <f>P105*J145</f>
        <v>0</v>
      </c>
      <c r="R105" s="277">
        <f>G105+J105+M105+P105</f>
        <v>0</v>
      </c>
      <c r="S105" s="277">
        <f>H105+K105+N105+Q105</f>
        <v>0</v>
      </c>
      <c r="U105" s="12"/>
      <c r="V105" s="11"/>
      <c r="W105" s="12"/>
    </row>
    <row r="106" spans="1:23" ht="36.75" customHeight="1" hidden="1">
      <c r="A106" s="274"/>
      <c r="B106" s="539"/>
      <c r="C106" s="540"/>
      <c r="D106" s="541"/>
      <c r="E106" s="306" t="s">
        <v>2</v>
      </c>
      <c r="F106" s="282"/>
      <c r="G106" s="277"/>
      <c r="H106" s="277">
        <f>G106*H147</f>
        <v>0</v>
      </c>
      <c r="I106" s="277"/>
      <c r="J106" s="277"/>
      <c r="K106" s="277">
        <f>J106*H147</f>
        <v>0</v>
      </c>
      <c r="L106" s="277"/>
      <c r="M106" s="277"/>
      <c r="N106" s="277">
        <f>M106*J147</f>
        <v>0</v>
      </c>
      <c r="O106" s="277"/>
      <c r="P106" s="277"/>
      <c r="Q106" s="277">
        <f>P106*J147</f>
        <v>0</v>
      </c>
      <c r="R106" s="277">
        <f>G106+J106+M106+P106</f>
        <v>0</v>
      </c>
      <c r="S106" s="277">
        <f>H106+K106+N106+Q106</f>
        <v>0</v>
      </c>
      <c r="U106" s="12"/>
      <c r="V106" s="11"/>
      <c r="W106" s="12"/>
    </row>
    <row r="107" spans="1:23" s="97" customFormat="1" ht="53.25" customHeight="1">
      <c r="A107" s="268">
        <v>5</v>
      </c>
      <c r="B107" s="551" t="s">
        <v>47</v>
      </c>
      <c r="C107" s="552"/>
      <c r="D107" s="553"/>
      <c r="E107" s="305" t="s">
        <v>84</v>
      </c>
      <c r="F107" s="286"/>
      <c r="G107" s="271"/>
      <c r="H107" s="271">
        <f>H110+H113+H116+H119</f>
        <v>31650.8308</v>
      </c>
      <c r="I107" s="271"/>
      <c r="J107" s="271"/>
      <c r="K107" s="271">
        <f>K110+K113+K116+K119</f>
        <v>25604.0696</v>
      </c>
      <c r="L107" s="271"/>
      <c r="M107" s="271"/>
      <c r="N107" s="271">
        <f>N110+N113+N116+N119</f>
        <v>21526.2236</v>
      </c>
      <c r="O107" s="271"/>
      <c r="P107" s="271"/>
      <c r="Q107" s="271">
        <f>Q110+Q113+Q116+Q119</f>
        <v>34186.626</v>
      </c>
      <c r="R107" s="271"/>
      <c r="S107" s="271">
        <f>S110+S113+S116+S119</f>
        <v>112967.75</v>
      </c>
      <c r="T107" s="94"/>
      <c r="U107" s="95"/>
      <c r="V107" s="96"/>
      <c r="W107" s="95"/>
    </row>
    <row r="108" spans="1:23" ht="38.25" customHeight="1">
      <c r="A108" s="274"/>
      <c r="B108" s="547"/>
      <c r="C108" s="548"/>
      <c r="D108" s="549"/>
      <c r="E108" s="309" t="s">
        <v>70</v>
      </c>
      <c r="F108" s="282"/>
      <c r="G108" s="293">
        <f>G111+G114+G117+G120</f>
        <v>76.1</v>
      </c>
      <c r="H108" s="293">
        <f>H111+H114+H117+H120</f>
        <v>3419.582</v>
      </c>
      <c r="I108" s="293"/>
      <c r="J108" s="293">
        <f>J111+J114+J117+J120</f>
        <v>60.25</v>
      </c>
      <c r="K108" s="293">
        <f>K111+K114+K117+K120</f>
        <v>2734.8199999999997</v>
      </c>
      <c r="L108" s="293"/>
      <c r="M108" s="293">
        <f>M111+M114+M117+M120</f>
        <v>48.019999999999996</v>
      </c>
      <c r="N108" s="293">
        <f>N111+N114+N117+N120</f>
        <v>2361.0242000000003</v>
      </c>
      <c r="O108" s="293"/>
      <c r="P108" s="293">
        <f>P111+P114+P117+P120</f>
        <v>77.64</v>
      </c>
      <c r="Q108" s="293">
        <f>Q111+Q114+Q117+Q120</f>
        <v>3739.7844</v>
      </c>
      <c r="R108" s="293">
        <f>G108+J108+M108+P108</f>
        <v>262.01</v>
      </c>
      <c r="S108" s="293">
        <f>H108+K108+N108+Q108</f>
        <v>12255.2106</v>
      </c>
      <c r="U108" s="12"/>
      <c r="V108" s="11"/>
      <c r="W108" s="12"/>
    </row>
    <row r="109" spans="1:23" ht="38.25" customHeight="1">
      <c r="A109" s="274"/>
      <c r="B109" s="547"/>
      <c r="C109" s="548"/>
      <c r="D109" s="549"/>
      <c r="E109" s="309" t="s">
        <v>2</v>
      </c>
      <c r="F109" s="282"/>
      <c r="G109" s="293">
        <f>G112+G115+G118+G121</f>
        <v>4.369999999999999</v>
      </c>
      <c r="H109" s="293">
        <f>H112+H115+H118+H121</f>
        <v>28231.2488</v>
      </c>
      <c r="I109" s="293"/>
      <c r="J109" s="293">
        <f>J112+J115+J118+J121</f>
        <v>3.54</v>
      </c>
      <c r="K109" s="293">
        <f>K112+K115+K118+K121</f>
        <v>22869.2496</v>
      </c>
      <c r="L109" s="293"/>
      <c r="M109" s="293">
        <f>M112+M115+M118+M121</f>
        <v>2.82</v>
      </c>
      <c r="N109" s="293">
        <f>N112+N115+N118+N121</f>
        <v>19165.199400000005</v>
      </c>
      <c r="O109" s="293"/>
      <c r="P109" s="293">
        <f>P112+P115+P118+P121</f>
        <v>4.4799999999999995</v>
      </c>
      <c r="Q109" s="293">
        <f>Q112+Q115+Q118+Q121</f>
        <v>30446.841600000003</v>
      </c>
      <c r="R109" s="293">
        <f>G109+J109+M109+P109</f>
        <v>15.209999999999997</v>
      </c>
      <c r="S109" s="293">
        <f>H109+K109+N109+Q109</f>
        <v>100712.5394</v>
      </c>
      <c r="U109" s="12"/>
      <c r="V109" s="11"/>
      <c r="W109" s="12"/>
    </row>
    <row r="110" spans="1:23" ht="41.25" customHeight="1">
      <c r="A110" s="274"/>
      <c r="B110" s="536" t="s">
        <v>48</v>
      </c>
      <c r="C110" s="537"/>
      <c r="D110" s="538"/>
      <c r="E110" s="311"/>
      <c r="F110" s="282"/>
      <c r="G110" s="277"/>
      <c r="H110" s="277">
        <f>H111+H112</f>
        <v>1491.8548</v>
      </c>
      <c r="I110" s="277"/>
      <c r="J110" s="277"/>
      <c r="K110" s="277">
        <f>K111+K112</f>
        <v>1142.7648000000002</v>
      </c>
      <c r="L110" s="277"/>
      <c r="M110" s="277"/>
      <c r="N110" s="277">
        <f>N111+N112</f>
        <v>2026.5993</v>
      </c>
      <c r="O110" s="277"/>
      <c r="P110" s="277"/>
      <c r="Q110" s="277">
        <f>Q111+Q112</f>
        <v>4269.3246</v>
      </c>
      <c r="R110" s="277"/>
      <c r="S110" s="277">
        <f>S111+S112</f>
        <v>8930.5435</v>
      </c>
      <c r="U110" s="12"/>
      <c r="V110" s="11"/>
      <c r="W110" s="12"/>
    </row>
    <row r="111" spans="1:23" ht="36" customHeight="1">
      <c r="A111" s="274"/>
      <c r="B111" s="539"/>
      <c r="C111" s="540"/>
      <c r="D111" s="541"/>
      <c r="E111" s="306" t="s">
        <v>70</v>
      </c>
      <c r="F111" s="282"/>
      <c r="G111" s="277">
        <v>3.37</v>
      </c>
      <c r="H111" s="277">
        <f>G111*H145</f>
        <v>135.2044</v>
      </c>
      <c r="I111" s="277"/>
      <c r="J111" s="277">
        <v>2.72</v>
      </c>
      <c r="K111" s="277">
        <f>J111*H145</f>
        <v>109.1264</v>
      </c>
      <c r="L111" s="277"/>
      <c r="M111" s="277">
        <v>4.54</v>
      </c>
      <c r="N111" s="277">
        <f>M111*J145</f>
        <v>191.6334</v>
      </c>
      <c r="O111" s="277"/>
      <c r="P111" s="277">
        <v>9.37</v>
      </c>
      <c r="Q111" s="277">
        <f>P111*J145</f>
        <v>395.5077</v>
      </c>
      <c r="R111" s="277">
        <f>G111+J111+M111+P111</f>
        <v>20</v>
      </c>
      <c r="S111" s="277">
        <f>H111+K111+N111+Q111</f>
        <v>831.4719</v>
      </c>
      <c r="U111" s="12"/>
      <c r="V111" s="11"/>
      <c r="W111" s="12"/>
    </row>
    <row r="112" spans="1:23" ht="39" customHeight="1">
      <c r="A112" s="274"/>
      <c r="B112" s="539"/>
      <c r="C112" s="540"/>
      <c r="D112" s="541"/>
      <c r="E112" s="306" t="s">
        <v>2</v>
      </c>
      <c r="F112" s="282"/>
      <c r="G112" s="277">
        <v>0.21</v>
      </c>
      <c r="H112" s="277">
        <f>G112*H147</f>
        <v>1356.6504</v>
      </c>
      <c r="I112" s="277"/>
      <c r="J112" s="277">
        <v>0.16</v>
      </c>
      <c r="K112" s="277">
        <f>J112*H147</f>
        <v>1033.6384</v>
      </c>
      <c r="L112" s="277"/>
      <c r="M112" s="277">
        <v>0.27</v>
      </c>
      <c r="N112" s="277">
        <f>M112*J147</f>
        <v>1834.9659000000001</v>
      </c>
      <c r="O112" s="277"/>
      <c r="P112" s="277">
        <v>0.57</v>
      </c>
      <c r="Q112" s="277">
        <f>P112*J147</f>
        <v>3873.8169</v>
      </c>
      <c r="R112" s="277">
        <f>G112+J112+M112+P112</f>
        <v>1.21</v>
      </c>
      <c r="S112" s="277">
        <f>H112+K112+N112+Q112</f>
        <v>8099.0716</v>
      </c>
      <c r="U112" s="12"/>
      <c r="V112" s="11"/>
      <c r="W112" s="12"/>
    </row>
    <row r="113" spans="1:23" ht="35.25" customHeight="1">
      <c r="A113" s="274"/>
      <c r="B113" s="536" t="s">
        <v>49</v>
      </c>
      <c r="C113" s="537"/>
      <c r="D113" s="538"/>
      <c r="E113" s="311"/>
      <c r="F113" s="282"/>
      <c r="G113" s="277"/>
      <c r="H113" s="277">
        <f>H114+H115</f>
        <v>14230.2256</v>
      </c>
      <c r="I113" s="277"/>
      <c r="J113" s="277"/>
      <c r="K113" s="277">
        <f>K114+K115</f>
        <v>14577.72</v>
      </c>
      <c r="L113" s="277"/>
      <c r="M113" s="277"/>
      <c r="N113" s="277">
        <f>N114+N115</f>
        <v>11129.0298</v>
      </c>
      <c r="O113" s="277"/>
      <c r="P113" s="277"/>
      <c r="Q113" s="277">
        <f>Q114+Q115</f>
        <v>15764.6518</v>
      </c>
      <c r="R113" s="277"/>
      <c r="S113" s="277">
        <f>S114+S115</f>
        <v>55701.6272</v>
      </c>
      <c r="U113" s="12"/>
      <c r="V113" s="11"/>
      <c r="W113" s="12"/>
    </row>
    <row r="114" spans="1:23" ht="39" customHeight="1">
      <c r="A114" s="274"/>
      <c r="B114" s="539"/>
      <c r="C114" s="540"/>
      <c r="D114" s="541"/>
      <c r="E114" s="306" t="s">
        <v>70</v>
      </c>
      <c r="F114" s="282"/>
      <c r="G114" s="277">
        <v>35</v>
      </c>
      <c r="H114" s="277">
        <f>23*H145+12*H146</f>
        <v>1697.36</v>
      </c>
      <c r="I114" s="277"/>
      <c r="J114" s="277">
        <v>34</v>
      </c>
      <c r="K114" s="277">
        <f>22*H145+12*H146</f>
        <v>1657.2399999999998</v>
      </c>
      <c r="L114" s="277"/>
      <c r="M114" s="277">
        <v>24.5</v>
      </c>
      <c r="N114" s="277">
        <f>12.5*J145+12*J146</f>
        <v>1342.545</v>
      </c>
      <c r="O114" s="277"/>
      <c r="P114" s="277">
        <v>36.5</v>
      </c>
      <c r="Q114" s="277">
        <f>22.5*J145+14*J146</f>
        <v>1900.4650000000001</v>
      </c>
      <c r="R114" s="277">
        <f>G114+J114+M114+P114</f>
        <v>130</v>
      </c>
      <c r="S114" s="277">
        <f>H114+K114+N114+Q114</f>
        <v>6597.61</v>
      </c>
      <c r="U114" s="12"/>
      <c r="V114" s="11"/>
      <c r="W114" s="12"/>
    </row>
    <row r="115" spans="1:23" ht="40.5" customHeight="1">
      <c r="A115" s="274"/>
      <c r="B115" s="539"/>
      <c r="C115" s="540"/>
      <c r="D115" s="541"/>
      <c r="E115" s="306" t="s">
        <v>2</v>
      </c>
      <c r="F115" s="282"/>
      <c r="G115" s="277">
        <v>1.94</v>
      </c>
      <c r="H115" s="277">
        <f>G115*H147</f>
        <v>12532.8656</v>
      </c>
      <c r="I115" s="277"/>
      <c r="J115" s="277">
        <v>2</v>
      </c>
      <c r="K115" s="277">
        <f>J115*H147</f>
        <v>12920.48</v>
      </c>
      <c r="L115" s="277"/>
      <c r="M115" s="277">
        <v>1.44</v>
      </c>
      <c r="N115" s="277">
        <f>M115*J147</f>
        <v>9786.4848</v>
      </c>
      <c r="O115" s="277"/>
      <c r="P115" s="277">
        <v>2.04</v>
      </c>
      <c r="Q115" s="277">
        <f>P115*J147</f>
        <v>13864.1868</v>
      </c>
      <c r="R115" s="277">
        <f>G115+J115+M115+P115</f>
        <v>7.42</v>
      </c>
      <c r="S115" s="277">
        <f>H115+K115+N115+Q115</f>
        <v>49104.0172</v>
      </c>
      <c r="U115" s="12"/>
      <c r="V115" s="11"/>
      <c r="W115" s="12"/>
    </row>
    <row r="116" spans="1:23" ht="39" customHeight="1">
      <c r="A116" s="274"/>
      <c r="B116" s="536" t="s">
        <v>50</v>
      </c>
      <c r="C116" s="537"/>
      <c r="D116" s="538"/>
      <c r="E116" s="311"/>
      <c r="F116" s="282"/>
      <c r="G116" s="277"/>
      <c r="H116" s="277">
        <f>H117+H118</f>
        <v>7429.4372</v>
      </c>
      <c r="I116" s="277"/>
      <c r="J116" s="277"/>
      <c r="K116" s="277">
        <f>K117+K118</f>
        <v>6525.1084</v>
      </c>
      <c r="L116" s="277"/>
      <c r="M116" s="277"/>
      <c r="N116" s="277">
        <f>N117+N118</f>
        <v>5964.5093</v>
      </c>
      <c r="O116" s="277"/>
      <c r="P116" s="277"/>
      <c r="Q116" s="277">
        <f>Q117+Q118</f>
        <v>7841.530100000001</v>
      </c>
      <c r="R116" s="277"/>
      <c r="S116" s="277">
        <f>S117+S118</f>
        <v>27760.585</v>
      </c>
      <c r="U116" s="12"/>
      <c r="V116" s="11"/>
      <c r="W116" s="12"/>
    </row>
    <row r="117" spans="1:23" ht="39" customHeight="1">
      <c r="A117" s="274"/>
      <c r="B117" s="539"/>
      <c r="C117" s="540"/>
      <c r="D117" s="541"/>
      <c r="E117" s="306" t="s">
        <v>70</v>
      </c>
      <c r="F117" s="282"/>
      <c r="G117" s="277">
        <v>17.5</v>
      </c>
      <c r="H117" s="277">
        <f>14.5*H145+3*H146</f>
        <v>775.39</v>
      </c>
      <c r="I117" s="277"/>
      <c r="J117" s="277">
        <v>15.5</v>
      </c>
      <c r="K117" s="277">
        <f>14.5*H145+1*H146</f>
        <v>646.29</v>
      </c>
      <c r="L117" s="277"/>
      <c r="M117" s="277">
        <v>13.5</v>
      </c>
      <c r="N117" s="277">
        <f>12.5*J145+1*J146</f>
        <v>595.535</v>
      </c>
      <c r="O117" s="277"/>
      <c r="P117" s="277">
        <v>17.5</v>
      </c>
      <c r="Q117" s="277">
        <f>13.5*J145+4*J146</f>
        <v>841.475</v>
      </c>
      <c r="R117" s="277">
        <f>G117+J117+M117+P117</f>
        <v>64</v>
      </c>
      <c r="S117" s="277">
        <f>H117+K117+N117+Q117</f>
        <v>2858.6899999999996</v>
      </c>
      <c r="U117" s="12"/>
      <c r="V117" s="11"/>
      <c r="W117" s="12"/>
    </row>
    <row r="118" spans="1:23" ht="36.75" customHeight="1">
      <c r="A118" s="274"/>
      <c r="B118" s="539"/>
      <c r="C118" s="540"/>
      <c r="D118" s="541"/>
      <c r="E118" s="306" t="s">
        <v>2</v>
      </c>
      <c r="F118" s="282"/>
      <c r="G118" s="277">
        <v>1.03</v>
      </c>
      <c r="H118" s="277">
        <f>G118*H147</f>
        <v>6654.0472</v>
      </c>
      <c r="I118" s="277"/>
      <c r="J118" s="277">
        <v>0.91</v>
      </c>
      <c r="K118" s="277">
        <f>J118*H147</f>
        <v>5878.8184</v>
      </c>
      <c r="L118" s="277"/>
      <c r="M118" s="277">
        <v>0.79</v>
      </c>
      <c r="N118" s="277">
        <f>M118*J147</f>
        <v>5368.9743</v>
      </c>
      <c r="O118" s="277"/>
      <c r="P118" s="277">
        <v>1.03</v>
      </c>
      <c r="Q118" s="277">
        <f>P118*J147</f>
        <v>7000.0551000000005</v>
      </c>
      <c r="R118" s="277">
        <f>G118+J118+M118+P118</f>
        <v>3.76</v>
      </c>
      <c r="S118" s="277">
        <f>H118+K118+N118+Q118</f>
        <v>24901.895</v>
      </c>
      <c r="U118" s="12"/>
      <c r="V118" s="11"/>
      <c r="W118" s="12"/>
    </row>
    <row r="119" spans="1:23" ht="44.25" customHeight="1">
      <c r="A119" s="274"/>
      <c r="B119" s="550" t="s">
        <v>40</v>
      </c>
      <c r="C119" s="550"/>
      <c r="D119" s="550"/>
      <c r="E119" s="312"/>
      <c r="F119" s="282"/>
      <c r="G119" s="277"/>
      <c r="H119" s="277">
        <f>H120+H121</f>
        <v>8499.3132</v>
      </c>
      <c r="I119" s="277"/>
      <c r="J119" s="277"/>
      <c r="K119" s="277">
        <f>K120+K121</f>
        <v>3358.4763999999996</v>
      </c>
      <c r="L119" s="277"/>
      <c r="M119" s="277"/>
      <c r="N119" s="277">
        <f>N120+N121</f>
        <v>2406.0852000000004</v>
      </c>
      <c r="O119" s="277"/>
      <c r="P119" s="277"/>
      <c r="Q119" s="277">
        <f>Q120+Q121</f>
        <v>6311.1195</v>
      </c>
      <c r="R119" s="277"/>
      <c r="S119" s="277">
        <f>S120+S121</f>
        <v>20574.9943</v>
      </c>
      <c r="U119" s="12"/>
      <c r="V119" s="11"/>
      <c r="W119" s="12"/>
    </row>
    <row r="120" spans="1:23" ht="35.25" customHeight="1">
      <c r="A120" s="274"/>
      <c r="B120" s="539"/>
      <c r="C120" s="540"/>
      <c r="D120" s="541"/>
      <c r="E120" s="306" t="s">
        <v>70</v>
      </c>
      <c r="F120" s="282"/>
      <c r="G120" s="277">
        <v>20.23</v>
      </c>
      <c r="H120" s="277">
        <f>G120*H145</f>
        <v>811.6275999999999</v>
      </c>
      <c r="I120" s="277"/>
      <c r="J120" s="319">
        <v>8.03</v>
      </c>
      <c r="K120" s="277">
        <f>J120*H145</f>
        <v>322.1636</v>
      </c>
      <c r="L120" s="277"/>
      <c r="M120" s="277">
        <v>5.48</v>
      </c>
      <c r="N120" s="277">
        <f>M120*J145</f>
        <v>231.31080000000003</v>
      </c>
      <c r="O120" s="277"/>
      <c r="P120" s="277">
        <v>14.27</v>
      </c>
      <c r="Q120" s="277">
        <f>P120*J145</f>
        <v>602.3367</v>
      </c>
      <c r="R120" s="277">
        <f>G120+J120+M120+P120</f>
        <v>48.00999999999999</v>
      </c>
      <c r="S120" s="277">
        <f>H120+K120+N120+Q120</f>
        <v>1967.4386999999997</v>
      </c>
      <c r="T120" s="67" t="s">
        <v>83</v>
      </c>
      <c r="U120" s="12"/>
      <c r="V120" s="11"/>
      <c r="W120" s="12"/>
    </row>
    <row r="121" spans="1:23" ht="36.75" customHeight="1">
      <c r="A121" s="274"/>
      <c r="B121" s="539"/>
      <c r="C121" s="540"/>
      <c r="D121" s="541"/>
      <c r="E121" s="306" t="s">
        <v>2</v>
      </c>
      <c r="F121" s="282"/>
      <c r="G121" s="277">
        <v>1.19</v>
      </c>
      <c r="H121" s="277">
        <f>G121*H147</f>
        <v>7687.6856</v>
      </c>
      <c r="I121" s="277"/>
      <c r="J121" s="277">
        <v>0.47</v>
      </c>
      <c r="K121" s="277">
        <f>J121*H147</f>
        <v>3036.3127999999997</v>
      </c>
      <c r="L121" s="277"/>
      <c r="M121" s="277">
        <v>0.32</v>
      </c>
      <c r="N121" s="277">
        <f>M121*J147</f>
        <v>2174.7744000000002</v>
      </c>
      <c r="O121" s="277"/>
      <c r="P121" s="277">
        <v>0.84</v>
      </c>
      <c r="Q121" s="277">
        <f>P121*J147</f>
        <v>5708.7828</v>
      </c>
      <c r="R121" s="277">
        <f>G121+J121+M121+P121</f>
        <v>2.82</v>
      </c>
      <c r="S121" s="277">
        <f>H121+K121+N121+Q121</f>
        <v>18607.5556</v>
      </c>
      <c r="U121" s="12"/>
      <c r="V121" s="11"/>
      <c r="W121" s="12"/>
    </row>
    <row r="122" spans="1:23" s="97" customFormat="1" ht="43.5" customHeight="1">
      <c r="A122" s="268">
        <v>6</v>
      </c>
      <c r="B122" s="551" t="s">
        <v>53</v>
      </c>
      <c r="C122" s="552"/>
      <c r="D122" s="553"/>
      <c r="E122" s="305" t="s">
        <v>84</v>
      </c>
      <c r="F122" s="286"/>
      <c r="G122" s="271"/>
      <c r="H122" s="271">
        <f>H125+H128+H131</f>
        <v>1292905.5116</v>
      </c>
      <c r="I122" s="271"/>
      <c r="J122" s="271"/>
      <c r="K122" s="271">
        <f>K125+K128+K131</f>
        <v>1307751.7516</v>
      </c>
      <c r="L122" s="271"/>
      <c r="M122" s="271"/>
      <c r="N122" s="271">
        <f>N125+N128+N131</f>
        <v>1335833.8803</v>
      </c>
      <c r="O122" s="271"/>
      <c r="P122" s="271"/>
      <c r="Q122" s="271">
        <f>Q125+Q128+Q131</f>
        <v>1369054.9503000001</v>
      </c>
      <c r="R122" s="271"/>
      <c r="S122" s="271">
        <f>S125+S128+S131</f>
        <v>5305546.0938</v>
      </c>
      <c r="T122" s="94"/>
      <c r="U122" s="95"/>
      <c r="V122" s="96"/>
      <c r="W122" s="95"/>
    </row>
    <row r="123" spans="1:23" ht="43.5" customHeight="1">
      <c r="A123" s="274"/>
      <c r="B123" s="547"/>
      <c r="C123" s="548"/>
      <c r="D123" s="549"/>
      <c r="E123" s="310" t="s">
        <v>70</v>
      </c>
      <c r="F123" s="282"/>
      <c r="G123" s="293">
        <f>G126+G129+G132</f>
        <v>3225.73</v>
      </c>
      <c r="H123" s="293">
        <f>H126+H129+H132</f>
        <v>129416.28759999998</v>
      </c>
      <c r="I123" s="293"/>
      <c r="J123" s="293">
        <f>J126+J129+J132</f>
        <v>3273.73</v>
      </c>
      <c r="K123" s="293">
        <f>K126+K129+K132</f>
        <v>131342.0476</v>
      </c>
      <c r="L123" s="293"/>
      <c r="M123" s="293">
        <f>M126+M129+M132</f>
        <v>3293.73</v>
      </c>
      <c r="N123" s="293">
        <f>N126+N129+N132</f>
        <v>139028.3433</v>
      </c>
      <c r="O123" s="293"/>
      <c r="P123" s="293">
        <f>P126+P129+P132</f>
        <v>3275.73</v>
      </c>
      <c r="Q123" s="293">
        <f>Q126+Q129+Q132</f>
        <v>138268.5633</v>
      </c>
      <c r="R123" s="293">
        <f>G123+J123+M123+P123</f>
        <v>13068.92</v>
      </c>
      <c r="S123" s="293">
        <f>H123+K123+N123+Q123</f>
        <v>538055.2418</v>
      </c>
      <c r="U123" s="12"/>
      <c r="V123" s="11"/>
      <c r="W123" s="12"/>
    </row>
    <row r="124" spans="1:23" ht="43.5" customHeight="1">
      <c r="A124" s="274"/>
      <c r="B124" s="547"/>
      <c r="C124" s="548"/>
      <c r="D124" s="549"/>
      <c r="E124" s="310" t="s">
        <v>75</v>
      </c>
      <c r="F124" s="282"/>
      <c r="G124" s="293">
        <f>G127+G130+G133</f>
        <v>180.1</v>
      </c>
      <c r="H124" s="293">
        <f>H127+H130+H133</f>
        <v>1163489.224</v>
      </c>
      <c r="I124" s="293"/>
      <c r="J124" s="293">
        <f>J127+J130+J133</f>
        <v>182.1</v>
      </c>
      <c r="K124" s="293">
        <f>K127+K130+K133</f>
        <v>1176409.704</v>
      </c>
      <c r="L124" s="293"/>
      <c r="M124" s="293">
        <f>M127+M130+M133</f>
        <v>176.1</v>
      </c>
      <c r="N124" s="293">
        <f>N127+N130+N133</f>
        <v>1196805.537</v>
      </c>
      <c r="O124" s="293"/>
      <c r="P124" s="293">
        <f>P127+P130+P133</f>
        <v>181.1</v>
      </c>
      <c r="Q124" s="293">
        <f>Q127+Q130+Q133</f>
        <v>1230786.387</v>
      </c>
      <c r="R124" s="293">
        <f>G124+J124+M124+P124</f>
        <v>719.4</v>
      </c>
      <c r="S124" s="293">
        <f>H124+K124+N124+Q124</f>
        <v>4767490.852</v>
      </c>
      <c r="U124" s="12"/>
      <c r="V124" s="11"/>
      <c r="W124" s="12"/>
    </row>
    <row r="125" spans="1:23" ht="45" customHeight="1">
      <c r="A125" s="274"/>
      <c r="B125" s="536" t="s">
        <v>73</v>
      </c>
      <c r="C125" s="537"/>
      <c r="D125" s="538"/>
      <c r="E125" s="311"/>
      <c r="F125" s="282"/>
      <c r="G125" s="277"/>
      <c r="H125" s="277">
        <f>H126+H127</f>
        <v>20704.68</v>
      </c>
      <c r="I125" s="277"/>
      <c r="J125" s="277"/>
      <c r="K125" s="277">
        <f>K126+K127</f>
        <v>14164.199999999999</v>
      </c>
      <c r="L125" s="277"/>
      <c r="M125" s="277"/>
      <c r="N125" s="277">
        <f>N126+N127</f>
        <v>8104.68</v>
      </c>
      <c r="O125" s="277"/>
      <c r="P125" s="277"/>
      <c r="Q125" s="277">
        <f>Q126+Q127</f>
        <v>21781.440000000002</v>
      </c>
      <c r="R125" s="277"/>
      <c r="S125" s="277">
        <f>S126+S127</f>
        <v>64755.00000000001</v>
      </c>
      <c r="U125" s="12"/>
      <c r="V125" s="11"/>
      <c r="W125" s="12"/>
    </row>
    <row r="126" spans="1:23" ht="50.25" customHeight="1">
      <c r="A126" s="274"/>
      <c r="B126" s="539"/>
      <c r="C126" s="540"/>
      <c r="D126" s="541"/>
      <c r="E126" s="306" t="s">
        <v>70</v>
      </c>
      <c r="F126" s="282"/>
      <c r="G126" s="277">
        <v>33</v>
      </c>
      <c r="H126" s="277">
        <f>G126*H145</f>
        <v>1323.9599999999998</v>
      </c>
      <c r="I126" s="277"/>
      <c r="J126" s="277">
        <v>31</v>
      </c>
      <c r="K126" s="277">
        <f>J126*H145</f>
        <v>1243.72</v>
      </c>
      <c r="L126" s="277"/>
      <c r="M126" s="277">
        <v>31</v>
      </c>
      <c r="N126" s="277">
        <f>M126*J145</f>
        <v>1308.51</v>
      </c>
      <c r="O126" s="277"/>
      <c r="P126" s="277">
        <v>33</v>
      </c>
      <c r="Q126" s="277">
        <f>P126*J145</f>
        <v>1392.93</v>
      </c>
      <c r="R126" s="277">
        <f>G126+J126+M126+P126</f>
        <v>128</v>
      </c>
      <c r="S126" s="277">
        <f>H126+K126+N126+Q126</f>
        <v>5269.12</v>
      </c>
      <c r="U126" s="12"/>
      <c r="V126" s="11"/>
      <c r="W126" s="12"/>
    </row>
    <row r="127" spans="1:23" ht="48" customHeight="1">
      <c r="A127" s="274"/>
      <c r="B127" s="539"/>
      <c r="C127" s="540"/>
      <c r="D127" s="541"/>
      <c r="E127" s="306" t="s">
        <v>2</v>
      </c>
      <c r="F127" s="282"/>
      <c r="G127" s="277">
        <v>3</v>
      </c>
      <c r="H127" s="277">
        <f>G127*H147</f>
        <v>19380.72</v>
      </c>
      <c r="I127" s="277"/>
      <c r="J127" s="277">
        <v>2</v>
      </c>
      <c r="K127" s="277">
        <f>J127*H147</f>
        <v>12920.48</v>
      </c>
      <c r="L127" s="277"/>
      <c r="M127" s="277">
        <v>1</v>
      </c>
      <c r="N127" s="277">
        <f>M127*J147</f>
        <v>6796.17</v>
      </c>
      <c r="O127" s="277"/>
      <c r="P127" s="277">
        <v>3</v>
      </c>
      <c r="Q127" s="277">
        <f>P127*J147</f>
        <v>20388.510000000002</v>
      </c>
      <c r="R127" s="277">
        <f>G127+J127+M127+P127</f>
        <v>9</v>
      </c>
      <c r="S127" s="277">
        <f>H127+K127+N127+Q127</f>
        <v>59485.880000000005</v>
      </c>
      <c r="U127" s="12"/>
      <c r="V127" s="11"/>
      <c r="W127" s="12"/>
    </row>
    <row r="128" spans="1:23" ht="46.5" customHeight="1">
      <c r="A128" s="274"/>
      <c r="B128" s="536" t="s">
        <v>55</v>
      </c>
      <c r="C128" s="537"/>
      <c r="D128" s="538"/>
      <c r="E128" s="311"/>
      <c r="F128" s="282"/>
      <c r="G128" s="277"/>
      <c r="H128" s="277">
        <f>H129+H130</f>
        <v>49233.68</v>
      </c>
      <c r="I128" s="277"/>
      <c r="J128" s="277"/>
      <c r="K128" s="277">
        <f>K129+K130</f>
        <v>70620.4</v>
      </c>
      <c r="L128" s="277"/>
      <c r="M128" s="277"/>
      <c r="N128" s="277">
        <f>N129+N130</f>
        <v>41156.549999999996</v>
      </c>
      <c r="O128" s="277"/>
      <c r="P128" s="277"/>
      <c r="Q128" s="277">
        <f>Q129+Q130</f>
        <v>60700.86</v>
      </c>
      <c r="R128" s="277"/>
      <c r="S128" s="277">
        <f>S129+S130</f>
        <v>221711.49</v>
      </c>
      <c r="U128" s="12"/>
      <c r="V128" s="11"/>
      <c r="W128" s="12"/>
    </row>
    <row r="129" spans="1:23" ht="52.5" customHeight="1">
      <c r="A129" s="274"/>
      <c r="B129" s="539"/>
      <c r="C129" s="540"/>
      <c r="D129" s="541"/>
      <c r="E129" s="306" t="s">
        <v>70</v>
      </c>
      <c r="F129" s="282"/>
      <c r="G129" s="277">
        <v>100</v>
      </c>
      <c r="H129" s="277">
        <f>G129*H145</f>
        <v>4011.9999999999995</v>
      </c>
      <c r="I129" s="277"/>
      <c r="J129" s="277">
        <v>150</v>
      </c>
      <c r="K129" s="277">
        <f>J129*H145</f>
        <v>6018</v>
      </c>
      <c r="L129" s="277"/>
      <c r="M129" s="277">
        <v>170</v>
      </c>
      <c r="N129" s="277">
        <f>M129*J145</f>
        <v>7175.7</v>
      </c>
      <c r="O129" s="277"/>
      <c r="P129" s="277">
        <v>150</v>
      </c>
      <c r="Q129" s="277">
        <f>P129*J145</f>
        <v>6331.5</v>
      </c>
      <c r="R129" s="277">
        <f>G129+J129+M129+P129</f>
        <v>570</v>
      </c>
      <c r="S129" s="277">
        <f>H129+K129+N129+Q129</f>
        <v>23537.2</v>
      </c>
      <c r="T129" s="67" t="s">
        <v>82</v>
      </c>
      <c r="U129" s="12"/>
      <c r="V129" s="11"/>
      <c r="W129" s="12"/>
    </row>
    <row r="130" spans="1:23" ht="44.25" customHeight="1">
      <c r="A130" s="274"/>
      <c r="B130" s="539"/>
      <c r="C130" s="540"/>
      <c r="D130" s="541"/>
      <c r="E130" s="306" t="s">
        <v>2</v>
      </c>
      <c r="F130" s="282"/>
      <c r="G130" s="277">
        <v>7</v>
      </c>
      <c r="H130" s="277">
        <f>G130*H148</f>
        <v>45221.68</v>
      </c>
      <c r="I130" s="277"/>
      <c r="J130" s="277">
        <v>10</v>
      </c>
      <c r="K130" s="277">
        <f>J130*H148</f>
        <v>64602.399999999994</v>
      </c>
      <c r="L130" s="277"/>
      <c r="M130" s="277">
        <v>5</v>
      </c>
      <c r="N130" s="277">
        <f>M130*J148</f>
        <v>33980.85</v>
      </c>
      <c r="O130" s="277"/>
      <c r="P130" s="277">
        <v>8</v>
      </c>
      <c r="Q130" s="277">
        <f>P130*J148</f>
        <v>54369.36</v>
      </c>
      <c r="R130" s="277">
        <f>G130+J130+M130+P130</f>
        <v>30</v>
      </c>
      <c r="S130" s="277">
        <f>H130+K130+N130+Q130</f>
        <v>198174.28999999998</v>
      </c>
      <c r="U130" s="12"/>
      <c r="V130" s="11"/>
      <c r="W130" s="12"/>
    </row>
    <row r="131" spans="1:23" ht="51.75" customHeight="1">
      <c r="A131" s="274"/>
      <c r="B131" s="366" t="s">
        <v>91</v>
      </c>
      <c r="C131" s="406"/>
      <c r="D131" s="407"/>
      <c r="E131" s="311"/>
      <c r="F131" s="282"/>
      <c r="G131" s="277"/>
      <c r="H131" s="277">
        <f>SUM(H132:H133)</f>
        <v>1222967.1516</v>
      </c>
      <c r="I131" s="277"/>
      <c r="J131" s="277"/>
      <c r="K131" s="277">
        <f>SUM(K132:K133)</f>
        <v>1222967.1516</v>
      </c>
      <c r="L131" s="277"/>
      <c r="M131" s="277"/>
      <c r="N131" s="277">
        <f>SUM(N132:N133)</f>
        <v>1286572.6503</v>
      </c>
      <c r="O131" s="277"/>
      <c r="P131" s="277"/>
      <c r="Q131" s="277">
        <f>SUM(Q132:Q133)</f>
        <v>1286572.6503</v>
      </c>
      <c r="R131" s="277"/>
      <c r="S131" s="277">
        <f>SUM(S132:S133)</f>
        <v>5019079.6038</v>
      </c>
      <c r="U131" s="12"/>
      <c r="V131" s="11"/>
      <c r="W131" s="12"/>
    </row>
    <row r="132" spans="1:23" ht="46.5" customHeight="1">
      <c r="A132" s="274"/>
      <c r="B132" s="320"/>
      <c r="C132" s="320"/>
      <c r="D132" s="321"/>
      <c r="E132" s="306" t="s">
        <v>70</v>
      </c>
      <c r="F132" s="282"/>
      <c r="G132" s="277">
        <v>3092.73</v>
      </c>
      <c r="H132" s="277">
        <f>SUM(G132)*H145</f>
        <v>124080.32759999999</v>
      </c>
      <c r="I132" s="277"/>
      <c r="J132" s="277">
        <v>3092.73</v>
      </c>
      <c r="K132" s="277">
        <f>SUM(J132)*H145</f>
        <v>124080.32759999999</v>
      </c>
      <c r="L132" s="277"/>
      <c r="M132" s="277">
        <v>3092.73</v>
      </c>
      <c r="N132" s="277">
        <f>SUM(M132)*J145</f>
        <v>130544.1333</v>
      </c>
      <c r="O132" s="277"/>
      <c r="P132" s="277">
        <v>3092.73</v>
      </c>
      <c r="Q132" s="277">
        <f>SUM(P132)*J145</f>
        <v>130544.1333</v>
      </c>
      <c r="R132" s="277">
        <f>SUM(G132)+J132+M132+P132</f>
        <v>12370.92</v>
      </c>
      <c r="S132" s="277">
        <f>SUM(H132)+K132+N132+Q132</f>
        <v>509248.92179999995</v>
      </c>
      <c r="U132" s="12"/>
      <c r="V132" s="11"/>
      <c r="W132" s="12"/>
    </row>
    <row r="133" spans="1:23" ht="48" customHeight="1">
      <c r="A133" s="274"/>
      <c r="B133" s="536"/>
      <c r="C133" s="537"/>
      <c r="D133" s="538"/>
      <c r="E133" s="306" t="s">
        <v>2</v>
      </c>
      <c r="F133" s="282"/>
      <c r="G133" s="277">
        <v>170.1</v>
      </c>
      <c r="H133" s="277">
        <f>SUM(G133)*H147</f>
        <v>1098886.824</v>
      </c>
      <c r="I133" s="277"/>
      <c r="J133" s="277">
        <v>170.1</v>
      </c>
      <c r="K133" s="277">
        <f>SUM(J133)*H147</f>
        <v>1098886.824</v>
      </c>
      <c r="L133" s="277"/>
      <c r="M133" s="277">
        <v>170.1</v>
      </c>
      <c r="N133" s="277">
        <f>SUM(M133)*J147</f>
        <v>1156028.517</v>
      </c>
      <c r="O133" s="277"/>
      <c r="P133" s="277">
        <v>170.1</v>
      </c>
      <c r="Q133" s="277">
        <f>SUM(P133)*J147</f>
        <v>1156028.517</v>
      </c>
      <c r="R133" s="277">
        <f>SUM(G133)+J133+M133+P133</f>
        <v>680.4</v>
      </c>
      <c r="S133" s="277">
        <f>SUM(H133)+K133+N133+Q133</f>
        <v>4509830.682</v>
      </c>
      <c r="U133" s="12"/>
      <c r="V133" s="11"/>
      <c r="W133" s="12"/>
    </row>
    <row r="134" spans="1:23" ht="48" customHeight="1">
      <c r="A134" s="322">
        <v>7</v>
      </c>
      <c r="B134" s="408" t="s">
        <v>96</v>
      </c>
      <c r="C134" s="409"/>
      <c r="D134" s="410"/>
      <c r="E134" s="323" t="s">
        <v>84</v>
      </c>
      <c r="F134" s="324"/>
      <c r="G134" s="325"/>
      <c r="H134" s="325">
        <f>H137+H140</f>
        <v>5873.5292</v>
      </c>
      <c r="I134" s="325"/>
      <c r="J134" s="325"/>
      <c r="K134" s="325">
        <f>K137+K140</f>
        <v>5227.9156</v>
      </c>
      <c r="L134" s="325"/>
      <c r="M134" s="325"/>
      <c r="N134" s="325">
        <f>N137+N140</f>
        <v>5796.9801</v>
      </c>
      <c r="O134" s="325"/>
      <c r="P134" s="325"/>
      <c r="Q134" s="325">
        <f>Q137+Q140</f>
        <v>6246.9603</v>
      </c>
      <c r="R134" s="325"/>
      <c r="S134" s="325">
        <f>S137+S140</f>
        <v>23145.385199999997</v>
      </c>
      <c r="U134" s="12"/>
      <c r="V134" s="11"/>
      <c r="W134" s="12"/>
    </row>
    <row r="135" spans="1:23" ht="48" customHeight="1">
      <c r="A135" s="322"/>
      <c r="B135" s="326"/>
      <c r="C135" s="327"/>
      <c r="D135" s="328"/>
      <c r="E135" s="306" t="s">
        <v>70</v>
      </c>
      <c r="F135" s="282"/>
      <c r="G135" s="277">
        <f>G138+G141</f>
        <v>12.75</v>
      </c>
      <c r="H135" s="277">
        <f aca="true" t="shared" si="14" ref="H135:Q136">H138+H141</f>
        <v>511.53</v>
      </c>
      <c r="I135" s="277">
        <f t="shared" si="14"/>
        <v>0</v>
      </c>
      <c r="J135" s="277">
        <f t="shared" si="14"/>
        <v>11.15</v>
      </c>
      <c r="K135" s="277">
        <f t="shared" si="14"/>
        <v>447.33799999999997</v>
      </c>
      <c r="L135" s="277">
        <f t="shared" si="14"/>
        <v>0</v>
      </c>
      <c r="M135" s="277">
        <f t="shared" si="14"/>
        <v>11.75</v>
      </c>
      <c r="N135" s="277">
        <f t="shared" si="14"/>
        <v>495.9675</v>
      </c>
      <c r="O135" s="277">
        <f t="shared" si="14"/>
        <v>0</v>
      </c>
      <c r="P135" s="277">
        <f t="shared" si="14"/>
        <v>12.75</v>
      </c>
      <c r="Q135" s="277">
        <f t="shared" si="14"/>
        <v>538.1775</v>
      </c>
      <c r="R135" s="277">
        <f aca="true" t="shared" si="15" ref="R135:S142">SUM(G135)+J135+M135+P135</f>
        <v>48.4</v>
      </c>
      <c r="S135" s="277">
        <f t="shared" si="15"/>
        <v>1993.013</v>
      </c>
      <c r="U135" s="12"/>
      <c r="V135" s="11"/>
      <c r="W135" s="12"/>
    </row>
    <row r="136" spans="1:23" ht="48" customHeight="1">
      <c r="A136" s="322"/>
      <c r="B136" s="326"/>
      <c r="C136" s="327"/>
      <c r="D136" s="328"/>
      <c r="E136" s="306" t="s">
        <v>75</v>
      </c>
      <c r="F136" s="282"/>
      <c r="G136" s="277">
        <f>G139+G142</f>
        <v>0.83</v>
      </c>
      <c r="H136" s="277">
        <f t="shared" si="14"/>
        <v>5361.9992</v>
      </c>
      <c r="I136" s="277">
        <f t="shared" si="14"/>
        <v>0</v>
      </c>
      <c r="J136" s="277">
        <f t="shared" si="14"/>
        <v>0.74</v>
      </c>
      <c r="K136" s="277">
        <f t="shared" si="14"/>
        <v>4780.5776000000005</v>
      </c>
      <c r="L136" s="277">
        <f t="shared" si="14"/>
        <v>0</v>
      </c>
      <c r="M136" s="277">
        <f t="shared" si="14"/>
        <v>0.78</v>
      </c>
      <c r="N136" s="277">
        <f t="shared" si="14"/>
        <v>5301.0126</v>
      </c>
      <c r="O136" s="277">
        <f t="shared" si="14"/>
        <v>0</v>
      </c>
      <c r="P136" s="277">
        <f t="shared" si="14"/>
        <v>0.84</v>
      </c>
      <c r="Q136" s="277">
        <f t="shared" si="14"/>
        <v>5708.7828</v>
      </c>
      <c r="R136" s="277">
        <f t="shared" si="15"/>
        <v>3.1899999999999995</v>
      </c>
      <c r="S136" s="277">
        <f t="shared" si="15"/>
        <v>21152.3722</v>
      </c>
      <c r="U136" s="12"/>
      <c r="V136" s="11"/>
      <c r="W136" s="12"/>
    </row>
    <row r="137" spans="1:23" ht="48" customHeight="1">
      <c r="A137" s="322"/>
      <c r="B137" s="366" t="s">
        <v>97</v>
      </c>
      <c r="C137" s="406"/>
      <c r="D137" s="407"/>
      <c r="E137" s="306"/>
      <c r="F137" s="282"/>
      <c r="G137" s="277"/>
      <c r="H137" s="277">
        <f>SUM(H138:H139)</f>
        <v>790.8664</v>
      </c>
      <c r="I137" s="277"/>
      <c r="J137" s="277"/>
      <c r="K137" s="277">
        <f>SUM(K138:K139)</f>
        <v>145.2528</v>
      </c>
      <c r="L137" s="277"/>
      <c r="M137" s="277"/>
      <c r="N137" s="277">
        <f>SUM(N138:N139)</f>
        <v>449.98019999999997</v>
      </c>
      <c r="O137" s="277"/>
      <c r="P137" s="277"/>
      <c r="Q137" s="277">
        <f>SUM(Q138:Q139)</f>
        <v>899.9603999999999</v>
      </c>
      <c r="R137" s="277"/>
      <c r="S137" s="277">
        <f t="shared" si="15"/>
        <v>2286.0598</v>
      </c>
      <c r="U137" s="12"/>
      <c r="V137" s="11"/>
      <c r="W137" s="12"/>
    </row>
    <row r="138" spans="1:23" ht="48" customHeight="1">
      <c r="A138" s="322"/>
      <c r="B138" s="329"/>
      <c r="C138" s="330"/>
      <c r="D138" s="331"/>
      <c r="E138" s="306" t="s">
        <v>70</v>
      </c>
      <c r="F138" s="282"/>
      <c r="G138" s="277">
        <v>2</v>
      </c>
      <c r="H138" s="277">
        <f>SUM(G138)*H145</f>
        <v>80.24</v>
      </c>
      <c r="I138" s="277"/>
      <c r="J138" s="277">
        <v>0.4</v>
      </c>
      <c r="K138" s="277">
        <f>SUM(J138)*H145</f>
        <v>16.048</v>
      </c>
      <c r="L138" s="277"/>
      <c r="M138" s="277">
        <v>1</v>
      </c>
      <c r="N138" s="277">
        <f>SUM(M138)*J145</f>
        <v>42.21</v>
      </c>
      <c r="O138" s="277"/>
      <c r="P138" s="277">
        <v>2</v>
      </c>
      <c r="Q138" s="277">
        <f>SUM(P138)*J145</f>
        <v>84.42</v>
      </c>
      <c r="R138" s="277">
        <f t="shared" si="15"/>
        <v>5.4</v>
      </c>
      <c r="S138" s="277">
        <f t="shared" si="15"/>
        <v>222.918</v>
      </c>
      <c r="U138" s="12"/>
      <c r="V138" s="11"/>
      <c r="W138" s="12"/>
    </row>
    <row r="139" spans="1:23" ht="48" customHeight="1">
      <c r="A139" s="322"/>
      <c r="B139" s="329"/>
      <c r="C139" s="330"/>
      <c r="D139" s="331"/>
      <c r="E139" s="306" t="s">
        <v>2</v>
      </c>
      <c r="F139" s="282"/>
      <c r="G139" s="277">
        <v>0.11</v>
      </c>
      <c r="H139" s="277">
        <f>SUM(G139)*H147</f>
        <v>710.6264</v>
      </c>
      <c r="I139" s="277"/>
      <c r="J139" s="277">
        <v>0.02</v>
      </c>
      <c r="K139" s="277">
        <f>SUM(J139)*H147</f>
        <v>129.2048</v>
      </c>
      <c r="L139" s="277"/>
      <c r="M139" s="277">
        <v>0.06</v>
      </c>
      <c r="N139" s="277">
        <f>SUM(M139)*J147</f>
        <v>407.7702</v>
      </c>
      <c r="O139" s="277"/>
      <c r="P139" s="277">
        <v>0.12</v>
      </c>
      <c r="Q139" s="277">
        <f>SUM(P139)*J147</f>
        <v>815.5404</v>
      </c>
      <c r="R139" s="277">
        <f t="shared" si="15"/>
        <v>0.31</v>
      </c>
      <c r="S139" s="277">
        <f t="shared" si="15"/>
        <v>2063.1418</v>
      </c>
      <c r="U139" s="12"/>
      <c r="V139" s="11"/>
      <c r="W139" s="12"/>
    </row>
    <row r="140" spans="1:23" ht="48" customHeight="1">
      <c r="A140" s="322"/>
      <c r="B140" s="366" t="s">
        <v>98</v>
      </c>
      <c r="C140" s="406"/>
      <c r="D140" s="407"/>
      <c r="E140" s="306"/>
      <c r="F140" s="282"/>
      <c r="G140" s="277"/>
      <c r="H140" s="277">
        <f>SUM(H141:H142)</f>
        <v>5082.6628</v>
      </c>
      <c r="I140" s="277"/>
      <c r="J140" s="277"/>
      <c r="K140" s="277">
        <f>SUM(K141:K142)</f>
        <v>5082.6628</v>
      </c>
      <c r="L140" s="277"/>
      <c r="M140" s="277"/>
      <c r="N140" s="277">
        <f>SUM(N141:N142)</f>
        <v>5346.9999</v>
      </c>
      <c r="O140" s="277"/>
      <c r="P140" s="277"/>
      <c r="Q140" s="277">
        <f>SUM(Q141:Q142)</f>
        <v>5346.9999</v>
      </c>
      <c r="R140" s="277"/>
      <c r="S140" s="277">
        <f t="shared" si="15"/>
        <v>20859.325399999998</v>
      </c>
      <c r="U140" s="12"/>
      <c r="V140" s="11"/>
      <c r="W140" s="12"/>
    </row>
    <row r="141" spans="1:23" ht="48" customHeight="1">
      <c r="A141" s="322"/>
      <c r="B141" s="329"/>
      <c r="C141" s="330"/>
      <c r="D141" s="331"/>
      <c r="E141" s="306" t="s">
        <v>70</v>
      </c>
      <c r="F141" s="282"/>
      <c r="G141" s="277">
        <v>10.75</v>
      </c>
      <c r="H141" s="277">
        <f>SUM(G141)*H145</f>
        <v>431.28999999999996</v>
      </c>
      <c r="I141" s="277"/>
      <c r="J141" s="277">
        <v>10.75</v>
      </c>
      <c r="K141" s="277">
        <f>SUM(J141)*H145</f>
        <v>431.28999999999996</v>
      </c>
      <c r="L141" s="277"/>
      <c r="M141" s="277">
        <v>10.75</v>
      </c>
      <c r="N141" s="277">
        <f>SUM(M141)*J145</f>
        <v>453.7575</v>
      </c>
      <c r="O141" s="277"/>
      <c r="P141" s="277">
        <v>10.75</v>
      </c>
      <c r="Q141" s="277">
        <f>SUM(P141)*J145</f>
        <v>453.7575</v>
      </c>
      <c r="R141" s="277">
        <f t="shared" si="15"/>
        <v>43</v>
      </c>
      <c r="S141" s="277">
        <f t="shared" si="15"/>
        <v>1770.0949999999998</v>
      </c>
      <c r="U141" s="12"/>
      <c r="V141" s="11"/>
      <c r="W141" s="12"/>
    </row>
    <row r="142" spans="1:23" ht="48" customHeight="1">
      <c r="A142" s="322"/>
      <c r="B142" s="329"/>
      <c r="C142" s="330"/>
      <c r="D142" s="331"/>
      <c r="E142" s="306" t="s">
        <v>2</v>
      </c>
      <c r="F142" s="282"/>
      <c r="G142" s="277">
        <v>0.72</v>
      </c>
      <c r="H142" s="277">
        <f>SUM(G142)*H147</f>
        <v>4651.3728</v>
      </c>
      <c r="I142" s="277"/>
      <c r="J142" s="277">
        <v>0.72</v>
      </c>
      <c r="K142" s="277">
        <f>SUM(J142)*H147</f>
        <v>4651.3728</v>
      </c>
      <c r="L142" s="277"/>
      <c r="M142" s="277">
        <v>0.72</v>
      </c>
      <c r="N142" s="277">
        <f>SUM(M142)*J147</f>
        <v>4893.2424</v>
      </c>
      <c r="O142" s="277"/>
      <c r="P142" s="277">
        <v>0.72</v>
      </c>
      <c r="Q142" s="277">
        <f>SUM(P142)*J147</f>
        <v>4893.2424</v>
      </c>
      <c r="R142" s="277">
        <f t="shared" si="15"/>
        <v>2.88</v>
      </c>
      <c r="S142" s="277">
        <f t="shared" si="15"/>
        <v>19089.2304</v>
      </c>
      <c r="U142" s="12"/>
      <c r="V142" s="11"/>
      <c r="W142" s="12"/>
    </row>
    <row r="143" spans="1:23" ht="57" customHeight="1">
      <c r="A143" s="332"/>
      <c r="B143" s="542" t="s">
        <v>19</v>
      </c>
      <c r="C143" s="542"/>
      <c r="D143" s="542"/>
      <c r="E143" s="333"/>
      <c r="F143" s="274">
        <f>SUM(F70:F104)</f>
        <v>1552.1</v>
      </c>
      <c r="G143" s="293"/>
      <c r="H143" s="334">
        <f>H70+H73+H94+H103+H107+H122+H134</f>
        <v>1808048.69779</v>
      </c>
      <c r="I143" s="293">
        <f>SUM(I70:I104)</f>
        <v>0</v>
      </c>
      <c r="J143" s="293">
        <f>J70+J73+J94+J103+J107+J122</f>
        <v>0</v>
      </c>
      <c r="K143" s="293">
        <f>K70+K73+K94+K103+K107+K122+K134</f>
        <v>1848625.6562200002</v>
      </c>
      <c r="L143" s="293">
        <f>SUM(L70:L104)</f>
        <v>0</v>
      </c>
      <c r="M143" s="293">
        <f>M70+M73+M94+M103+M107+M122</f>
        <v>0</v>
      </c>
      <c r="N143" s="293">
        <f>N70+N73+N94+N103+N107+N122+N134</f>
        <v>1741870.86433</v>
      </c>
      <c r="O143" s="293">
        <f>SUM(O70:O104)</f>
        <v>0</v>
      </c>
      <c r="P143" s="293">
        <f>P70+P73+P94+P103+P107+P122</f>
        <v>0</v>
      </c>
      <c r="Q143" s="293">
        <f>Q70+Q73+Q94+Q103+Q107+Q122+Q134</f>
        <v>2022603.2772400002</v>
      </c>
      <c r="R143" s="293">
        <f>R70+R73+R94+R103+R107+R122</f>
        <v>0</v>
      </c>
      <c r="S143" s="293">
        <f>S70+S73+S94+S103+S107+S122+S134</f>
        <v>7421148.49558</v>
      </c>
      <c r="U143" s="12"/>
      <c r="V143" s="12"/>
      <c r="W143" s="12"/>
    </row>
    <row r="144" spans="1:23" ht="57" customHeight="1">
      <c r="A144" s="335"/>
      <c r="B144" s="543" t="s">
        <v>8</v>
      </c>
      <c r="C144" s="544"/>
      <c r="D144" s="545"/>
      <c r="E144" s="336"/>
      <c r="F144" s="546" t="s">
        <v>129</v>
      </c>
      <c r="G144" s="546"/>
      <c r="H144" s="546"/>
      <c r="I144" s="546"/>
      <c r="J144" s="546"/>
      <c r="K144" s="546"/>
      <c r="L144" s="546"/>
      <c r="M144" s="546"/>
      <c r="N144" s="546"/>
      <c r="O144" s="546"/>
      <c r="P144" s="546"/>
      <c r="Q144" s="546"/>
      <c r="R144" s="546"/>
      <c r="S144" s="546"/>
      <c r="U144" s="12"/>
      <c r="V144" s="12"/>
      <c r="W144" s="12"/>
    </row>
    <row r="145" spans="1:20" s="12" customFormat="1" ht="24.75" customHeight="1">
      <c r="A145" s="337"/>
      <c r="B145" s="338"/>
      <c r="C145" s="338"/>
      <c r="D145" s="338"/>
      <c r="E145" s="338"/>
      <c r="F145" s="339" t="s">
        <v>18</v>
      </c>
      <c r="G145" s="339" t="s">
        <v>18</v>
      </c>
      <c r="H145" s="340">
        <v>40.12</v>
      </c>
      <c r="I145" s="340" t="s">
        <v>16</v>
      </c>
      <c r="J145" s="340">
        <v>42.21</v>
      </c>
      <c r="K145" s="341"/>
      <c r="L145" s="341"/>
      <c r="M145" s="341"/>
      <c r="N145" s="341"/>
      <c r="O145" s="341"/>
      <c r="P145" s="341"/>
      <c r="Q145" s="341"/>
      <c r="R145" s="341"/>
      <c r="S145" s="341"/>
      <c r="T145" s="169"/>
    </row>
    <row r="146" spans="1:20" s="12" customFormat="1" ht="55.5" customHeight="1">
      <c r="A146" s="337"/>
      <c r="B146" s="338"/>
      <c r="C146" s="338"/>
      <c r="D146" s="338"/>
      <c r="E146" s="338"/>
      <c r="F146" s="339" t="s">
        <v>13</v>
      </c>
      <c r="G146" s="339" t="s">
        <v>32</v>
      </c>
      <c r="H146" s="340">
        <v>64.55</v>
      </c>
      <c r="I146" s="340"/>
      <c r="J146" s="340">
        <v>67.91</v>
      </c>
      <c r="K146" s="341"/>
      <c r="L146" s="341"/>
      <c r="M146" s="342" t="s">
        <v>78</v>
      </c>
      <c r="N146" s="341" t="s">
        <v>79</v>
      </c>
      <c r="O146" s="341"/>
      <c r="P146" s="341" t="s">
        <v>13</v>
      </c>
      <c r="Q146" s="341"/>
      <c r="R146" s="341"/>
      <c r="S146" s="341"/>
      <c r="T146" s="169"/>
    </row>
    <row r="147" spans="1:20" s="12" customFormat="1" ht="24" customHeight="1">
      <c r="A147" s="337"/>
      <c r="B147" s="338"/>
      <c r="C147" s="338"/>
      <c r="D147" s="338"/>
      <c r="E147" s="338"/>
      <c r="F147" s="339"/>
      <c r="G147" s="339"/>
      <c r="H147" s="343">
        <v>6460.24</v>
      </c>
      <c r="I147" s="343"/>
      <c r="J147" s="343">
        <v>6796.17</v>
      </c>
      <c r="K147" s="341"/>
      <c r="L147" s="341"/>
      <c r="M147" s="341" t="s">
        <v>80</v>
      </c>
      <c r="N147" s="341">
        <v>0.06054</v>
      </c>
      <c r="O147" s="341"/>
      <c r="P147" s="341">
        <v>0.05688</v>
      </c>
      <c r="Q147" s="344"/>
      <c r="R147" s="344"/>
      <c r="S147" s="345"/>
      <c r="T147" s="169"/>
    </row>
    <row r="148" spans="1:20" s="12" customFormat="1" ht="21" customHeight="1">
      <c r="A148" s="337"/>
      <c r="B148" s="338"/>
      <c r="C148" s="338"/>
      <c r="D148" s="338"/>
      <c r="E148" s="338"/>
      <c r="F148" s="339"/>
      <c r="G148" s="339"/>
      <c r="H148" s="343">
        <v>6460.24</v>
      </c>
      <c r="I148" s="343"/>
      <c r="J148" s="343">
        <v>6796.17</v>
      </c>
      <c r="K148" s="341"/>
      <c r="L148" s="341"/>
      <c r="M148" s="341" t="s">
        <v>81</v>
      </c>
      <c r="N148" s="341">
        <v>0.06054</v>
      </c>
      <c r="O148" s="341"/>
      <c r="P148" s="341">
        <v>0.05688</v>
      </c>
      <c r="Q148" s="535"/>
      <c r="R148" s="535"/>
      <c r="S148" s="535"/>
      <c r="T148" s="169"/>
    </row>
    <row r="149" spans="1:20" s="12" customFormat="1" ht="15" customHeight="1">
      <c r="A149" s="190"/>
      <c r="B149" s="191"/>
      <c r="C149" s="191"/>
      <c r="D149" s="191"/>
      <c r="E149" s="191"/>
      <c r="F149" s="181"/>
      <c r="G149" s="181"/>
      <c r="H149" s="195"/>
      <c r="I149" s="195"/>
      <c r="J149" s="195"/>
      <c r="K149" s="193"/>
      <c r="L149" s="193"/>
      <c r="M149" s="193"/>
      <c r="N149" s="193"/>
      <c r="O149" s="193"/>
      <c r="P149" s="193"/>
      <c r="Q149" s="494"/>
      <c r="R149" s="494"/>
      <c r="S149" s="494"/>
      <c r="T149" s="169"/>
    </row>
    <row r="150" spans="1:20" s="12" customFormat="1" ht="13.5" customHeight="1">
      <c r="A150" s="190"/>
      <c r="B150" s="191"/>
      <c r="C150" s="191"/>
      <c r="D150" s="191"/>
      <c r="E150" s="191"/>
      <c r="F150" s="181"/>
      <c r="G150" s="181"/>
      <c r="H150" s="181"/>
      <c r="I150" s="181"/>
      <c r="J150" s="181"/>
      <c r="K150" s="193"/>
      <c r="L150" s="193"/>
      <c r="M150" s="193"/>
      <c r="N150" s="193"/>
      <c r="O150" s="193"/>
      <c r="P150" s="193"/>
      <c r="Q150" s="494"/>
      <c r="R150" s="494"/>
      <c r="S150" s="494"/>
      <c r="T150" s="169"/>
    </row>
    <row r="151" spans="1:20" s="12" customFormat="1" ht="15.75" customHeight="1">
      <c r="A151" s="190"/>
      <c r="B151" s="191"/>
      <c r="C151" s="191"/>
      <c r="D151" s="191"/>
      <c r="E151" s="191"/>
      <c r="F151" s="181"/>
      <c r="G151" s="181"/>
      <c r="H151" s="181"/>
      <c r="I151" s="181"/>
      <c r="J151" s="181"/>
      <c r="K151" s="193"/>
      <c r="L151" s="193"/>
      <c r="M151" s="193"/>
      <c r="N151" s="193"/>
      <c r="O151" s="193"/>
      <c r="P151" s="193"/>
      <c r="Q151" s="193"/>
      <c r="R151" s="193"/>
      <c r="S151" s="193"/>
      <c r="T151" s="169"/>
    </row>
    <row r="152" spans="1:23" ht="26.25" customHeight="1" hidden="1">
      <c r="A152" s="495" t="s">
        <v>62</v>
      </c>
      <c r="B152" s="495"/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  <c r="P152" s="495"/>
      <c r="Q152" s="495"/>
      <c r="R152" s="495"/>
      <c r="S152" s="495"/>
      <c r="U152" s="12"/>
      <c r="V152" s="12"/>
      <c r="W152" s="12"/>
    </row>
    <row r="153" spans="1:19" ht="35.25" hidden="1">
      <c r="A153" s="496" t="s">
        <v>15</v>
      </c>
      <c r="B153" s="497" t="s">
        <v>0</v>
      </c>
      <c r="C153" s="498"/>
      <c r="D153" s="499"/>
      <c r="E153" s="198"/>
      <c r="F153" s="503" t="s">
        <v>1</v>
      </c>
      <c r="G153" s="503"/>
      <c r="H153" s="503"/>
      <c r="I153" s="503" t="s">
        <v>3</v>
      </c>
      <c r="J153" s="503"/>
      <c r="K153" s="503"/>
      <c r="L153" s="503" t="s">
        <v>4</v>
      </c>
      <c r="M153" s="503"/>
      <c r="N153" s="503"/>
      <c r="O153" s="503" t="s">
        <v>6</v>
      </c>
      <c r="P153" s="503"/>
      <c r="Q153" s="503"/>
      <c r="R153" s="503" t="s">
        <v>7</v>
      </c>
      <c r="S153" s="503"/>
    </row>
    <row r="154" spans="1:19" ht="35.25" hidden="1">
      <c r="A154" s="496"/>
      <c r="B154" s="500"/>
      <c r="C154" s="501"/>
      <c r="D154" s="502"/>
      <c r="E154" s="199"/>
      <c r="F154" s="118"/>
      <c r="G154" s="200" t="s">
        <v>10</v>
      </c>
      <c r="H154" s="200" t="s">
        <v>5</v>
      </c>
      <c r="I154" s="200" t="s">
        <v>10</v>
      </c>
      <c r="J154" s="200" t="s">
        <v>10</v>
      </c>
      <c r="K154" s="200" t="s">
        <v>5</v>
      </c>
      <c r="L154" s="200" t="s">
        <v>10</v>
      </c>
      <c r="M154" s="200" t="s">
        <v>10</v>
      </c>
      <c r="N154" s="200" t="s">
        <v>5</v>
      </c>
      <c r="O154" s="200" t="s">
        <v>10</v>
      </c>
      <c r="P154" s="200" t="s">
        <v>10</v>
      </c>
      <c r="Q154" s="200" t="s">
        <v>5</v>
      </c>
      <c r="R154" s="200" t="s">
        <v>10</v>
      </c>
      <c r="S154" s="200" t="s">
        <v>5</v>
      </c>
    </row>
    <row r="155" spans="1:22" ht="32.25" customHeight="1" hidden="1">
      <c r="A155" s="201">
        <v>1</v>
      </c>
      <c r="B155" s="504" t="s">
        <v>33</v>
      </c>
      <c r="C155" s="505"/>
      <c r="D155" s="506"/>
      <c r="E155" s="202"/>
      <c r="F155" s="201">
        <v>14.8</v>
      </c>
      <c r="G155" s="203">
        <v>3.3</v>
      </c>
      <c r="H155" s="203">
        <f>G155*J178</f>
        <v>97.152</v>
      </c>
      <c r="I155" s="203">
        <v>14.8</v>
      </c>
      <c r="J155" s="203">
        <v>3.3</v>
      </c>
      <c r="K155" s="203">
        <f>J155*J178</f>
        <v>97.152</v>
      </c>
      <c r="L155" s="203">
        <v>15</v>
      </c>
      <c r="M155" s="203">
        <v>3.4</v>
      </c>
      <c r="N155" s="203">
        <f>M155*J178</f>
        <v>100.096</v>
      </c>
      <c r="O155" s="203">
        <v>15</v>
      </c>
      <c r="P155" s="203">
        <v>3.3</v>
      </c>
      <c r="Q155" s="203">
        <f>P155*J178</f>
        <v>97.152</v>
      </c>
      <c r="R155" s="203">
        <f>G155+J155+M155+P155</f>
        <v>13.3</v>
      </c>
      <c r="S155" s="203">
        <f>H155+K155+N155+Q155</f>
        <v>391.55199999999996</v>
      </c>
      <c r="T155" s="67" t="s">
        <v>21</v>
      </c>
      <c r="U155" s="13"/>
      <c r="V155" s="13"/>
    </row>
    <row r="156" spans="1:22" ht="32.25" customHeight="1" hidden="1">
      <c r="A156" s="201">
        <v>2</v>
      </c>
      <c r="B156" s="504" t="s">
        <v>41</v>
      </c>
      <c r="C156" s="505"/>
      <c r="D156" s="506"/>
      <c r="E156" s="202"/>
      <c r="F156" s="204"/>
      <c r="G156" s="203">
        <f>G157+G158+G159+G160+G161+G162</f>
        <v>4062.7</v>
      </c>
      <c r="H156" s="203">
        <f>H157+H158+H159+H160+H161+H162</f>
        <v>130684.578</v>
      </c>
      <c r="I156" s="203"/>
      <c r="J156" s="203">
        <f>J157+J158+J159+J160+J161+J162</f>
        <v>3746</v>
      </c>
      <c r="K156" s="203">
        <f>K157+K158+K159+K160+K161+K162</f>
        <v>121933.6</v>
      </c>
      <c r="L156" s="203"/>
      <c r="M156" s="203">
        <f>M157+M158+M159+M160+M161+M162</f>
        <v>3920.1</v>
      </c>
      <c r="N156" s="203">
        <f>N157+N158+N159+N160+N161+N162</f>
        <v>126797.51400000001</v>
      </c>
      <c r="O156" s="203"/>
      <c r="P156" s="203">
        <f>P157+P158+P159+P160+P161+P162</f>
        <v>3955.8</v>
      </c>
      <c r="Q156" s="203">
        <f>Q157+Q158+Q159+Q160+Q161+Q162</f>
        <v>128166.672</v>
      </c>
      <c r="R156" s="203">
        <f>R157+R158+R159+R160+R161+R162</f>
        <v>15684.6</v>
      </c>
      <c r="S156" s="203">
        <f>S157+S158+S159+S160+S161+S162</f>
        <v>507582.364</v>
      </c>
      <c r="U156" s="13"/>
      <c r="V156" s="13"/>
    </row>
    <row r="157" spans="1:22" ht="25.5" customHeight="1" hidden="1">
      <c r="A157" s="201"/>
      <c r="B157" s="507" t="s">
        <v>34</v>
      </c>
      <c r="C157" s="508"/>
      <c r="D157" s="509"/>
      <c r="E157" s="205"/>
      <c r="F157" s="204">
        <v>3068.8</v>
      </c>
      <c r="G157" s="206">
        <v>520</v>
      </c>
      <c r="H157" s="206">
        <f>G157*J178</f>
        <v>15308.800000000001</v>
      </c>
      <c r="I157" s="206">
        <v>2511</v>
      </c>
      <c r="J157" s="206">
        <v>185</v>
      </c>
      <c r="K157" s="206">
        <f>J157*J178</f>
        <v>5446.400000000001</v>
      </c>
      <c r="L157" s="206">
        <v>2511</v>
      </c>
      <c r="M157" s="206">
        <v>590</v>
      </c>
      <c r="N157" s="206">
        <f>M157*J178</f>
        <v>17369.600000000002</v>
      </c>
      <c r="O157" s="206">
        <v>2511</v>
      </c>
      <c r="P157" s="206">
        <v>342</v>
      </c>
      <c r="Q157" s="206">
        <f>P157*J178</f>
        <v>10068.48</v>
      </c>
      <c r="R157" s="206">
        <f aca="true" t="shared" si="16" ref="R157:S163">G157+J157+M157+P157</f>
        <v>1637</v>
      </c>
      <c r="S157" s="206">
        <f t="shared" si="16"/>
        <v>48193.28</v>
      </c>
      <c r="T157" s="67" t="s">
        <v>21</v>
      </c>
      <c r="U157" s="13"/>
      <c r="V157" s="13"/>
    </row>
    <row r="158" spans="1:22" ht="27.75" customHeight="1" hidden="1">
      <c r="A158" s="201"/>
      <c r="B158" s="507" t="s">
        <v>35</v>
      </c>
      <c r="C158" s="508"/>
      <c r="D158" s="509"/>
      <c r="E158" s="205"/>
      <c r="F158" s="204">
        <v>609</v>
      </c>
      <c r="G158" s="206">
        <v>516</v>
      </c>
      <c r="H158" s="206">
        <f>G158*J178</f>
        <v>15191.04</v>
      </c>
      <c r="I158" s="206">
        <v>609</v>
      </c>
      <c r="J158" s="206">
        <v>516</v>
      </c>
      <c r="K158" s="206">
        <f>J158*J178</f>
        <v>15191.04</v>
      </c>
      <c r="L158" s="206">
        <v>609</v>
      </c>
      <c r="M158" s="206">
        <v>516</v>
      </c>
      <c r="N158" s="206">
        <f>M158*J178</f>
        <v>15191.04</v>
      </c>
      <c r="O158" s="206">
        <v>609</v>
      </c>
      <c r="P158" s="206">
        <v>516</v>
      </c>
      <c r="Q158" s="206">
        <f>P158*J178</f>
        <v>15191.04</v>
      </c>
      <c r="R158" s="206">
        <f t="shared" si="16"/>
        <v>2064</v>
      </c>
      <c r="S158" s="206">
        <f t="shared" si="16"/>
        <v>60764.16</v>
      </c>
      <c r="T158" s="67" t="s">
        <v>21</v>
      </c>
      <c r="U158" s="13"/>
      <c r="V158" s="13"/>
    </row>
    <row r="159" spans="1:22" ht="26.25" customHeight="1" hidden="1">
      <c r="A159" s="201"/>
      <c r="B159" s="507" t="s">
        <v>36</v>
      </c>
      <c r="C159" s="508"/>
      <c r="D159" s="509"/>
      <c r="E159" s="205"/>
      <c r="F159" s="204">
        <v>725.1</v>
      </c>
      <c r="G159" s="206">
        <v>616</v>
      </c>
      <c r="H159" s="206">
        <f>G159*J179</f>
        <v>22490.16</v>
      </c>
      <c r="I159" s="206">
        <v>885.2</v>
      </c>
      <c r="J159" s="206">
        <v>752</v>
      </c>
      <c r="K159" s="206">
        <f>J159*J179</f>
        <v>27455.519999999997</v>
      </c>
      <c r="L159" s="206">
        <v>727.3</v>
      </c>
      <c r="M159" s="206">
        <v>618</v>
      </c>
      <c r="N159" s="206">
        <f>M159*J179</f>
        <v>22563.18</v>
      </c>
      <c r="O159" s="206">
        <v>892.61</v>
      </c>
      <c r="P159" s="206">
        <v>759</v>
      </c>
      <c r="Q159" s="206">
        <f>P159*J179</f>
        <v>27711.09</v>
      </c>
      <c r="R159" s="206">
        <f t="shared" si="16"/>
        <v>2745</v>
      </c>
      <c r="S159" s="206">
        <f t="shared" si="16"/>
        <v>100219.94999999998</v>
      </c>
      <c r="T159" s="67" t="s">
        <v>21</v>
      </c>
      <c r="U159" s="13"/>
      <c r="V159" s="13"/>
    </row>
    <row r="160" spans="1:22" ht="24" customHeight="1" hidden="1">
      <c r="A160" s="201"/>
      <c r="B160" s="510" t="s">
        <v>37</v>
      </c>
      <c r="C160" s="510"/>
      <c r="D160" s="510"/>
      <c r="E160" s="207"/>
      <c r="F160" s="204">
        <v>1639</v>
      </c>
      <c r="G160" s="206">
        <v>951</v>
      </c>
      <c r="H160" s="206">
        <f>G160*J179</f>
        <v>34721.009999999995</v>
      </c>
      <c r="I160" s="206">
        <v>1584</v>
      </c>
      <c r="J160" s="206">
        <v>896</v>
      </c>
      <c r="K160" s="206">
        <f>J160*J179</f>
        <v>32712.96</v>
      </c>
      <c r="L160" s="206">
        <v>1344</v>
      </c>
      <c r="M160" s="206">
        <v>993</v>
      </c>
      <c r="N160" s="206">
        <f>M160*J179</f>
        <v>36254.43</v>
      </c>
      <c r="O160" s="206">
        <v>1639</v>
      </c>
      <c r="P160" s="206">
        <v>897</v>
      </c>
      <c r="Q160" s="206">
        <f>P160*J179</f>
        <v>32749.469999999998</v>
      </c>
      <c r="R160" s="206">
        <f t="shared" si="16"/>
        <v>3737</v>
      </c>
      <c r="S160" s="206">
        <f t="shared" si="16"/>
        <v>136437.87</v>
      </c>
      <c r="T160" s="67" t="s">
        <v>21</v>
      </c>
      <c r="U160" s="13"/>
      <c r="V160" s="13"/>
    </row>
    <row r="161" spans="1:22" ht="24.75" customHeight="1" hidden="1">
      <c r="A161" s="201"/>
      <c r="B161" s="510" t="s">
        <v>38</v>
      </c>
      <c r="C161" s="510"/>
      <c r="D161" s="510"/>
      <c r="E161" s="207"/>
      <c r="F161" s="204">
        <v>53.7</v>
      </c>
      <c r="G161" s="206">
        <v>1393</v>
      </c>
      <c r="H161" s="206">
        <f>G161*J178</f>
        <v>41009.92</v>
      </c>
      <c r="I161" s="206">
        <v>43.6</v>
      </c>
      <c r="J161" s="206">
        <v>1346</v>
      </c>
      <c r="K161" s="206">
        <f>J161*J178</f>
        <v>39626.240000000005</v>
      </c>
      <c r="L161" s="206">
        <v>43.8</v>
      </c>
      <c r="M161" s="206">
        <v>1142</v>
      </c>
      <c r="N161" s="206">
        <f>M161*J178</f>
        <v>33620.48</v>
      </c>
      <c r="O161" s="206">
        <v>43.8</v>
      </c>
      <c r="P161" s="206">
        <v>1393</v>
      </c>
      <c r="Q161" s="206">
        <f>P161*J178</f>
        <v>41009.92</v>
      </c>
      <c r="R161" s="206">
        <f t="shared" si="16"/>
        <v>5274</v>
      </c>
      <c r="S161" s="206">
        <f t="shared" si="16"/>
        <v>155266.56</v>
      </c>
      <c r="T161" s="67" t="s">
        <v>21</v>
      </c>
      <c r="U161" s="13"/>
      <c r="V161" s="13"/>
    </row>
    <row r="162" spans="1:22" ht="54.75" customHeight="1" hidden="1">
      <c r="A162" s="201"/>
      <c r="B162" s="510" t="s">
        <v>39</v>
      </c>
      <c r="C162" s="510"/>
      <c r="D162" s="510"/>
      <c r="E162" s="207"/>
      <c r="F162" s="204">
        <v>51</v>
      </c>
      <c r="G162" s="206">
        <v>66.7</v>
      </c>
      <c r="H162" s="206">
        <f>G162*J178</f>
        <v>1963.6480000000001</v>
      </c>
      <c r="I162" s="206">
        <v>48</v>
      </c>
      <c r="J162" s="206">
        <v>51</v>
      </c>
      <c r="K162" s="206">
        <f>J162*J178</f>
        <v>1501.44</v>
      </c>
      <c r="L162" s="206">
        <v>48</v>
      </c>
      <c r="M162" s="206">
        <v>61.1</v>
      </c>
      <c r="N162" s="206">
        <f>M162*J178</f>
        <v>1798.784</v>
      </c>
      <c r="O162" s="206">
        <v>51</v>
      </c>
      <c r="P162" s="206">
        <v>48.8</v>
      </c>
      <c r="Q162" s="206">
        <f>P162*J178</f>
        <v>1436.672</v>
      </c>
      <c r="R162" s="206">
        <f t="shared" si="16"/>
        <v>227.60000000000002</v>
      </c>
      <c r="S162" s="206">
        <f t="shared" si="16"/>
        <v>6700.544</v>
      </c>
      <c r="T162" s="67" t="s">
        <v>21</v>
      </c>
      <c r="U162" s="13"/>
      <c r="V162" s="13"/>
    </row>
    <row r="163" spans="1:22" ht="24" customHeight="1" hidden="1">
      <c r="A163" s="201">
        <v>3</v>
      </c>
      <c r="B163" s="504" t="s">
        <v>42</v>
      </c>
      <c r="C163" s="505"/>
      <c r="D163" s="506"/>
      <c r="E163" s="202"/>
      <c r="F163" s="204">
        <v>76.86</v>
      </c>
      <c r="G163" s="203">
        <v>201</v>
      </c>
      <c r="H163" s="203">
        <f>G163*J178</f>
        <v>5917.4400000000005</v>
      </c>
      <c r="I163" s="203">
        <v>76.86</v>
      </c>
      <c r="J163" s="203">
        <v>201</v>
      </c>
      <c r="K163" s="203">
        <f>J163*J178</f>
        <v>5917.4400000000005</v>
      </c>
      <c r="L163" s="203">
        <v>76.86</v>
      </c>
      <c r="M163" s="203">
        <v>201</v>
      </c>
      <c r="N163" s="203">
        <f>M163*J178</f>
        <v>5917.4400000000005</v>
      </c>
      <c r="O163" s="203">
        <v>76.86</v>
      </c>
      <c r="P163" s="203">
        <v>201</v>
      </c>
      <c r="Q163" s="203">
        <f>P163*J178</f>
        <v>5917.4400000000005</v>
      </c>
      <c r="R163" s="203">
        <f t="shared" si="16"/>
        <v>804</v>
      </c>
      <c r="S163" s="203">
        <f t="shared" si="16"/>
        <v>23669.760000000002</v>
      </c>
      <c r="T163" s="67" t="s">
        <v>21</v>
      </c>
      <c r="U163" s="13"/>
      <c r="V163" s="13"/>
    </row>
    <row r="164" spans="1:22" ht="30.75" customHeight="1" hidden="1">
      <c r="A164" s="201">
        <v>4</v>
      </c>
      <c r="B164" s="504" t="s">
        <v>43</v>
      </c>
      <c r="C164" s="505"/>
      <c r="D164" s="506"/>
      <c r="E164" s="202"/>
      <c r="F164" s="204">
        <v>172</v>
      </c>
      <c r="G164" s="203">
        <f>G165</f>
        <v>23.4</v>
      </c>
      <c r="H164" s="203">
        <f>H165</f>
        <v>688.896</v>
      </c>
      <c r="I164" s="203"/>
      <c r="J164" s="203">
        <f>J165</f>
        <v>23.4</v>
      </c>
      <c r="K164" s="203">
        <f>K165</f>
        <v>688.896</v>
      </c>
      <c r="L164" s="203"/>
      <c r="M164" s="203">
        <f>M165</f>
        <v>23.4</v>
      </c>
      <c r="N164" s="203">
        <f>N165</f>
        <v>688.896</v>
      </c>
      <c r="O164" s="203"/>
      <c r="P164" s="203">
        <f>P165</f>
        <v>23.1</v>
      </c>
      <c r="Q164" s="203">
        <f>Q165</f>
        <v>680.0640000000001</v>
      </c>
      <c r="R164" s="203">
        <f>R165</f>
        <v>93.29999999999998</v>
      </c>
      <c r="S164" s="203">
        <f>S165</f>
        <v>2746.7520000000004</v>
      </c>
      <c r="T164" s="67" t="s">
        <v>21</v>
      </c>
      <c r="U164" s="13"/>
      <c r="V164" s="13"/>
    </row>
    <row r="165" spans="1:22" ht="30.75" customHeight="1" hidden="1">
      <c r="A165" s="201"/>
      <c r="B165" s="507" t="s">
        <v>44</v>
      </c>
      <c r="C165" s="508"/>
      <c r="D165" s="509"/>
      <c r="E165" s="205"/>
      <c r="F165" s="204"/>
      <c r="G165" s="206">
        <v>23.4</v>
      </c>
      <c r="H165" s="206">
        <f>G165*J178</f>
        <v>688.896</v>
      </c>
      <c r="I165" s="206"/>
      <c r="J165" s="206">
        <v>23.4</v>
      </c>
      <c r="K165" s="206">
        <f>J165*J178</f>
        <v>688.896</v>
      </c>
      <c r="L165" s="206"/>
      <c r="M165" s="206">
        <v>23.4</v>
      </c>
      <c r="N165" s="206">
        <f>M165*J178</f>
        <v>688.896</v>
      </c>
      <c r="O165" s="206"/>
      <c r="P165" s="206">
        <v>23.1</v>
      </c>
      <c r="Q165" s="206">
        <f>P165*J178</f>
        <v>680.0640000000001</v>
      </c>
      <c r="R165" s="206">
        <f>G165+J165+M165+P165</f>
        <v>93.29999999999998</v>
      </c>
      <c r="S165" s="206">
        <f>H165+K165+N165+Q165</f>
        <v>2746.7520000000004</v>
      </c>
      <c r="U165" s="13"/>
      <c r="V165" s="13"/>
    </row>
    <row r="166" spans="1:22" ht="30.75" customHeight="1" hidden="1">
      <c r="A166" s="201">
        <v>5</v>
      </c>
      <c r="B166" s="504" t="s">
        <v>47</v>
      </c>
      <c r="C166" s="505"/>
      <c r="D166" s="506"/>
      <c r="E166" s="202"/>
      <c r="F166" s="204"/>
      <c r="G166" s="203">
        <f>G167+G168+G169+G170+G171+G172</f>
        <v>127.91</v>
      </c>
      <c r="H166" s="203">
        <f>H167+H168+H169+H170+H171+H172</f>
        <v>3854.7524000000003</v>
      </c>
      <c r="I166" s="203"/>
      <c r="J166" s="203">
        <f>J167+J168+J169+J171+J172+J170</f>
        <v>122.46000000000001</v>
      </c>
      <c r="K166" s="203">
        <f>K167+K168+K169+K170+K171+K172</f>
        <v>3672.3874</v>
      </c>
      <c r="L166" s="203"/>
      <c r="M166" s="203">
        <f>M167+M168+M169+M170+M171+M172</f>
        <v>110.28999999999999</v>
      </c>
      <c r="N166" s="203">
        <f>N167+N168+N169+N170+N171+N172</f>
        <v>3314.1026</v>
      </c>
      <c r="O166" s="203"/>
      <c r="P166" s="203">
        <f>P167+P168+P169+P170+P171+P172</f>
        <v>122.81</v>
      </c>
      <c r="Q166" s="203">
        <f>Q167+Q168+Q169+Q170+Q171+Q172</f>
        <v>3701.0734</v>
      </c>
      <c r="R166" s="203">
        <f>R167+R168+R169+R170+R171+R172</f>
        <v>483.46999999999997</v>
      </c>
      <c r="S166" s="203">
        <f>S167+S168+S169+S170+S171+S172</f>
        <v>14542.3158</v>
      </c>
      <c r="U166" s="13"/>
      <c r="V166" s="13"/>
    </row>
    <row r="167" spans="1:22" ht="30.75" customHeight="1" hidden="1">
      <c r="A167" s="201"/>
      <c r="B167" s="507" t="s">
        <v>48</v>
      </c>
      <c r="C167" s="508"/>
      <c r="D167" s="509"/>
      <c r="E167" s="205"/>
      <c r="F167" s="204"/>
      <c r="G167" s="206">
        <v>7.71</v>
      </c>
      <c r="H167" s="206">
        <f>G167*J178</f>
        <v>226.9824</v>
      </c>
      <c r="I167" s="206"/>
      <c r="J167" s="206">
        <v>6.36</v>
      </c>
      <c r="K167" s="206">
        <f>J167*J178</f>
        <v>187.2384</v>
      </c>
      <c r="L167" s="206"/>
      <c r="M167" s="206">
        <v>3.69</v>
      </c>
      <c r="N167" s="206">
        <f>M167*J178</f>
        <v>108.6336</v>
      </c>
      <c r="O167" s="206"/>
      <c r="P167" s="206">
        <v>6.11</v>
      </c>
      <c r="Q167" s="206">
        <f>P167*J178</f>
        <v>179.87840000000003</v>
      </c>
      <c r="R167" s="206">
        <f aca="true" t="shared" si="17" ref="R167:S172">G167+J167+M167+P167</f>
        <v>23.87</v>
      </c>
      <c r="S167" s="206">
        <f t="shared" si="17"/>
        <v>702.7328000000001</v>
      </c>
      <c r="U167" s="13"/>
      <c r="V167" s="13"/>
    </row>
    <row r="168" spans="1:22" ht="30.75" customHeight="1" hidden="1">
      <c r="A168" s="201"/>
      <c r="B168" s="507" t="s">
        <v>49</v>
      </c>
      <c r="C168" s="508"/>
      <c r="D168" s="509"/>
      <c r="E168" s="205"/>
      <c r="F168" s="204"/>
      <c r="G168" s="206">
        <v>40</v>
      </c>
      <c r="H168" s="206">
        <f>G168*J178</f>
        <v>1177.6000000000001</v>
      </c>
      <c r="I168" s="206"/>
      <c r="J168" s="206">
        <v>40</v>
      </c>
      <c r="K168" s="206">
        <f>J168*J178</f>
        <v>1177.6000000000001</v>
      </c>
      <c r="L168" s="206"/>
      <c r="M168" s="206">
        <v>40</v>
      </c>
      <c r="N168" s="206">
        <f>M168*J178</f>
        <v>1177.6000000000001</v>
      </c>
      <c r="O168" s="206"/>
      <c r="P168" s="206">
        <v>40</v>
      </c>
      <c r="Q168" s="206">
        <f>P168*J178</f>
        <v>1177.6000000000001</v>
      </c>
      <c r="R168" s="206">
        <f t="shared" si="17"/>
        <v>160</v>
      </c>
      <c r="S168" s="206">
        <f t="shared" si="17"/>
        <v>4710.400000000001</v>
      </c>
      <c r="U168" s="13"/>
      <c r="V168" s="13"/>
    </row>
    <row r="169" spans="1:22" ht="30.75" customHeight="1" hidden="1">
      <c r="A169" s="201"/>
      <c r="B169" s="507" t="s">
        <v>50</v>
      </c>
      <c r="C169" s="508"/>
      <c r="D169" s="509"/>
      <c r="E169" s="205"/>
      <c r="F169" s="204"/>
      <c r="G169" s="206">
        <v>27.6</v>
      </c>
      <c r="H169" s="208">
        <f>G169*J178</f>
        <v>812.5440000000001</v>
      </c>
      <c r="I169" s="206"/>
      <c r="J169" s="206">
        <v>27.6</v>
      </c>
      <c r="K169" s="206">
        <f>J169*J178</f>
        <v>812.5440000000001</v>
      </c>
      <c r="L169" s="206"/>
      <c r="M169" s="206">
        <v>27.6</v>
      </c>
      <c r="N169" s="206">
        <f>M169*J178</f>
        <v>812.5440000000001</v>
      </c>
      <c r="O169" s="206"/>
      <c r="P169" s="206">
        <v>27.6</v>
      </c>
      <c r="Q169" s="206">
        <f>P169*J178</f>
        <v>812.5440000000001</v>
      </c>
      <c r="R169" s="206">
        <f t="shared" si="17"/>
        <v>110.4</v>
      </c>
      <c r="S169" s="206">
        <f t="shared" si="17"/>
        <v>3250.1760000000004</v>
      </c>
      <c r="U169" s="13"/>
      <c r="V169" s="13"/>
    </row>
    <row r="170" spans="1:22" ht="30.75" customHeight="1" hidden="1">
      <c r="A170" s="201"/>
      <c r="B170" s="510" t="s">
        <v>40</v>
      </c>
      <c r="C170" s="510"/>
      <c r="D170" s="510"/>
      <c r="E170" s="207"/>
      <c r="F170" s="204"/>
      <c r="G170" s="206">
        <v>40</v>
      </c>
      <c r="H170" s="206">
        <f>G170*J178</f>
        <v>1177.6000000000001</v>
      </c>
      <c r="I170" s="206"/>
      <c r="J170" s="206">
        <v>39</v>
      </c>
      <c r="K170" s="206">
        <f>J170*J178</f>
        <v>1148.16</v>
      </c>
      <c r="L170" s="206"/>
      <c r="M170" s="206">
        <v>29.5</v>
      </c>
      <c r="N170" s="206">
        <f>M170*J178</f>
        <v>868.48</v>
      </c>
      <c r="O170" s="206"/>
      <c r="P170" s="206">
        <v>37</v>
      </c>
      <c r="Q170" s="206">
        <f>P170*J178</f>
        <v>1089.28</v>
      </c>
      <c r="R170" s="206">
        <f t="shared" si="17"/>
        <v>145.5</v>
      </c>
      <c r="S170" s="206">
        <f t="shared" si="17"/>
        <v>4283.52</v>
      </c>
      <c r="U170" s="13"/>
      <c r="V170" s="13"/>
    </row>
    <row r="171" spans="1:22" ht="30.75" customHeight="1" hidden="1">
      <c r="A171" s="201"/>
      <c r="B171" s="510" t="s">
        <v>51</v>
      </c>
      <c r="C171" s="510"/>
      <c r="D171" s="510"/>
      <c r="E171" s="207"/>
      <c r="F171" s="204"/>
      <c r="G171" s="206">
        <v>4.6</v>
      </c>
      <c r="H171" s="206">
        <f>G171*J179</f>
        <v>167.94599999999997</v>
      </c>
      <c r="I171" s="206"/>
      <c r="J171" s="206">
        <v>1.5</v>
      </c>
      <c r="K171" s="206">
        <f>J171*J179</f>
        <v>54.765</v>
      </c>
      <c r="L171" s="206"/>
      <c r="M171" s="206">
        <v>1.5</v>
      </c>
      <c r="N171" s="206">
        <f>M171*J179</f>
        <v>54.765</v>
      </c>
      <c r="O171" s="206"/>
      <c r="P171" s="206">
        <v>4.1</v>
      </c>
      <c r="Q171" s="206">
        <f>P171*J179</f>
        <v>149.69099999999997</v>
      </c>
      <c r="R171" s="206">
        <f t="shared" si="17"/>
        <v>11.7</v>
      </c>
      <c r="S171" s="206">
        <f t="shared" si="17"/>
        <v>427.1669999999999</v>
      </c>
      <c r="U171" s="13"/>
      <c r="V171" s="13"/>
    </row>
    <row r="172" spans="1:22" ht="30.75" customHeight="1" hidden="1">
      <c r="A172" s="201"/>
      <c r="B172" s="510" t="s">
        <v>52</v>
      </c>
      <c r="C172" s="510"/>
      <c r="D172" s="510"/>
      <c r="E172" s="207"/>
      <c r="F172" s="204"/>
      <c r="G172" s="206">
        <v>8</v>
      </c>
      <c r="H172" s="206">
        <f>G172*J179</f>
        <v>292.08</v>
      </c>
      <c r="I172" s="206"/>
      <c r="J172" s="206">
        <v>8</v>
      </c>
      <c r="K172" s="206">
        <f>J172*J179</f>
        <v>292.08</v>
      </c>
      <c r="L172" s="206"/>
      <c r="M172" s="206">
        <v>8</v>
      </c>
      <c r="N172" s="206">
        <f>M172*J179</f>
        <v>292.08</v>
      </c>
      <c r="O172" s="206"/>
      <c r="P172" s="206">
        <v>8</v>
      </c>
      <c r="Q172" s="206">
        <f>P172*J179</f>
        <v>292.08</v>
      </c>
      <c r="R172" s="206">
        <f t="shared" si="17"/>
        <v>32</v>
      </c>
      <c r="S172" s="206">
        <f t="shared" si="17"/>
        <v>1168.32</v>
      </c>
      <c r="U172" s="13"/>
      <c r="V172" s="13"/>
    </row>
    <row r="173" spans="1:22" ht="30.75" customHeight="1" hidden="1">
      <c r="A173" s="201">
        <v>6</v>
      </c>
      <c r="B173" s="504" t="s">
        <v>53</v>
      </c>
      <c r="C173" s="505"/>
      <c r="D173" s="506"/>
      <c r="E173" s="202"/>
      <c r="F173" s="204"/>
      <c r="G173" s="203">
        <f>G174+G175</f>
        <v>428.14000000000004</v>
      </c>
      <c r="H173" s="203">
        <f>H174+H175</f>
        <v>12604.4416</v>
      </c>
      <c r="I173" s="203"/>
      <c r="J173" s="203">
        <f>J174+J175</f>
        <v>444.5</v>
      </c>
      <c r="K173" s="203">
        <f>K174+K175</f>
        <v>13086.08</v>
      </c>
      <c r="L173" s="203"/>
      <c r="M173" s="203">
        <f>M174+M175</f>
        <v>216.12</v>
      </c>
      <c r="N173" s="203">
        <f>N174+N175</f>
        <v>6362.5728</v>
      </c>
      <c r="O173" s="203"/>
      <c r="P173" s="203">
        <f>P174+P175</f>
        <v>423.71000000000004</v>
      </c>
      <c r="Q173" s="203">
        <f>Q174+Q175</f>
        <v>12474.022400000002</v>
      </c>
      <c r="R173" s="203">
        <f>R174+R175</f>
        <v>1512.47</v>
      </c>
      <c r="S173" s="203">
        <f>S174+S175</f>
        <v>44527.1168</v>
      </c>
      <c r="U173" s="13"/>
      <c r="V173" s="13"/>
    </row>
    <row r="174" spans="1:22" ht="30.75" customHeight="1" hidden="1">
      <c r="A174" s="204"/>
      <c r="B174" s="507" t="s">
        <v>54</v>
      </c>
      <c r="C174" s="508"/>
      <c r="D174" s="509"/>
      <c r="E174" s="205"/>
      <c r="F174" s="204"/>
      <c r="G174" s="206">
        <v>27.6</v>
      </c>
      <c r="H174" s="206">
        <f>G174*J178</f>
        <v>812.5440000000001</v>
      </c>
      <c r="I174" s="206"/>
      <c r="J174" s="206">
        <v>44.5</v>
      </c>
      <c r="K174" s="206">
        <f>J174*J178</f>
        <v>1310.0800000000002</v>
      </c>
      <c r="L174" s="206"/>
      <c r="M174" s="206">
        <v>74.6</v>
      </c>
      <c r="N174" s="206">
        <f>M174*J178</f>
        <v>2196.2239999999997</v>
      </c>
      <c r="O174" s="206"/>
      <c r="P174" s="206">
        <v>23.1</v>
      </c>
      <c r="Q174" s="206">
        <f>P174*J178</f>
        <v>680.0640000000001</v>
      </c>
      <c r="R174" s="206">
        <f>G174+J174+M174+P174</f>
        <v>169.79999999999998</v>
      </c>
      <c r="S174" s="206">
        <f>H174+K174+N174+Q174</f>
        <v>4998.912</v>
      </c>
      <c r="U174" s="13"/>
      <c r="V174" s="13"/>
    </row>
    <row r="175" spans="1:22" ht="30.75" customHeight="1" hidden="1">
      <c r="A175" s="204"/>
      <c r="B175" s="507" t="s">
        <v>55</v>
      </c>
      <c r="C175" s="508"/>
      <c r="D175" s="509"/>
      <c r="E175" s="205"/>
      <c r="F175" s="204"/>
      <c r="G175" s="206">
        <v>400.54</v>
      </c>
      <c r="H175" s="206">
        <f>G175*J178</f>
        <v>11791.8976</v>
      </c>
      <c r="I175" s="206"/>
      <c r="J175" s="206">
        <v>400</v>
      </c>
      <c r="K175" s="206">
        <f>J175*J178</f>
        <v>11776</v>
      </c>
      <c r="L175" s="206"/>
      <c r="M175" s="206">
        <v>141.52</v>
      </c>
      <c r="N175" s="206">
        <f>M175*J178</f>
        <v>4166.348800000001</v>
      </c>
      <c r="O175" s="206"/>
      <c r="P175" s="206">
        <v>400.61</v>
      </c>
      <c r="Q175" s="206">
        <f>P175*J178</f>
        <v>11793.958400000001</v>
      </c>
      <c r="R175" s="206">
        <f>G175+J175+M175+P175</f>
        <v>1342.67</v>
      </c>
      <c r="S175" s="206">
        <f>H175+K175+N175+Q175</f>
        <v>39528.2048</v>
      </c>
      <c r="U175" s="13"/>
      <c r="V175" s="13"/>
    </row>
    <row r="176" spans="1:23" ht="35.25" hidden="1">
      <c r="A176" s="209"/>
      <c r="B176" s="511" t="s">
        <v>19</v>
      </c>
      <c r="C176" s="512"/>
      <c r="D176" s="513"/>
      <c r="E176" s="210"/>
      <c r="F176" s="201" t="e">
        <f>F155+#REF!+#REF!+F157+F158+F159+#REF!+F160+F161+F162+F163+F164+#REF!</f>
        <v>#REF!</v>
      </c>
      <c r="G176" s="203">
        <f>G155+G156+G163+G164+G166+G173</f>
        <v>4846.45</v>
      </c>
      <c r="H176" s="203">
        <f>H155+H156+H163+H164+H166+H173</f>
        <v>153847.25999999998</v>
      </c>
      <c r="I176" s="203" t="e">
        <f>I155+I157+I158+I159+#REF!+I160+I161+I162+I163+I164</f>
        <v>#REF!</v>
      </c>
      <c r="J176" s="203">
        <f>J155+J156+J163+J164+J166+J173</f>
        <v>4540.66</v>
      </c>
      <c r="K176" s="203">
        <f>K155+K156+K163+K164+K166+K173</f>
        <v>145395.55539999998</v>
      </c>
      <c r="L176" s="203" t="e">
        <f>L155+L157+L158+L159+#REF!+L160+L161+L162+L163+L164</f>
        <v>#REF!</v>
      </c>
      <c r="M176" s="203">
        <f>M155+M156+M163+M164+M166+M173</f>
        <v>4474.3099999999995</v>
      </c>
      <c r="N176" s="203">
        <f>N155+N156+N163+N164+N166+N173</f>
        <v>143180.62140000003</v>
      </c>
      <c r="O176" s="203" t="e">
        <f>O155+O157+O158+O159+#REF!+O160+O161+O162+O163+O164</f>
        <v>#REF!</v>
      </c>
      <c r="P176" s="203">
        <f>P155+P156+P163+P164+P166+P173</f>
        <v>4729.720000000001</v>
      </c>
      <c r="Q176" s="203">
        <f>Q155+Q156+Q163+Q164+Q166+Q173</f>
        <v>151036.4238</v>
      </c>
      <c r="R176" s="203">
        <f>R155+R156+R163+R164+R166+R173</f>
        <v>18591.140000000003</v>
      </c>
      <c r="S176" s="203">
        <f>S155+S156+S163+S164+S166+S173</f>
        <v>593459.8605999999</v>
      </c>
      <c r="U176" s="12"/>
      <c r="V176" s="12"/>
      <c r="W176" s="12"/>
    </row>
    <row r="177" spans="1:23" ht="35.25" hidden="1">
      <c r="A177" s="209"/>
      <c r="B177" s="514" t="s">
        <v>17</v>
      </c>
      <c r="C177" s="514"/>
      <c r="D177" s="514"/>
      <c r="E177" s="211"/>
      <c r="F177" s="496" t="s">
        <v>60</v>
      </c>
      <c r="G177" s="496"/>
      <c r="H177" s="496"/>
      <c r="I177" s="496"/>
      <c r="J177" s="496"/>
      <c r="K177" s="496"/>
      <c r="L177" s="496"/>
      <c r="M177" s="496"/>
      <c r="N177" s="496"/>
      <c r="O177" s="496"/>
      <c r="P177" s="496"/>
      <c r="Q177" s="496"/>
      <c r="R177" s="496"/>
      <c r="S177" s="496"/>
      <c r="U177" s="12"/>
      <c r="V177" s="12"/>
      <c r="W177" s="12"/>
    </row>
    <row r="178" spans="1:23" ht="25.5" customHeight="1" hidden="1">
      <c r="A178" s="181"/>
      <c r="B178" s="181"/>
      <c r="C178" s="181"/>
      <c r="D178" s="181"/>
      <c r="E178" s="181"/>
      <c r="F178" s="181"/>
      <c r="G178" s="181"/>
      <c r="H178" s="184" t="s">
        <v>12</v>
      </c>
      <c r="I178" s="184"/>
      <c r="J178" s="184">
        <v>29.44</v>
      </c>
      <c r="K178" s="184"/>
      <c r="L178" s="181"/>
      <c r="M178" s="181"/>
      <c r="N178" s="181"/>
      <c r="O178" s="181"/>
      <c r="P178" s="181"/>
      <c r="Q178" s="181"/>
      <c r="R178" s="181"/>
      <c r="S178" s="181"/>
      <c r="U178" s="12"/>
      <c r="V178" s="12"/>
      <c r="W178" s="12"/>
    </row>
    <row r="179" spans="1:23" ht="33" customHeight="1" hidden="1">
      <c r="A179" s="181"/>
      <c r="B179" s="181"/>
      <c r="C179" s="181"/>
      <c r="D179" s="181"/>
      <c r="E179" s="181"/>
      <c r="F179" s="181"/>
      <c r="G179" s="181"/>
      <c r="H179" s="184" t="s">
        <v>13</v>
      </c>
      <c r="I179" s="184"/>
      <c r="J179" s="184">
        <v>36.51</v>
      </c>
      <c r="K179" s="184"/>
      <c r="L179" s="181"/>
      <c r="M179" s="181"/>
      <c r="N179" s="181"/>
      <c r="O179" s="181"/>
      <c r="P179" s="181"/>
      <c r="Q179" s="196"/>
      <c r="R179" s="196"/>
      <c r="S179" s="181"/>
      <c r="U179" s="12"/>
      <c r="V179" s="12"/>
      <c r="W179" s="12"/>
    </row>
    <row r="180" spans="1:23" ht="34.5" customHeight="1" hidden="1">
      <c r="A180" s="495" t="s">
        <v>63</v>
      </c>
      <c r="B180" s="495"/>
      <c r="C180" s="495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  <c r="P180" s="495"/>
      <c r="Q180" s="495"/>
      <c r="R180" s="495"/>
      <c r="S180" s="495"/>
      <c r="U180" s="12"/>
      <c r="V180" s="12"/>
      <c r="W180" s="12"/>
    </row>
    <row r="181" spans="1:23" ht="35.25" hidden="1">
      <c r="A181" s="496" t="s">
        <v>15</v>
      </c>
      <c r="B181" s="497" t="s">
        <v>0</v>
      </c>
      <c r="C181" s="498"/>
      <c r="D181" s="499"/>
      <c r="E181" s="198"/>
      <c r="F181" s="503" t="s">
        <v>1</v>
      </c>
      <c r="G181" s="503"/>
      <c r="H181" s="503"/>
      <c r="I181" s="503" t="s">
        <v>3</v>
      </c>
      <c r="J181" s="503"/>
      <c r="K181" s="503"/>
      <c r="L181" s="503" t="s">
        <v>4</v>
      </c>
      <c r="M181" s="503"/>
      <c r="N181" s="503"/>
      <c r="O181" s="503" t="s">
        <v>6</v>
      </c>
      <c r="P181" s="503"/>
      <c r="Q181" s="503"/>
      <c r="R181" s="503" t="s">
        <v>7</v>
      </c>
      <c r="S181" s="503"/>
      <c r="U181" s="12"/>
      <c r="V181" s="12"/>
      <c r="W181" s="12"/>
    </row>
    <row r="182" spans="1:23" ht="35.25" hidden="1">
      <c r="A182" s="496"/>
      <c r="B182" s="500"/>
      <c r="C182" s="501"/>
      <c r="D182" s="502"/>
      <c r="E182" s="212"/>
      <c r="F182" s="200" t="s">
        <v>10</v>
      </c>
      <c r="G182" s="200" t="s">
        <v>10</v>
      </c>
      <c r="H182" s="200" t="s">
        <v>5</v>
      </c>
      <c r="I182" s="200" t="s">
        <v>10</v>
      </c>
      <c r="J182" s="200" t="s">
        <v>10</v>
      </c>
      <c r="K182" s="200" t="s">
        <v>5</v>
      </c>
      <c r="L182" s="200" t="s">
        <v>10</v>
      </c>
      <c r="M182" s="200" t="s">
        <v>10</v>
      </c>
      <c r="N182" s="200" t="s">
        <v>5</v>
      </c>
      <c r="O182" s="200" t="s">
        <v>10</v>
      </c>
      <c r="P182" s="200" t="s">
        <v>10</v>
      </c>
      <c r="Q182" s="200" t="s">
        <v>5</v>
      </c>
      <c r="R182" s="200" t="s">
        <v>10</v>
      </c>
      <c r="S182" s="200" t="s">
        <v>5</v>
      </c>
      <c r="U182" s="12"/>
      <c r="V182" s="12"/>
      <c r="W182" s="12"/>
    </row>
    <row r="183" spans="1:23" ht="25.5" customHeight="1" hidden="1">
      <c r="A183" s="201">
        <v>1</v>
      </c>
      <c r="B183" s="504" t="s">
        <v>33</v>
      </c>
      <c r="C183" s="505"/>
      <c r="D183" s="506"/>
      <c r="E183" s="202"/>
      <c r="F183" s="204">
        <v>17.5</v>
      </c>
      <c r="G183" s="203">
        <v>12.3</v>
      </c>
      <c r="H183" s="203">
        <f>G183*J206</f>
        <v>457.068</v>
      </c>
      <c r="I183" s="203">
        <v>17.5</v>
      </c>
      <c r="J183" s="203">
        <v>8.3</v>
      </c>
      <c r="K183" s="203">
        <f>J183*J206</f>
        <v>308.428</v>
      </c>
      <c r="L183" s="203">
        <v>17.5</v>
      </c>
      <c r="M183" s="203">
        <v>5.4</v>
      </c>
      <c r="N183" s="203">
        <f>M183*K206</f>
        <v>207.9</v>
      </c>
      <c r="O183" s="203">
        <v>17.5</v>
      </c>
      <c r="P183" s="203">
        <v>11.3</v>
      </c>
      <c r="Q183" s="203">
        <f>P183*K206</f>
        <v>435.05</v>
      </c>
      <c r="R183" s="203">
        <f>G183+J183+M183+P183</f>
        <v>37.3</v>
      </c>
      <c r="S183" s="203">
        <f>H183+K183+N183+Q183</f>
        <v>1408.446</v>
      </c>
      <c r="T183" s="67" t="s">
        <v>21</v>
      </c>
      <c r="U183" s="11">
        <f>41.08*P183</f>
        <v>464.204</v>
      </c>
      <c r="V183" s="11">
        <f>H183+K183+N183+Q183</f>
        <v>1408.446</v>
      </c>
      <c r="W183" s="12">
        <f aca="true" t="shared" si="18" ref="W183:W192">G183+J183+M183+P183</f>
        <v>37.3</v>
      </c>
    </row>
    <row r="184" spans="1:23" ht="25.5" customHeight="1" hidden="1">
      <c r="A184" s="201">
        <v>2</v>
      </c>
      <c r="B184" s="504" t="s">
        <v>41</v>
      </c>
      <c r="C184" s="505"/>
      <c r="D184" s="506"/>
      <c r="E184" s="202"/>
      <c r="F184" s="204"/>
      <c r="G184" s="203">
        <f>G185+G186+G187+G188+G189+G190</f>
        <v>5188.679999999999</v>
      </c>
      <c r="H184" s="203">
        <f>H185+H186+H188+H189+H190+H187</f>
        <v>136057.8288</v>
      </c>
      <c r="I184" s="203"/>
      <c r="J184" s="203">
        <f>J185+J186+J187+J188+J189+J190</f>
        <v>4597.45</v>
      </c>
      <c r="K184" s="203">
        <f>K185+K186+K187+K188+K189+K190</f>
        <v>119534.57199999999</v>
      </c>
      <c r="L184" s="203"/>
      <c r="M184" s="203">
        <f>M185+M186+M187+M188+M189+M190</f>
        <v>4948.61</v>
      </c>
      <c r="N184" s="203">
        <f>N185+N186+N187+N188+N189+N190</f>
        <v>134143.28500000003</v>
      </c>
      <c r="O184" s="203"/>
      <c r="P184" s="203">
        <f>P185+P186+P187+P188+P189+P190</f>
        <v>4697.63</v>
      </c>
      <c r="Q184" s="203">
        <f>Q185+Q186+Q187+Q188+Q189+Q190</f>
        <v>125820.235</v>
      </c>
      <c r="R184" s="203">
        <f>R185+R186+R188+R189+R190+R187</f>
        <v>19432.370000000003</v>
      </c>
      <c r="S184" s="203">
        <f>S185+S186+S187+S188+S189+S190</f>
        <v>515555.92079999996</v>
      </c>
      <c r="U184" s="11"/>
      <c r="V184" s="11"/>
      <c r="W184" s="12"/>
    </row>
    <row r="185" spans="1:23" ht="32.25" customHeight="1" hidden="1">
      <c r="A185" s="204"/>
      <c r="B185" s="507" t="s">
        <v>34</v>
      </c>
      <c r="C185" s="508"/>
      <c r="D185" s="509"/>
      <c r="E185" s="205"/>
      <c r="F185" s="204">
        <v>2715</v>
      </c>
      <c r="G185" s="206">
        <v>748.28</v>
      </c>
      <c r="H185" s="206">
        <f>G185*J206</f>
        <v>27806.084799999997</v>
      </c>
      <c r="I185" s="206">
        <v>2715</v>
      </c>
      <c r="J185" s="206">
        <v>409.15</v>
      </c>
      <c r="K185" s="206">
        <f>J185*J206</f>
        <v>15204.013999999997</v>
      </c>
      <c r="L185" s="206">
        <v>2715</v>
      </c>
      <c r="M185" s="206">
        <v>662.91</v>
      </c>
      <c r="N185" s="206">
        <f>M185*K206</f>
        <v>25522.035</v>
      </c>
      <c r="O185" s="206">
        <v>2715</v>
      </c>
      <c r="P185" s="206">
        <v>464.93</v>
      </c>
      <c r="Q185" s="206">
        <f>P185*K206</f>
        <v>17899.805</v>
      </c>
      <c r="R185" s="206">
        <f aca="true" t="shared" si="19" ref="R185:S191">G185+J185+M185+P185</f>
        <v>2285.2699999999995</v>
      </c>
      <c r="S185" s="206">
        <f t="shared" si="19"/>
        <v>86431.9388</v>
      </c>
      <c r="T185" s="67" t="s">
        <v>21</v>
      </c>
      <c r="U185" s="11">
        <f aca="true" t="shared" si="20" ref="U185:U192">41.08*P185</f>
        <v>19099.324399999998</v>
      </c>
      <c r="V185" s="11">
        <f aca="true" t="shared" si="21" ref="V185:V192">H185+K185+N185+Q185</f>
        <v>86431.9388</v>
      </c>
      <c r="W185" s="12">
        <f t="shared" si="18"/>
        <v>2285.2699999999995</v>
      </c>
    </row>
    <row r="186" spans="1:23" ht="33.75" customHeight="1" hidden="1">
      <c r="A186" s="204"/>
      <c r="B186" s="507" t="s">
        <v>35</v>
      </c>
      <c r="C186" s="508"/>
      <c r="D186" s="509"/>
      <c r="E186" s="205"/>
      <c r="F186" s="204">
        <v>816</v>
      </c>
      <c r="G186" s="206">
        <v>660</v>
      </c>
      <c r="H186" s="206">
        <f>G186*J206</f>
        <v>24525.6</v>
      </c>
      <c r="I186" s="206">
        <v>816</v>
      </c>
      <c r="J186" s="206">
        <v>660</v>
      </c>
      <c r="K186" s="206">
        <f>J186*J206</f>
        <v>24525.6</v>
      </c>
      <c r="L186" s="206">
        <v>816</v>
      </c>
      <c r="M186" s="206">
        <v>660</v>
      </c>
      <c r="N186" s="206">
        <f>M186*K206</f>
        <v>25410</v>
      </c>
      <c r="O186" s="206">
        <v>816</v>
      </c>
      <c r="P186" s="206">
        <v>660</v>
      </c>
      <c r="Q186" s="206">
        <f>P186*K206</f>
        <v>25410</v>
      </c>
      <c r="R186" s="206">
        <f t="shared" si="19"/>
        <v>2640</v>
      </c>
      <c r="S186" s="206">
        <f t="shared" si="19"/>
        <v>99871.2</v>
      </c>
      <c r="T186" s="67" t="s">
        <v>21</v>
      </c>
      <c r="U186" s="11">
        <f t="shared" si="20"/>
        <v>27112.8</v>
      </c>
      <c r="V186" s="11">
        <f t="shared" si="21"/>
        <v>99871.2</v>
      </c>
      <c r="W186" s="12">
        <f t="shared" si="18"/>
        <v>2640</v>
      </c>
    </row>
    <row r="187" spans="1:23" ht="34.5" customHeight="1" hidden="1">
      <c r="A187" s="204"/>
      <c r="B187" s="507" t="s">
        <v>36</v>
      </c>
      <c r="C187" s="508"/>
      <c r="D187" s="509"/>
      <c r="E187" s="205"/>
      <c r="F187" s="204">
        <v>910.2</v>
      </c>
      <c r="G187" s="206">
        <v>774</v>
      </c>
      <c r="H187" s="206">
        <f>G187*J207</f>
        <v>8196.66</v>
      </c>
      <c r="I187" s="206">
        <v>1072.5</v>
      </c>
      <c r="J187" s="206">
        <v>912</v>
      </c>
      <c r="K187" s="206">
        <f>J187*J207</f>
        <v>9658.08</v>
      </c>
      <c r="L187" s="206">
        <v>905.1</v>
      </c>
      <c r="M187" s="206">
        <v>769</v>
      </c>
      <c r="N187" s="206">
        <f>M187*K207</f>
        <v>8143.71</v>
      </c>
      <c r="O187" s="206">
        <v>1121.6</v>
      </c>
      <c r="P187" s="206">
        <v>940</v>
      </c>
      <c r="Q187" s="206">
        <f>P187*K207</f>
        <v>9954.6</v>
      </c>
      <c r="R187" s="206">
        <f t="shared" si="19"/>
        <v>3395</v>
      </c>
      <c r="S187" s="206">
        <f t="shared" si="19"/>
        <v>35953.049999999996</v>
      </c>
      <c r="T187" s="67" t="s">
        <v>21</v>
      </c>
      <c r="U187" s="11">
        <f>11.81*P187</f>
        <v>11101.4</v>
      </c>
      <c r="V187" s="11">
        <f t="shared" si="21"/>
        <v>35953.049999999996</v>
      </c>
      <c r="W187" s="12">
        <f t="shared" si="18"/>
        <v>3395</v>
      </c>
    </row>
    <row r="188" spans="1:23" ht="28.5" customHeight="1" hidden="1">
      <c r="A188" s="204"/>
      <c r="B188" s="510" t="s">
        <v>37</v>
      </c>
      <c r="C188" s="510"/>
      <c r="D188" s="510"/>
      <c r="E188" s="207"/>
      <c r="F188" s="204">
        <v>1845</v>
      </c>
      <c r="G188" s="206">
        <v>1362</v>
      </c>
      <c r="H188" s="206">
        <f>G188*J207</f>
        <v>14423.58</v>
      </c>
      <c r="I188" s="206">
        <v>1803</v>
      </c>
      <c r="J188" s="206">
        <v>1019</v>
      </c>
      <c r="K188" s="206">
        <f>J188*J207</f>
        <v>10791.21</v>
      </c>
      <c r="L188" s="206">
        <v>1803</v>
      </c>
      <c r="M188" s="206">
        <v>1251</v>
      </c>
      <c r="N188" s="206">
        <f>M188*K207</f>
        <v>13248.09</v>
      </c>
      <c r="O188" s="206">
        <v>1813.3</v>
      </c>
      <c r="P188" s="206">
        <v>1032</v>
      </c>
      <c r="Q188" s="206">
        <f>P188*K207</f>
        <v>10928.88</v>
      </c>
      <c r="R188" s="206">
        <f t="shared" si="19"/>
        <v>4664</v>
      </c>
      <c r="S188" s="206">
        <f t="shared" si="19"/>
        <v>49391.76</v>
      </c>
      <c r="T188" s="67" t="s">
        <v>21</v>
      </c>
      <c r="U188" s="11">
        <f t="shared" si="20"/>
        <v>42394.56</v>
      </c>
      <c r="V188" s="11">
        <f t="shared" si="21"/>
        <v>49391.76</v>
      </c>
      <c r="W188" s="12">
        <f t="shared" si="18"/>
        <v>4664</v>
      </c>
    </row>
    <row r="189" spans="1:23" ht="33" customHeight="1" hidden="1">
      <c r="A189" s="204"/>
      <c r="B189" s="510" t="s">
        <v>38</v>
      </c>
      <c r="C189" s="510"/>
      <c r="D189" s="510"/>
      <c r="E189" s="207"/>
      <c r="F189" s="204">
        <v>74.5</v>
      </c>
      <c r="G189" s="206">
        <v>1568</v>
      </c>
      <c r="H189" s="206">
        <f>G189*J206</f>
        <v>58266.88</v>
      </c>
      <c r="I189" s="206">
        <v>72.8</v>
      </c>
      <c r="J189" s="206">
        <v>1533</v>
      </c>
      <c r="K189" s="206">
        <f>J189*J206</f>
        <v>56966.27999999999</v>
      </c>
      <c r="L189" s="206">
        <v>72.9</v>
      </c>
      <c r="M189" s="206">
        <v>1533</v>
      </c>
      <c r="N189" s="206">
        <f>M189*K206</f>
        <v>59020.5</v>
      </c>
      <c r="O189" s="206">
        <v>72.9</v>
      </c>
      <c r="P189" s="206">
        <v>1541</v>
      </c>
      <c r="Q189" s="206">
        <f>P189*K206</f>
        <v>59328.5</v>
      </c>
      <c r="R189" s="206">
        <f t="shared" si="19"/>
        <v>6175</v>
      </c>
      <c r="S189" s="206">
        <f t="shared" si="19"/>
        <v>233582.15999999997</v>
      </c>
      <c r="T189" s="67" t="s">
        <v>21</v>
      </c>
      <c r="U189" s="11">
        <f t="shared" si="20"/>
        <v>63304.28</v>
      </c>
      <c r="V189" s="11">
        <f t="shared" si="21"/>
        <v>233582.15999999997</v>
      </c>
      <c r="W189" s="12">
        <f t="shared" si="18"/>
        <v>6175</v>
      </c>
    </row>
    <row r="190" spans="1:23" ht="44.25" customHeight="1" hidden="1">
      <c r="A190" s="204"/>
      <c r="B190" s="510" t="s">
        <v>39</v>
      </c>
      <c r="C190" s="510"/>
      <c r="D190" s="510"/>
      <c r="E190" s="207"/>
      <c r="F190" s="204">
        <v>88.6</v>
      </c>
      <c r="G190" s="206">
        <v>76.4</v>
      </c>
      <c r="H190" s="206">
        <f>G190*J206</f>
        <v>2839.024</v>
      </c>
      <c r="I190" s="206">
        <v>88.5</v>
      </c>
      <c r="J190" s="206">
        <v>64.3</v>
      </c>
      <c r="K190" s="206">
        <f>J190*J206</f>
        <v>2389.3879999999995</v>
      </c>
      <c r="L190" s="206">
        <v>88.5</v>
      </c>
      <c r="M190" s="206">
        <v>72.7</v>
      </c>
      <c r="N190" s="206">
        <f>M190*K206</f>
        <v>2798.9500000000003</v>
      </c>
      <c r="O190" s="206">
        <v>88.5</v>
      </c>
      <c r="P190" s="206">
        <v>59.7</v>
      </c>
      <c r="Q190" s="206">
        <f>P190*K206</f>
        <v>2298.4500000000003</v>
      </c>
      <c r="R190" s="206">
        <f>G190+J190+M190+P190</f>
        <v>273.09999999999997</v>
      </c>
      <c r="S190" s="206">
        <f t="shared" si="19"/>
        <v>10325.812</v>
      </c>
      <c r="T190" s="67" t="s">
        <v>21</v>
      </c>
      <c r="U190" s="11">
        <f t="shared" si="20"/>
        <v>2452.476</v>
      </c>
      <c r="V190" s="11">
        <f t="shared" si="21"/>
        <v>10325.812</v>
      </c>
      <c r="W190" s="12">
        <f t="shared" si="18"/>
        <v>273.09999999999997</v>
      </c>
    </row>
    <row r="191" spans="1:23" ht="51.75" customHeight="1" hidden="1">
      <c r="A191" s="201">
        <v>3</v>
      </c>
      <c r="B191" s="504" t="s">
        <v>42</v>
      </c>
      <c r="C191" s="505"/>
      <c r="D191" s="506"/>
      <c r="E191" s="202"/>
      <c r="F191" s="204">
        <v>118.05</v>
      </c>
      <c r="G191" s="203">
        <v>263</v>
      </c>
      <c r="H191" s="203">
        <f>G191*J206</f>
        <v>9773.08</v>
      </c>
      <c r="I191" s="203">
        <v>118.05</v>
      </c>
      <c r="J191" s="203">
        <v>252</v>
      </c>
      <c r="K191" s="203">
        <f>J191*J206</f>
        <v>9364.32</v>
      </c>
      <c r="L191" s="203">
        <v>118.05</v>
      </c>
      <c r="M191" s="203">
        <v>248</v>
      </c>
      <c r="N191" s="203">
        <f>M191*K206</f>
        <v>9548</v>
      </c>
      <c r="O191" s="203">
        <v>118.05</v>
      </c>
      <c r="P191" s="203">
        <v>268</v>
      </c>
      <c r="Q191" s="203">
        <f>P191*K206</f>
        <v>10318</v>
      </c>
      <c r="R191" s="203">
        <f t="shared" si="19"/>
        <v>1031</v>
      </c>
      <c r="S191" s="203">
        <f t="shared" si="19"/>
        <v>39003.4</v>
      </c>
      <c r="T191" s="67" t="s">
        <v>21</v>
      </c>
      <c r="U191" s="11">
        <f t="shared" si="20"/>
        <v>11009.439999999999</v>
      </c>
      <c r="V191" s="11">
        <f t="shared" si="21"/>
        <v>39003.4</v>
      </c>
      <c r="W191" s="12">
        <f t="shared" si="18"/>
        <v>1031</v>
      </c>
    </row>
    <row r="192" spans="1:23" ht="33.75" customHeight="1" hidden="1">
      <c r="A192" s="201">
        <v>4</v>
      </c>
      <c r="B192" s="504" t="s">
        <v>43</v>
      </c>
      <c r="C192" s="505"/>
      <c r="D192" s="506"/>
      <c r="E192" s="202"/>
      <c r="F192" s="204">
        <v>180</v>
      </c>
      <c r="G192" s="203">
        <f>G193</f>
        <v>23.4</v>
      </c>
      <c r="H192" s="203">
        <f>H193</f>
        <v>869.5439999999999</v>
      </c>
      <c r="I192" s="203"/>
      <c r="J192" s="203">
        <f>J193</f>
        <v>23.4</v>
      </c>
      <c r="K192" s="203">
        <f>K193</f>
        <v>869.5439999999999</v>
      </c>
      <c r="L192" s="203"/>
      <c r="M192" s="203">
        <f>M193</f>
        <v>23.4</v>
      </c>
      <c r="N192" s="203">
        <f>N193</f>
        <v>900.9</v>
      </c>
      <c r="O192" s="203"/>
      <c r="P192" s="203">
        <f>P193</f>
        <v>23.1</v>
      </c>
      <c r="Q192" s="203">
        <f>Q193</f>
        <v>889.35</v>
      </c>
      <c r="R192" s="203">
        <f>R193</f>
        <v>93.29999999999998</v>
      </c>
      <c r="S192" s="203">
        <f>S193</f>
        <v>3529.3379999999997</v>
      </c>
      <c r="T192" s="67" t="s">
        <v>21</v>
      </c>
      <c r="U192" s="11">
        <f t="shared" si="20"/>
        <v>948.948</v>
      </c>
      <c r="V192" s="11">
        <f t="shared" si="21"/>
        <v>3529.3379999999997</v>
      </c>
      <c r="W192" s="12">
        <f t="shared" si="18"/>
        <v>93.29999999999998</v>
      </c>
    </row>
    <row r="193" spans="1:23" ht="27.75" customHeight="1" hidden="1">
      <c r="A193" s="204"/>
      <c r="B193" s="507" t="s">
        <v>44</v>
      </c>
      <c r="C193" s="508"/>
      <c r="D193" s="509"/>
      <c r="E193" s="205"/>
      <c r="F193" s="204"/>
      <c r="G193" s="206">
        <v>23.4</v>
      </c>
      <c r="H193" s="206">
        <f>G193*J206</f>
        <v>869.5439999999999</v>
      </c>
      <c r="I193" s="206"/>
      <c r="J193" s="206">
        <v>23.4</v>
      </c>
      <c r="K193" s="206">
        <f>J193*J206</f>
        <v>869.5439999999999</v>
      </c>
      <c r="L193" s="206"/>
      <c r="M193" s="206">
        <v>23.4</v>
      </c>
      <c r="N193" s="206">
        <f>M193*K206</f>
        <v>900.9</v>
      </c>
      <c r="O193" s="206"/>
      <c r="P193" s="206">
        <v>23.1</v>
      </c>
      <c r="Q193" s="206">
        <f>P193*K206</f>
        <v>889.35</v>
      </c>
      <c r="R193" s="206">
        <f>G193+J193+M193+P193</f>
        <v>93.29999999999998</v>
      </c>
      <c r="S193" s="206">
        <f>H193+K193+N193+Q193</f>
        <v>3529.3379999999997</v>
      </c>
      <c r="U193" s="11"/>
      <c r="V193" s="11"/>
      <c r="W193" s="12"/>
    </row>
    <row r="194" spans="1:23" ht="33.75" customHeight="1" hidden="1">
      <c r="A194" s="201">
        <v>5</v>
      </c>
      <c r="B194" s="504" t="s">
        <v>47</v>
      </c>
      <c r="C194" s="505"/>
      <c r="D194" s="506"/>
      <c r="E194" s="202"/>
      <c r="F194" s="204"/>
      <c r="G194" s="203">
        <f>G195+G196+G197+G198+G199+G200</f>
        <v>189.14000000000001</v>
      </c>
      <c r="H194" s="203">
        <f>H195+H196+H197+H198+H199+H200</f>
        <v>6316.366399999999</v>
      </c>
      <c r="I194" s="203"/>
      <c r="J194" s="203">
        <f>J195+J196+J197+J198+J199+J200</f>
        <v>169.2</v>
      </c>
      <c r="K194" s="203">
        <f>K195+K196+K198+K200+K197+K199</f>
        <v>5710.902999999999</v>
      </c>
      <c r="L194" s="203"/>
      <c r="M194" s="203">
        <f>M195+M196+M197+M198+M199+M200</f>
        <v>143.23000000000002</v>
      </c>
      <c r="N194" s="203">
        <f>N195+N196+N197+N198+N199+N200</f>
        <v>4908.708</v>
      </c>
      <c r="O194" s="203"/>
      <c r="P194" s="203">
        <f>P195+P196+P197+P198+P199+P200</f>
        <v>174.28</v>
      </c>
      <c r="Q194" s="203">
        <f>Q195+Q196+Q197+Q198+Q199+Q200</f>
        <v>5942.255</v>
      </c>
      <c r="R194" s="203">
        <f>R195+R196+R197+R198+R199+R200</f>
        <v>675.85</v>
      </c>
      <c r="S194" s="203">
        <f>S195+S196+S197+S198+S199+S200</f>
        <v>22878.2324</v>
      </c>
      <c r="U194" s="11"/>
      <c r="V194" s="11"/>
      <c r="W194" s="12"/>
    </row>
    <row r="195" spans="1:23" ht="33.75" customHeight="1" hidden="1">
      <c r="A195" s="201"/>
      <c r="B195" s="507" t="s">
        <v>48</v>
      </c>
      <c r="C195" s="508"/>
      <c r="D195" s="509"/>
      <c r="E195" s="205"/>
      <c r="F195" s="204"/>
      <c r="G195" s="206">
        <v>8.64</v>
      </c>
      <c r="H195" s="206">
        <f>G195*J206</f>
        <v>321.06239999999997</v>
      </c>
      <c r="I195" s="206"/>
      <c r="J195" s="206">
        <v>8</v>
      </c>
      <c r="K195" s="206">
        <f>J195*J206</f>
        <v>297.28</v>
      </c>
      <c r="L195" s="206"/>
      <c r="M195" s="206">
        <v>5.23</v>
      </c>
      <c r="N195" s="206">
        <f>M195*K206</f>
        <v>201.35500000000002</v>
      </c>
      <c r="O195" s="206"/>
      <c r="P195" s="206">
        <v>7.48</v>
      </c>
      <c r="Q195" s="206">
        <f>P195*K206</f>
        <v>287.98</v>
      </c>
      <c r="R195" s="206">
        <f aca="true" t="shared" si="22" ref="R195:S200">G195+J195+M195+P195</f>
        <v>29.35</v>
      </c>
      <c r="S195" s="206">
        <f t="shared" si="22"/>
        <v>1107.6774</v>
      </c>
      <c r="U195" s="11"/>
      <c r="V195" s="11"/>
      <c r="W195" s="12"/>
    </row>
    <row r="196" spans="1:23" ht="33.75" customHeight="1" hidden="1">
      <c r="A196" s="201"/>
      <c r="B196" s="507" t="s">
        <v>49</v>
      </c>
      <c r="C196" s="508"/>
      <c r="D196" s="509"/>
      <c r="E196" s="205"/>
      <c r="F196" s="204"/>
      <c r="G196" s="206">
        <v>53.5</v>
      </c>
      <c r="H196" s="206">
        <f>G196*J206</f>
        <v>1988.0599999999997</v>
      </c>
      <c r="I196" s="206"/>
      <c r="J196" s="206">
        <v>52.5</v>
      </c>
      <c r="K196" s="206">
        <f>J196*J206</f>
        <v>1950.8999999999999</v>
      </c>
      <c r="L196" s="206"/>
      <c r="M196" s="206">
        <v>42.5</v>
      </c>
      <c r="N196" s="206">
        <f>M196*K206</f>
        <v>1636.25</v>
      </c>
      <c r="O196" s="206"/>
      <c r="P196" s="206">
        <v>51.5</v>
      </c>
      <c r="Q196" s="206">
        <f>P196*K206</f>
        <v>1982.75</v>
      </c>
      <c r="R196" s="206">
        <f t="shared" si="22"/>
        <v>200</v>
      </c>
      <c r="S196" s="206">
        <f t="shared" si="22"/>
        <v>7557.959999999999</v>
      </c>
      <c r="U196" s="11"/>
      <c r="V196" s="11"/>
      <c r="W196" s="12"/>
    </row>
    <row r="197" spans="1:23" ht="33.75" customHeight="1" hidden="1">
      <c r="A197" s="201"/>
      <c r="B197" s="507" t="s">
        <v>50</v>
      </c>
      <c r="C197" s="508"/>
      <c r="D197" s="509"/>
      <c r="E197" s="205"/>
      <c r="F197" s="204"/>
      <c r="G197" s="206">
        <v>40</v>
      </c>
      <c r="H197" s="206">
        <f>G197*J206</f>
        <v>1486.3999999999999</v>
      </c>
      <c r="I197" s="206"/>
      <c r="J197" s="206">
        <v>40</v>
      </c>
      <c r="K197" s="206">
        <f>J197*J206</f>
        <v>1486.3999999999999</v>
      </c>
      <c r="L197" s="206"/>
      <c r="M197" s="206">
        <v>38.9</v>
      </c>
      <c r="N197" s="206">
        <f>M197*K206</f>
        <v>1497.6499999999999</v>
      </c>
      <c r="O197" s="206"/>
      <c r="P197" s="206">
        <v>39.5</v>
      </c>
      <c r="Q197" s="206">
        <f>P197*K206</f>
        <v>1520.75</v>
      </c>
      <c r="R197" s="206">
        <f t="shared" si="22"/>
        <v>158.4</v>
      </c>
      <c r="S197" s="206">
        <f t="shared" si="22"/>
        <v>5991.2</v>
      </c>
      <c r="U197" s="11"/>
      <c r="V197" s="11"/>
      <c r="W197" s="12"/>
    </row>
    <row r="198" spans="1:23" ht="33.75" customHeight="1" hidden="1">
      <c r="A198" s="201"/>
      <c r="B198" s="510" t="s">
        <v>40</v>
      </c>
      <c r="C198" s="510"/>
      <c r="D198" s="510"/>
      <c r="E198" s="207"/>
      <c r="F198" s="204"/>
      <c r="G198" s="206">
        <v>60.2</v>
      </c>
      <c r="H198" s="206">
        <f>G198*J206</f>
        <v>2237.0319999999997</v>
      </c>
      <c r="I198" s="206"/>
      <c r="J198" s="206">
        <v>47</v>
      </c>
      <c r="K198" s="206">
        <f>J198*J206</f>
        <v>1746.5199999999998</v>
      </c>
      <c r="L198" s="206"/>
      <c r="M198" s="206">
        <v>34.9</v>
      </c>
      <c r="N198" s="206">
        <f>M198*K206</f>
        <v>1343.6499999999999</v>
      </c>
      <c r="O198" s="206"/>
      <c r="P198" s="206">
        <v>48.3</v>
      </c>
      <c r="Q198" s="206">
        <f>P198*K206</f>
        <v>1859.55</v>
      </c>
      <c r="R198" s="206">
        <f t="shared" si="22"/>
        <v>190.39999999999998</v>
      </c>
      <c r="S198" s="206">
        <f t="shared" si="22"/>
        <v>7186.7519999999995</v>
      </c>
      <c r="U198" s="11"/>
      <c r="V198" s="11"/>
      <c r="W198" s="12"/>
    </row>
    <row r="199" spans="1:23" ht="33.75" customHeight="1" hidden="1">
      <c r="A199" s="201"/>
      <c r="B199" s="510" t="s">
        <v>51</v>
      </c>
      <c r="C199" s="510"/>
      <c r="D199" s="510"/>
      <c r="E199" s="207"/>
      <c r="F199" s="204"/>
      <c r="G199" s="206">
        <v>7.3</v>
      </c>
      <c r="H199" s="206">
        <f>G199*J207</f>
        <v>77.307</v>
      </c>
      <c r="I199" s="206"/>
      <c r="J199" s="206">
        <v>2.2</v>
      </c>
      <c r="K199" s="206">
        <f>J199*J207</f>
        <v>23.298000000000002</v>
      </c>
      <c r="L199" s="206"/>
      <c r="M199" s="206">
        <v>2.2</v>
      </c>
      <c r="N199" s="206">
        <f>M199*K207</f>
        <v>23.298000000000002</v>
      </c>
      <c r="O199" s="206"/>
      <c r="P199" s="206">
        <v>8</v>
      </c>
      <c r="Q199" s="206">
        <f>P199*K207</f>
        <v>84.72</v>
      </c>
      <c r="R199" s="206">
        <f t="shared" si="22"/>
        <v>19.7</v>
      </c>
      <c r="S199" s="206">
        <f t="shared" si="22"/>
        <v>208.623</v>
      </c>
      <c r="U199" s="11"/>
      <c r="V199" s="11"/>
      <c r="W199" s="12"/>
    </row>
    <row r="200" spans="1:23" ht="33.75" customHeight="1" hidden="1">
      <c r="A200" s="201"/>
      <c r="B200" s="510" t="s">
        <v>52</v>
      </c>
      <c r="C200" s="510"/>
      <c r="D200" s="510"/>
      <c r="E200" s="207"/>
      <c r="F200" s="204"/>
      <c r="G200" s="206">
        <v>19.5</v>
      </c>
      <c r="H200" s="206">
        <f>G200*J207</f>
        <v>206.505</v>
      </c>
      <c r="I200" s="206"/>
      <c r="J200" s="206">
        <v>19.5</v>
      </c>
      <c r="K200" s="206">
        <f>J200*J207</f>
        <v>206.505</v>
      </c>
      <c r="L200" s="206"/>
      <c r="M200" s="206">
        <v>19.5</v>
      </c>
      <c r="N200" s="206">
        <f>M200*K207</f>
        <v>206.505</v>
      </c>
      <c r="O200" s="206"/>
      <c r="P200" s="206">
        <v>19.5</v>
      </c>
      <c r="Q200" s="206">
        <f>P200*K207</f>
        <v>206.505</v>
      </c>
      <c r="R200" s="206">
        <f t="shared" si="22"/>
        <v>78</v>
      </c>
      <c r="S200" s="206">
        <f t="shared" si="22"/>
        <v>826.02</v>
      </c>
      <c r="U200" s="11"/>
      <c r="V200" s="11"/>
      <c r="W200" s="12"/>
    </row>
    <row r="201" spans="1:23" ht="33.75" customHeight="1" hidden="1">
      <c r="A201" s="201">
        <v>6</v>
      </c>
      <c r="B201" s="504" t="s">
        <v>53</v>
      </c>
      <c r="C201" s="505"/>
      <c r="D201" s="506"/>
      <c r="E201" s="202"/>
      <c r="F201" s="204"/>
      <c r="G201" s="203">
        <f>G202+G203</f>
        <v>463.75</v>
      </c>
      <c r="H201" s="203">
        <f>H202+H203</f>
        <v>17232.949999999997</v>
      </c>
      <c r="I201" s="203"/>
      <c r="J201" s="203">
        <f>J202+J203</f>
        <v>564.53</v>
      </c>
      <c r="K201" s="203">
        <f>K202+K203</f>
        <v>20977.934799999995</v>
      </c>
      <c r="L201" s="203"/>
      <c r="M201" s="203">
        <f>M202+M203</f>
        <v>284.18</v>
      </c>
      <c r="N201" s="203">
        <f>N202+N203</f>
        <v>10940.93</v>
      </c>
      <c r="O201" s="203"/>
      <c r="P201" s="203">
        <f>P202+P203</f>
        <v>550.62</v>
      </c>
      <c r="Q201" s="203">
        <f>Q202+Q203</f>
        <v>21198.87</v>
      </c>
      <c r="R201" s="203">
        <f>R202+R203</f>
        <v>1863.08</v>
      </c>
      <c r="S201" s="203">
        <f>S202+S203</f>
        <v>70350.6848</v>
      </c>
      <c r="U201" s="11"/>
      <c r="V201" s="11"/>
      <c r="W201" s="12"/>
    </row>
    <row r="202" spans="1:23" ht="33.75" customHeight="1" hidden="1">
      <c r="A202" s="204"/>
      <c r="B202" s="507" t="s">
        <v>54</v>
      </c>
      <c r="C202" s="508"/>
      <c r="D202" s="509"/>
      <c r="E202" s="205"/>
      <c r="F202" s="204"/>
      <c r="G202" s="206">
        <v>45.6</v>
      </c>
      <c r="H202" s="206">
        <f>G202*J206</f>
        <v>1694.4959999999999</v>
      </c>
      <c r="I202" s="206"/>
      <c r="J202" s="206">
        <v>64.5</v>
      </c>
      <c r="K202" s="206">
        <f>J202*J206</f>
        <v>2396.8199999999997</v>
      </c>
      <c r="L202" s="206"/>
      <c r="M202" s="206">
        <v>113.6</v>
      </c>
      <c r="N202" s="206">
        <f>M202*K206</f>
        <v>4373.599999999999</v>
      </c>
      <c r="O202" s="206"/>
      <c r="P202" s="206">
        <v>50.1</v>
      </c>
      <c r="Q202" s="206">
        <f>P202*K206</f>
        <v>1928.8500000000001</v>
      </c>
      <c r="R202" s="206">
        <f>G202+J202+M202+P202</f>
        <v>273.8</v>
      </c>
      <c r="S202" s="206">
        <f>H202+K202+N202+Q202</f>
        <v>10393.766</v>
      </c>
      <c r="U202" s="11"/>
      <c r="V202" s="11"/>
      <c r="W202" s="12"/>
    </row>
    <row r="203" spans="1:23" ht="33.75" customHeight="1" hidden="1">
      <c r="A203" s="204"/>
      <c r="B203" s="507" t="s">
        <v>55</v>
      </c>
      <c r="C203" s="508"/>
      <c r="D203" s="509"/>
      <c r="E203" s="205"/>
      <c r="F203" s="204"/>
      <c r="G203" s="206">
        <v>418.15</v>
      </c>
      <c r="H203" s="206">
        <f>G203*J206</f>
        <v>15538.453999999998</v>
      </c>
      <c r="I203" s="206"/>
      <c r="J203" s="206">
        <v>500.03</v>
      </c>
      <c r="K203" s="206">
        <f>J203*J206</f>
        <v>18581.114799999996</v>
      </c>
      <c r="L203" s="206"/>
      <c r="M203" s="206">
        <v>170.58</v>
      </c>
      <c r="N203" s="206">
        <f>M203*K206</f>
        <v>6567.330000000001</v>
      </c>
      <c r="O203" s="206"/>
      <c r="P203" s="206">
        <v>500.52</v>
      </c>
      <c r="Q203" s="206">
        <f>P203*K206</f>
        <v>19270.02</v>
      </c>
      <c r="R203" s="206">
        <f>G203+J203+M203+P203</f>
        <v>1589.28</v>
      </c>
      <c r="S203" s="206">
        <f>H203+K203+N203+Q203</f>
        <v>59956.9188</v>
      </c>
      <c r="U203" s="11"/>
      <c r="V203" s="11"/>
      <c r="W203" s="12"/>
    </row>
    <row r="204" spans="1:23" ht="35.25" hidden="1">
      <c r="A204" s="213"/>
      <c r="B204" s="515" t="s">
        <v>19</v>
      </c>
      <c r="C204" s="515"/>
      <c r="D204" s="515"/>
      <c r="E204" s="214"/>
      <c r="F204" s="201">
        <f>SUM(F183:F192)</f>
        <v>6764.85</v>
      </c>
      <c r="G204" s="203">
        <f>G183+G184+G191+G192+G194+G201</f>
        <v>6140.2699999999995</v>
      </c>
      <c r="H204" s="203">
        <f>H183+H184+H191+H192+H194+H201</f>
        <v>170706.83719999995</v>
      </c>
      <c r="I204" s="203">
        <f>SUM(I183:I192)</f>
        <v>6703.35</v>
      </c>
      <c r="J204" s="203">
        <f>J183+J184+J191+J192+J194+J201</f>
        <v>5614.879999999999</v>
      </c>
      <c r="K204" s="203">
        <f>K183+K184+K191+K192+K194+K201</f>
        <v>156765.70179999995</v>
      </c>
      <c r="L204" s="203">
        <f>SUM(L183:L192)</f>
        <v>6536.05</v>
      </c>
      <c r="M204" s="203">
        <f>M183+M184+M191+M192+M194+M201</f>
        <v>5652.82</v>
      </c>
      <c r="N204" s="203">
        <f>N183+N184+N191+N192+N194+N201</f>
        <v>160649.72300000003</v>
      </c>
      <c r="O204" s="203">
        <f>SUM(O183:O192)</f>
        <v>6762.85</v>
      </c>
      <c r="P204" s="203">
        <f>P183+P184+P191+P192+P194+P201</f>
        <v>5724.93</v>
      </c>
      <c r="Q204" s="203">
        <f>Q183+Q184+Q191+Q192+Q194+Q201</f>
        <v>164603.76</v>
      </c>
      <c r="R204" s="203">
        <f>R183+R184+R191+R192+R194+R201</f>
        <v>23132.9</v>
      </c>
      <c r="S204" s="203">
        <f>S183+S184+S191+S192+S194+S201</f>
        <v>652726.022</v>
      </c>
      <c r="U204" s="52"/>
      <c r="V204" s="52"/>
      <c r="W204" s="52"/>
    </row>
    <row r="205" spans="1:19" ht="35.25" hidden="1">
      <c r="A205" s="209"/>
      <c r="B205" s="516" t="s">
        <v>8</v>
      </c>
      <c r="C205" s="517"/>
      <c r="D205" s="518"/>
      <c r="E205" s="215"/>
      <c r="F205" s="503" t="s">
        <v>61</v>
      </c>
      <c r="G205" s="503"/>
      <c r="H205" s="503"/>
      <c r="I205" s="503"/>
      <c r="J205" s="503"/>
      <c r="K205" s="503"/>
      <c r="L205" s="503"/>
      <c r="M205" s="503"/>
      <c r="N205" s="503"/>
      <c r="O205" s="503"/>
      <c r="P205" s="503"/>
      <c r="Q205" s="503"/>
      <c r="R205" s="503"/>
      <c r="S205" s="503"/>
    </row>
    <row r="206" spans="1:19" ht="35.25" hidden="1">
      <c r="A206" s="181"/>
      <c r="B206" s="181"/>
      <c r="C206" s="181"/>
      <c r="D206" s="181"/>
      <c r="E206" s="181"/>
      <c r="F206" s="181"/>
      <c r="G206" s="181"/>
      <c r="H206" s="184" t="s">
        <v>12</v>
      </c>
      <c r="I206" s="184"/>
      <c r="J206" s="184">
        <v>37.16</v>
      </c>
      <c r="K206" s="184">
        <v>38.5</v>
      </c>
      <c r="L206" s="181"/>
      <c r="M206" s="181"/>
      <c r="N206" s="181"/>
      <c r="O206" s="181"/>
      <c r="P206" s="181"/>
      <c r="Q206" s="181"/>
      <c r="R206" s="181"/>
      <c r="S206" s="181"/>
    </row>
    <row r="207" spans="1:19" ht="35.25" hidden="1">
      <c r="A207" s="181"/>
      <c r="B207" s="181"/>
      <c r="C207" s="181"/>
      <c r="D207" s="181"/>
      <c r="E207" s="181"/>
      <c r="F207" s="181"/>
      <c r="G207" s="181"/>
      <c r="H207" s="184" t="s">
        <v>20</v>
      </c>
      <c r="I207" s="184"/>
      <c r="J207" s="184">
        <v>10.59</v>
      </c>
      <c r="K207" s="184">
        <v>10.59</v>
      </c>
      <c r="L207" s="181"/>
      <c r="M207" s="181"/>
      <c r="N207" s="181"/>
      <c r="O207" s="181"/>
      <c r="P207" s="181"/>
      <c r="Q207" s="181"/>
      <c r="R207" s="181"/>
      <c r="S207" s="181"/>
    </row>
    <row r="208" spans="1:19" ht="35.25">
      <c r="A208" s="181"/>
      <c r="B208" s="181"/>
      <c r="C208" s="181"/>
      <c r="D208" s="181"/>
      <c r="E208" s="181"/>
      <c r="F208" s="181"/>
      <c r="G208" s="181"/>
      <c r="H208" s="181"/>
      <c r="I208" s="118"/>
      <c r="J208" s="181"/>
      <c r="K208" s="181"/>
      <c r="L208" s="181"/>
      <c r="M208" s="181"/>
      <c r="N208" s="181"/>
      <c r="O208" s="181"/>
      <c r="P208" s="181"/>
      <c r="Q208" s="181"/>
      <c r="R208" s="181"/>
      <c r="S208" s="181"/>
    </row>
    <row r="209" spans="1:19" ht="35.25">
      <c r="A209" s="50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</row>
    <row r="210" spans="1:19" ht="35.25">
      <c r="A210" s="6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</row>
    <row r="211" spans="1:19" ht="35.2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35.2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35.25">
      <c r="A213" s="6"/>
      <c r="B213" s="6"/>
      <c r="C213" s="6"/>
      <c r="D213" s="6"/>
      <c r="E213" s="6"/>
      <c r="F213" s="53"/>
      <c r="L213" s="6"/>
      <c r="M213" s="6"/>
      <c r="N213" s="6"/>
      <c r="O213" s="6"/>
      <c r="P213" s="6"/>
      <c r="Q213" s="6"/>
      <c r="R213" s="6"/>
      <c r="S213" s="6"/>
    </row>
    <row r="214" ht="35.25">
      <c r="F214" s="54" t="s">
        <v>22</v>
      </c>
    </row>
    <row r="215" ht="35.25">
      <c r="F215" s="54" t="s">
        <v>23</v>
      </c>
    </row>
    <row r="216" ht="35.25">
      <c r="F216" s="54" t="s">
        <v>24</v>
      </c>
    </row>
    <row r="217" ht="35.25">
      <c r="F217" s="54" t="s">
        <v>25</v>
      </c>
    </row>
    <row r="218" ht="35.25">
      <c r="F218" s="54" t="s">
        <v>26</v>
      </c>
    </row>
    <row r="219" ht="35.25">
      <c r="F219" s="54" t="s">
        <v>27</v>
      </c>
    </row>
    <row r="220" ht="35.25">
      <c r="F220" s="54" t="s">
        <v>29</v>
      </c>
    </row>
    <row r="221" ht="35.25">
      <c r="F221" s="54" t="s">
        <v>30</v>
      </c>
    </row>
    <row r="222" ht="35.25">
      <c r="F222" s="54" t="s">
        <v>28</v>
      </c>
    </row>
  </sheetData>
  <sheetProtection/>
  <mergeCells count="217">
    <mergeCell ref="Q2:S2"/>
    <mergeCell ref="Q3:S3"/>
    <mergeCell ref="Q4:S4"/>
    <mergeCell ref="A6:S6"/>
    <mergeCell ref="A7:A8"/>
    <mergeCell ref="B7:D8"/>
    <mergeCell ref="F7:H7"/>
    <mergeCell ref="I7:K7"/>
    <mergeCell ref="L7:N7"/>
    <mergeCell ref="O7:Q7"/>
    <mergeCell ref="R7:S7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F34:S34"/>
    <mergeCell ref="A37:S37"/>
    <mergeCell ref="A38:A39"/>
    <mergeCell ref="B38:D39"/>
    <mergeCell ref="F38:H38"/>
    <mergeCell ref="I38:K38"/>
    <mergeCell ref="L38:N38"/>
    <mergeCell ref="O38:Q38"/>
    <mergeCell ref="R38:S38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F64:S64"/>
    <mergeCell ref="Q66:S66"/>
    <mergeCell ref="A67:S67"/>
    <mergeCell ref="A68:A69"/>
    <mergeCell ref="B68:D69"/>
    <mergeCell ref="E68:E69"/>
    <mergeCell ref="F68:H68"/>
    <mergeCell ref="I68:K68"/>
    <mergeCell ref="L68:N68"/>
    <mergeCell ref="O68:Q68"/>
    <mergeCell ref="R68:S68"/>
    <mergeCell ref="B70:D70"/>
    <mergeCell ref="B71:D71"/>
    <mergeCell ref="B72:D72"/>
    <mergeCell ref="B73:D73"/>
    <mergeCell ref="B75:D75"/>
    <mergeCell ref="B76:D76"/>
    <mergeCell ref="B77:D77"/>
    <mergeCell ref="B78:D78"/>
    <mergeCell ref="B79:D79"/>
    <mergeCell ref="B80:D80"/>
    <mergeCell ref="B81:D81"/>
    <mergeCell ref="B82:D82"/>
    <mergeCell ref="B83:D83"/>
    <mergeCell ref="B84:D84"/>
    <mergeCell ref="B85:D85"/>
    <mergeCell ref="B86:D86"/>
    <mergeCell ref="B87:D87"/>
    <mergeCell ref="B88:D88"/>
    <mergeCell ref="B89:D89"/>
    <mergeCell ref="B90:D90"/>
    <mergeCell ref="B91:D91"/>
    <mergeCell ref="B92:D92"/>
    <mergeCell ref="B93:D93"/>
    <mergeCell ref="B94:D94"/>
    <mergeCell ref="B95:D95"/>
    <mergeCell ref="B96:D96"/>
    <mergeCell ref="B97:D97"/>
    <mergeCell ref="B98:D98"/>
    <mergeCell ref="B99:D99"/>
    <mergeCell ref="B100:D100"/>
    <mergeCell ref="B101:D101"/>
    <mergeCell ref="B102:D102"/>
    <mergeCell ref="B103:D103"/>
    <mergeCell ref="B104:D104"/>
    <mergeCell ref="B105:D105"/>
    <mergeCell ref="B106:D106"/>
    <mergeCell ref="B107:D107"/>
    <mergeCell ref="B108:D108"/>
    <mergeCell ref="B109:D109"/>
    <mergeCell ref="B110:D110"/>
    <mergeCell ref="B111:D111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43:D143"/>
    <mergeCell ref="B144:D144"/>
    <mergeCell ref="F144:S144"/>
    <mergeCell ref="B140:D140"/>
    <mergeCell ref="Q148:S148"/>
    <mergeCell ref="B131:D131"/>
    <mergeCell ref="B133:D133"/>
    <mergeCell ref="B134:D134"/>
    <mergeCell ref="B137:D137"/>
    <mergeCell ref="Q149:S149"/>
    <mergeCell ref="Q150:S150"/>
    <mergeCell ref="A152:S152"/>
    <mergeCell ref="A153:A154"/>
    <mergeCell ref="B153:D154"/>
    <mergeCell ref="F153:H153"/>
    <mergeCell ref="I153:K153"/>
    <mergeCell ref="L153:N153"/>
    <mergeCell ref="O153:Q153"/>
    <mergeCell ref="R153:S153"/>
    <mergeCell ref="B155:D155"/>
    <mergeCell ref="B156:D156"/>
    <mergeCell ref="B157:D157"/>
    <mergeCell ref="B158:D158"/>
    <mergeCell ref="B159:D159"/>
    <mergeCell ref="B160:D160"/>
    <mergeCell ref="B161:D161"/>
    <mergeCell ref="B162:D162"/>
    <mergeCell ref="B163:D163"/>
    <mergeCell ref="B164:D164"/>
    <mergeCell ref="B165:D165"/>
    <mergeCell ref="B166:D166"/>
    <mergeCell ref="B167:D167"/>
    <mergeCell ref="B168:D168"/>
    <mergeCell ref="B169:D169"/>
    <mergeCell ref="B170:D170"/>
    <mergeCell ref="B171:D171"/>
    <mergeCell ref="B172:D172"/>
    <mergeCell ref="B173:D173"/>
    <mergeCell ref="B174:D174"/>
    <mergeCell ref="B175:D175"/>
    <mergeCell ref="B176:D176"/>
    <mergeCell ref="B177:D177"/>
    <mergeCell ref="F177:S177"/>
    <mergeCell ref="A180:S180"/>
    <mergeCell ref="A181:A182"/>
    <mergeCell ref="B181:D182"/>
    <mergeCell ref="F181:H181"/>
    <mergeCell ref="I181:K181"/>
    <mergeCell ref="L181:N181"/>
    <mergeCell ref="O181:Q181"/>
    <mergeCell ref="R181:S181"/>
    <mergeCell ref="B183:D183"/>
    <mergeCell ref="B184:D184"/>
    <mergeCell ref="B185:D185"/>
    <mergeCell ref="B186:D186"/>
    <mergeCell ref="B187:D187"/>
    <mergeCell ref="B188:D188"/>
    <mergeCell ref="B189:D189"/>
    <mergeCell ref="B190:D190"/>
    <mergeCell ref="B191:D191"/>
    <mergeCell ref="B192:D192"/>
    <mergeCell ref="B193:D193"/>
    <mergeCell ref="B194:D194"/>
    <mergeCell ref="B195:D195"/>
    <mergeCell ref="B196:D196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05:D205"/>
    <mergeCell ref="F205:S205"/>
  </mergeCells>
  <printOptions/>
  <pageMargins left="0.3937007874015748" right="0.3937007874015748" top="0.984251968503937" bottom="0.3937007874015748" header="0.31496062992125984" footer="0.31496062992125984"/>
  <pageSetup fitToHeight="0" fitToWidth="1" horizontalDpi="600" verticalDpi="600" orientation="landscape" paperSize="9" scale="32" r:id="rId1"/>
  <rowBreaks count="2" manualBreakCount="2">
    <brk id="106" max="18" man="1"/>
    <brk id="140" max="18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Приёмная</cp:lastModifiedBy>
  <cp:lastPrinted>2018-02-19T23:00:01Z</cp:lastPrinted>
  <dcterms:created xsi:type="dcterms:W3CDTF">1996-10-08T23:32:33Z</dcterms:created>
  <dcterms:modified xsi:type="dcterms:W3CDTF">2018-02-19T23:00:05Z</dcterms:modified>
  <cp:category/>
  <cp:version/>
  <cp:contentType/>
  <cp:contentStatus/>
</cp:coreProperties>
</file>